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 defaultThemeVersion="124226"/>
  <xr:revisionPtr revIDLastSave="0" documentId="13_ncr:1_{94523B2E-413C-49CC-AAFC-C6B542F9630E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Cover" sheetId="3" r:id="rId1"/>
    <sheet name="Summary" sheetId="4" r:id="rId2"/>
    <sheet name="Assumptions" sheetId="6" r:id="rId3"/>
    <sheet name="Scenarios" sheetId="7" r:id="rId4"/>
    <sheet name="Model" sheetId="1" r:id="rId5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  <definedName name="_xlnm.Print_Area" localSheetId="2">Assumptions!$B$1:$S$78</definedName>
    <definedName name="_xlnm.Print_Area" localSheetId="0">Cover!$A$1:$M$33</definedName>
    <definedName name="_xlnm.Print_Area" localSheetId="4">Model!$B$1:$P$444</definedName>
    <definedName name="_xlnm.Print_Area" localSheetId="3">Scenarios!$B$1:$N$46</definedName>
    <definedName name="_xlnm.Print_Area" localSheetId="1">Summary!$B$1:$Q$38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0" i="1" l="1"/>
  <c r="N200" i="1"/>
  <c r="O200" i="1"/>
  <c r="P200" i="1"/>
  <c r="L200" i="1"/>
  <c r="M201" i="1"/>
  <c r="N201" i="1"/>
  <c r="O201" i="1"/>
  <c r="P201" i="1"/>
  <c r="L201" i="1"/>
  <c r="L385" i="1"/>
  <c r="M365" i="1"/>
  <c r="N365" i="1" s="1"/>
  <c r="O365" i="1" s="1"/>
  <c r="P365" i="1" s="1"/>
  <c r="L365" i="1"/>
  <c r="L361" i="1"/>
  <c r="L338" i="1"/>
  <c r="K22" i="6"/>
  <c r="M329" i="1"/>
  <c r="L412" i="1"/>
  <c r="L180" i="1"/>
  <c r="L178" i="1"/>
  <c r="K243" i="1"/>
  <c r="L240" i="1"/>
  <c r="L243" i="1"/>
  <c r="L177" i="1"/>
  <c r="O279" i="1"/>
  <c r="K279" i="1"/>
  <c r="K103" i="1"/>
  <c r="O50" i="6"/>
  <c r="P50" i="6"/>
  <c r="Q50" i="6"/>
  <c r="R50" i="6"/>
  <c r="N50" i="6"/>
  <c r="L89" i="1" l="1"/>
  <c r="P404" i="1"/>
  <c r="P351" i="1"/>
  <c r="L203" i="1" l="1"/>
  <c r="M203" i="1" s="1"/>
  <c r="N203" i="1" s="1"/>
  <c r="O203" i="1" s="1"/>
  <c r="P203" i="1" s="1"/>
  <c r="L195" i="1"/>
  <c r="M195" i="1" s="1"/>
  <c r="N195" i="1" s="1"/>
  <c r="O195" i="1" s="1"/>
  <c r="P195" i="1" s="1"/>
  <c r="M151" i="1"/>
  <c r="N151" i="1"/>
  <c r="O151" i="1"/>
  <c r="P151" i="1"/>
  <c r="L151" i="1"/>
  <c r="M335" i="1"/>
  <c r="M416" i="1" s="1"/>
  <c r="N335" i="1"/>
  <c r="N148" i="1" s="1"/>
  <c r="O335" i="1"/>
  <c r="O416" i="1" s="1"/>
  <c r="P335" i="1"/>
  <c r="P148" i="1" s="1"/>
  <c r="M382" i="1"/>
  <c r="M414" i="1" s="1"/>
  <c r="N382" i="1"/>
  <c r="N146" i="1" s="1"/>
  <c r="O382" i="1"/>
  <c r="O146" i="1" s="1"/>
  <c r="P382" i="1"/>
  <c r="P414" i="1" s="1"/>
  <c r="L382" i="1"/>
  <c r="L146" i="1" s="1"/>
  <c r="K383" i="1"/>
  <c r="L381" i="1" s="1"/>
  <c r="L375" i="1"/>
  <c r="M372" i="1"/>
  <c r="M413" i="1" s="1"/>
  <c r="N372" i="1"/>
  <c r="N145" i="1" s="1"/>
  <c r="O372" i="1"/>
  <c r="O413" i="1" s="1"/>
  <c r="P372" i="1"/>
  <c r="P145" i="1" s="1"/>
  <c r="L372" i="1"/>
  <c r="L145" i="1" s="1"/>
  <c r="K373" i="1"/>
  <c r="L371" i="1" s="1"/>
  <c r="M137" i="1"/>
  <c r="N137" i="1"/>
  <c r="O137" i="1"/>
  <c r="P137" i="1"/>
  <c r="M138" i="1"/>
  <c r="N138" i="1"/>
  <c r="O138" i="1"/>
  <c r="P138" i="1"/>
  <c r="M139" i="1"/>
  <c r="N139" i="1"/>
  <c r="O139" i="1"/>
  <c r="P139" i="1"/>
  <c r="L139" i="1"/>
  <c r="L138" i="1"/>
  <c r="L137" i="1"/>
  <c r="M132" i="1"/>
  <c r="N132" i="1"/>
  <c r="O132" i="1"/>
  <c r="P132" i="1"/>
  <c r="L132" i="1"/>
  <c r="M178" i="1"/>
  <c r="N178" i="1" s="1"/>
  <c r="O178" i="1" s="1"/>
  <c r="P178" i="1" s="1"/>
  <c r="L179" i="1"/>
  <c r="M179" i="1" s="1"/>
  <c r="N179" i="1" s="1"/>
  <c r="O179" i="1" s="1"/>
  <c r="P179" i="1" s="1"/>
  <c r="M180" i="1"/>
  <c r="N180" i="1" s="1"/>
  <c r="O180" i="1" s="1"/>
  <c r="P180" i="1" s="1"/>
  <c r="K274" i="1"/>
  <c r="K275" i="1"/>
  <c r="K271" i="1"/>
  <c r="K272" i="1"/>
  <c r="K273" i="1"/>
  <c r="J272" i="1"/>
  <c r="J273" i="1"/>
  <c r="J271" i="1"/>
  <c r="J275" i="1"/>
  <c r="J274" i="1"/>
  <c r="K348" i="1"/>
  <c r="K327" i="1"/>
  <c r="M241" i="1"/>
  <c r="N241" i="1"/>
  <c r="O241" i="1"/>
  <c r="P241" i="1"/>
  <c r="L241" i="1"/>
  <c r="M95" i="1"/>
  <c r="N95" i="1"/>
  <c r="O95" i="1"/>
  <c r="P95" i="1"/>
  <c r="L95" i="1"/>
  <c r="M89" i="1"/>
  <c r="N89" i="1"/>
  <c r="O89" i="1"/>
  <c r="P89" i="1"/>
  <c r="L86" i="1"/>
  <c r="L414" i="1" l="1"/>
  <c r="M145" i="1"/>
  <c r="M148" i="1"/>
  <c r="P416" i="1"/>
  <c r="P146" i="1"/>
  <c r="M146" i="1"/>
  <c r="P413" i="1"/>
  <c r="O414" i="1"/>
  <c r="N416" i="1"/>
  <c r="N414" i="1"/>
  <c r="N413" i="1"/>
  <c r="O148" i="1"/>
  <c r="O145" i="1"/>
  <c r="L413" i="1"/>
  <c r="L383" i="1"/>
  <c r="M385" i="1"/>
  <c r="L373" i="1"/>
  <c r="M375" i="1"/>
  <c r="M381" i="1" l="1"/>
  <c r="M383" i="1" s="1"/>
  <c r="M386" i="1" s="1"/>
  <c r="L193" i="1"/>
  <c r="M371" i="1"/>
  <c r="M373" i="1" s="1"/>
  <c r="L192" i="1"/>
  <c r="L376" i="1"/>
  <c r="L386" i="1"/>
  <c r="N385" i="1"/>
  <c r="N375" i="1"/>
  <c r="N371" i="1" l="1"/>
  <c r="N373" i="1" s="1"/>
  <c r="N376" i="1" s="1"/>
  <c r="M192" i="1"/>
  <c r="N381" i="1"/>
  <c r="N383" i="1" s="1"/>
  <c r="M193" i="1"/>
  <c r="M376" i="1"/>
  <c r="O385" i="1"/>
  <c r="O375" i="1"/>
  <c r="O381" i="1" l="1"/>
  <c r="O383" i="1" s="1"/>
  <c r="O386" i="1" s="1"/>
  <c r="N193" i="1"/>
  <c r="N386" i="1"/>
  <c r="O371" i="1"/>
  <c r="O373" i="1" s="1"/>
  <c r="O376" i="1" s="1"/>
  <c r="N192" i="1"/>
  <c r="P385" i="1"/>
  <c r="P375" i="1"/>
  <c r="P371" i="1" l="1"/>
  <c r="P373" i="1" s="1"/>
  <c r="P192" i="1" s="1"/>
  <c r="O192" i="1"/>
  <c r="P381" i="1"/>
  <c r="P383" i="1" s="1"/>
  <c r="P193" i="1" s="1"/>
  <c r="O19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L265" i="1"/>
  <c r="L266" i="1"/>
  <c r="L267" i="1"/>
  <c r="L268" i="1"/>
  <c r="L264" i="1"/>
  <c r="E231" i="1" a="1"/>
  <c r="E231" i="1" s="1"/>
  <c r="K62" i="1"/>
  <c r="K30" i="1"/>
  <c r="P386" i="1" l="1"/>
  <c r="P376" i="1"/>
  <c r="E234" i="1"/>
  <c r="E233" i="1"/>
  <c r="E232" i="1"/>
  <c r="E235" i="1"/>
  <c r="B49" i="1" l="1"/>
  <c r="B57" i="1"/>
  <c r="B45" i="1" l="1"/>
  <c r="E32" i="7"/>
  <c r="I32" i="7" s="1"/>
  <c r="L427" i="1"/>
  <c r="K425" i="1"/>
  <c r="L423" i="1" s="1"/>
  <c r="D414" i="1"/>
  <c r="D415" i="1"/>
  <c r="D416" i="1"/>
  <c r="D417" i="1"/>
  <c r="D418" i="1"/>
  <c r="D419" i="1"/>
  <c r="D413" i="1"/>
  <c r="J358" i="1"/>
  <c r="K358" i="1" s="1"/>
  <c r="L358" i="1" s="1"/>
  <c r="M358" i="1" s="1"/>
  <c r="N358" i="1" s="1"/>
  <c r="O358" i="1" s="1"/>
  <c r="P358" i="1" s="1"/>
  <c r="R54" i="6"/>
  <c r="Q54" i="6"/>
  <c r="P54" i="6"/>
  <c r="O54" i="6"/>
  <c r="N54" i="6"/>
  <c r="R53" i="6"/>
  <c r="Q53" i="6"/>
  <c r="P53" i="6"/>
  <c r="O53" i="6"/>
  <c r="N53" i="6"/>
  <c r="R52" i="6"/>
  <c r="N52" i="6"/>
  <c r="C53" i="6"/>
  <c r="C54" i="6"/>
  <c r="C52" i="6"/>
  <c r="O46" i="6"/>
  <c r="P46" i="6"/>
  <c r="Q46" i="6"/>
  <c r="R46" i="6"/>
  <c r="N46" i="6"/>
  <c r="L344" i="1"/>
  <c r="L335" i="1"/>
  <c r="K336" i="1"/>
  <c r="L334" i="1" s="1"/>
  <c r="M326" i="1"/>
  <c r="L325" i="1"/>
  <c r="N326" i="1"/>
  <c r="O326" i="1"/>
  <c r="P326" i="1"/>
  <c r="L326" i="1"/>
  <c r="J320" i="1"/>
  <c r="K320" i="1" s="1"/>
  <c r="L320" i="1" s="1"/>
  <c r="M320" i="1" s="1"/>
  <c r="N320" i="1" s="1"/>
  <c r="O320" i="1" s="1"/>
  <c r="P320" i="1" s="1"/>
  <c r="P313" i="1"/>
  <c r="M298" i="1"/>
  <c r="N298" i="1"/>
  <c r="O298" i="1"/>
  <c r="P298" i="1"/>
  <c r="L298" i="1"/>
  <c r="E294" i="1"/>
  <c r="J291" i="1"/>
  <c r="K291" i="1" s="1"/>
  <c r="L291" i="1" s="1"/>
  <c r="M291" i="1" s="1"/>
  <c r="N291" i="1" s="1"/>
  <c r="O291" i="1" s="1"/>
  <c r="P291" i="1" s="1"/>
  <c r="B285" i="1"/>
  <c r="P284" i="1"/>
  <c r="J152" i="1"/>
  <c r="K152" i="1"/>
  <c r="J133" i="1"/>
  <c r="K133" i="1"/>
  <c r="J140" i="1"/>
  <c r="K140" i="1"/>
  <c r="F224" i="1"/>
  <c r="L228" i="1" s="1"/>
  <c r="F225" i="1"/>
  <c r="J222" i="1"/>
  <c r="K222" i="1" s="1"/>
  <c r="L222" i="1" s="1"/>
  <c r="M222" i="1" s="1"/>
  <c r="N222" i="1" s="1"/>
  <c r="O222" i="1" s="1"/>
  <c r="P222" i="1" s="1"/>
  <c r="P215" i="1"/>
  <c r="J175" i="1"/>
  <c r="K175" i="1"/>
  <c r="J181" i="1"/>
  <c r="K181" i="1"/>
  <c r="J196" i="1"/>
  <c r="K196" i="1"/>
  <c r="J204" i="1"/>
  <c r="K204" i="1"/>
  <c r="J168" i="1"/>
  <c r="K168" i="1" s="1"/>
  <c r="L168" i="1" s="1"/>
  <c r="M168" i="1" s="1"/>
  <c r="N168" i="1" s="1"/>
  <c r="O168" i="1" s="1"/>
  <c r="P168" i="1" s="1"/>
  <c r="P161" i="1"/>
  <c r="D64" i="6"/>
  <c r="D65" i="6"/>
  <c r="D66" i="6"/>
  <c r="D67" i="6"/>
  <c r="D63" i="6"/>
  <c r="K261" i="1"/>
  <c r="J261" i="1"/>
  <c r="J255" i="1"/>
  <c r="K255" i="1" s="1"/>
  <c r="B249" i="1"/>
  <c r="P248" i="1"/>
  <c r="F58" i="1"/>
  <c r="K58" i="1" s="1"/>
  <c r="B46" i="1"/>
  <c r="J42" i="1"/>
  <c r="K42" i="1" s="1"/>
  <c r="B37" i="1"/>
  <c r="P36" i="1"/>
  <c r="K29" i="1"/>
  <c r="D30" i="1"/>
  <c r="D31" i="1"/>
  <c r="D29" i="1"/>
  <c r="L25" i="1"/>
  <c r="M25" i="1" s="1"/>
  <c r="N25" i="1" s="1"/>
  <c r="O25" i="1" s="1"/>
  <c r="P25" i="1" s="1"/>
  <c r="K15" i="1"/>
  <c r="J8" i="1"/>
  <c r="K8" i="1" s="1"/>
  <c r="L8" i="1" s="1"/>
  <c r="M8" i="1" s="1"/>
  <c r="N8" i="1" s="1"/>
  <c r="O8" i="1" s="1"/>
  <c r="P8" i="1" s="1"/>
  <c r="B3" i="1"/>
  <c r="P2" i="1"/>
  <c r="P118" i="1"/>
  <c r="P69" i="1"/>
  <c r="J101" i="1"/>
  <c r="K101" i="1"/>
  <c r="J87" i="1"/>
  <c r="K87" i="1"/>
  <c r="I83" i="1"/>
  <c r="J83" i="1"/>
  <c r="K83" i="1"/>
  <c r="K31" i="1" s="1"/>
  <c r="K20" i="1" s="1"/>
  <c r="B70" i="1"/>
  <c r="B405" i="1" s="1"/>
  <c r="J125" i="1"/>
  <c r="K125" i="1" s="1"/>
  <c r="L125" i="1" s="1"/>
  <c r="M125" i="1" s="1"/>
  <c r="N125" i="1" s="1"/>
  <c r="O125" i="1" s="1"/>
  <c r="P125" i="1" s="1"/>
  <c r="O49" i="6"/>
  <c r="O58" i="6" s="1"/>
  <c r="P49" i="6"/>
  <c r="P58" i="6" s="1"/>
  <c r="Q49" i="6"/>
  <c r="Q58" i="6" s="1"/>
  <c r="R49" i="6"/>
  <c r="R58" i="6" s="1"/>
  <c r="N49" i="6"/>
  <c r="N58" i="6" s="1"/>
  <c r="D44" i="6"/>
  <c r="D43" i="6"/>
  <c r="B35" i="6"/>
  <c r="B2" i="6"/>
  <c r="K24" i="6"/>
  <c r="F61" i="1" s="1"/>
  <c r="K61" i="1" s="1"/>
  <c r="E33" i="7"/>
  <c r="L33" i="7" s="1"/>
  <c r="D32" i="7"/>
  <c r="D33" i="7"/>
  <c r="D31" i="7"/>
  <c r="I8" i="7"/>
  <c r="J36" i="7"/>
  <c r="M19" i="1" s="1"/>
  <c r="K36" i="7"/>
  <c r="N19" i="1" s="1"/>
  <c r="L36" i="7"/>
  <c r="O19" i="1" s="1"/>
  <c r="M36" i="7"/>
  <c r="P19" i="1" s="1"/>
  <c r="I36" i="7"/>
  <c r="L19" i="1" s="1"/>
  <c r="J17" i="7"/>
  <c r="M13" i="1" s="1"/>
  <c r="K17" i="7"/>
  <c r="N13" i="1" s="1"/>
  <c r="L17" i="7"/>
  <c r="O13" i="1" s="1"/>
  <c r="M17" i="7"/>
  <c r="P13" i="1" s="1"/>
  <c r="I17" i="7"/>
  <c r="L13" i="1" s="1"/>
  <c r="L45" i="1" s="1"/>
  <c r="B2" i="7"/>
  <c r="B2" i="4"/>
  <c r="G18" i="3"/>
  <c r="B119" i="1" l="1"/>
  <c r="B352" i="1"/>
  <c r="L147" i="1"/>
  <c r="L415" i="1"/>
  <c r="P147" i="1"/>
  <c r="P415" i="1"/>
  <c r="M415" i="1"/>
  <c r="M147" i="1"/>
  <c r="O415" i="1"/>
  <c r="O147" i="1"/>
  <c r="L148" i="1"/>
  <c r="L416" i="1"/>
  <c r="N147" i="1"/>
  <c r="N415" i="1"/>
  <c r="J277" i="1"/>
  <c r="K277" i="1"/>
  <c r="M338" i="1"/>
  <c r="N329" i="1"/>
  <c r="O329" i="1" s="1"/>
  <c r="L255" i="1"/>
  <c r="M255" i="1" s="1"/>
  <c r="N255" i="1" s="1"/>
  <c r="O255" i="1" s="1"/>
  <c r="P255" i="1" s="1"/>
  <c r="P258" i="1" s="1"/>
  <c r="O228" i="1"/>
  <c r="N228" i="1"/>
  <c r="P228" i="1"/>
  <c r="M228" i="1"/>
  <c r="N40" i="6"/>
  <c r="K32" i="7"/>
  <c r="L61" i="1"/>
  <c r="L20" i="1"/>
  <c r="M20" i="1" s="1"/>
  <c r="N20" i="1" s="1"/>
  <c r="O20" i="1" s="1"/>
  <c r="P20" i="1" s="1"/>
  <c r="L42" i="1"/>
  <c r="M42" i="1" s="1"/>
  <c r="N42" i="1" s="1"/>
  <c r="O42" i="1" s="1"/>
  <c r="P42" i="1" s="1"/>
  <c r="L14" i="1"/>
  <c r="Q52" i="6"/>
  <c r="O52" i="6"/>
  <c r="P52" i="6"/>
  <c r="M427" i="1"/>
  <c r="N427" i="1" s="1"/>
  <c r="N140" i="1"/>
  <c r="N412" i="1" s="1"/>
  <c r="O140" i="1"/>
  <c r="O412" i="1" s="1"/>
  <c r="M140" i="1"/>
  <c r="M412" i="1" s="1"/>
  <c r="L140" i="1"/>
  <c r="L336" i="1"/>
  <c r="L327" i="1"/>
  <c r="K90" i="1"/>
  <c r="K93" i="1" s="1"/>
  <c r="K97" i="1" s="1"/>
  <c r="K106" i="1" s="1"/>
  <c r="B314" i="1"/>
  <c r="J90" i="1"/>
  <c r="J93" i="1" s="1"/>
  <c r="J97" i="1" s="1"/>
  <c r="J103" i="1" s="1"/>
  <c r="J106" i="1" s="1"/>
  <c r="K154" i="1"/>
  <c r="K363" i="1" s="1"/>
  <c r="J154" i="1"/>
  <c r="B216" i="1"/>
  <c r="D231" i="1"/>
  <c r="P140" i="1"/>
  <c r="P412" i="1" s="1"/>
  <c r="K183" i="1"/>
  <c r="J183" i="1"/>
  <c r="B162" i="1"/>
  <c r="K260" i="1"/>
  <c r="J260" i="1"/>
  <c r="J258" i="1"/>
  <c r="J268" i="1" s="1"/>
  <c r="K258" i="1"/>
  <c r="K266" i="1" s="1"/>
  <c r="K78" i="1"/>
  <c r="K79" i="1"/>
  <c r="K77" i="1"/>
  <c r="J32" i="7"/>
  <c r="K33" i="7"/>
  <c r="K29" i="7" s="1"/>
  <c r="N12" i="1" s="1"/>
  <c r="I33" i="7"/>
  <c r="J33" i="7"/>
  <c r="M33" i="7"/>
  <c r="M32" i="7"/>
  <c r="L32" i="7"/>
  <c r="L29" i="7" s="1"/>
  <c r="O12" i="1" s="1"/>
  <c r="J8" i="7"/>
  <c r="I204" i="1"/>
  <c r="I196" i="1"/>
  <c r="J190" i="1"/>
  <c r="J198" i="1" s="1"/>
  <c r="J206" i="1" s="1"/>
  <c r="K190" i="1"/>
  <c r="K198" i="1" s="1"/>
  <c r="K206" i="1" s="1"/>
  <c r="I190" i="1"/>
  <c r="I181" i="1"/>
  <c r="I175" i="1"/>
  <c r="L258" i="1" l="1"/>
  <c r="M325" i="1"/>
  <c r="M327" i="1" s="1"/>
  <c r="M330" i="1" s="1"/>
  <c r="L330" i="1"/>
  <c r="M258" i="1"/>
  <c r="O258" i="1"/>
  <c r="N258" i="1"/>
  <c r="L231" i="1"/>
  <c r="L237" i="1" s="1"/>
  <c r="M231" i="1"/>
  <c r="N231" i="1"/>
  <c r="O231" i="1"/>
  <c r="P231" i="1"/>
  <c r="L30" i="1"/>
  <c r="L82" i="1" s="1"/>
  <c r="N29" i="1"/>
  <c r="N81" i="1" s="1"/>
  <c r="O29" i="1"/>
  <c r="O81" i="1" s="1"/>
  <c r="K46" i="1"/>
  <c r="O427" i="1"/>
  <c r="J29" i="7"/>
  <c r="M12" i="1" s="1"/>
  <c r="M29" i="1" s="1"/>
  <c r="M81" i="1" s="1"/>
  <c r="M29" i="7"/>
  <c r="P12" i="1" s="1"/>
  <c r="P29" i="1" s="1"/>
  <c r="P81" i="1" s="1"/>
  <c r="I29" i="7"/>
  <c r="L12" i="1" s="1"/>
  <c r="L29" i="1" s="1"/>
  <c r="L81" i="1" s="1"/>
  <c r="M334" i="1"/>
  <c r="M336" i="1" s="1"/>
  <c r="K110" i="1"/>
  <c r="N338" i="1"/>
  <c r="N325" i="1"/>
  <c r="N327" i="1" s="1"/>
  <c r="N330" i="1" s="1"/>
  <c r="P329" i="1"/>
  <c r="K210" i="1"/>
  <c r="J110" i="1"/>
  <c r="J210" i="1"/>
  <c r="D232" i="1"/>
  <c r="J112" i="1"/>
  <c r="J111" i="1"/>
  <c r="K112" i="1"/>
  <c r="K111" i="1"/>
  <c r="J267" i="1"/>
  <c r="K267" i="1"/>
  <c r="J264" i="1"/>
  <c r="K264" i="1"/>
  <c r="J266" i="1"/>
  <c r="J265" i="1"/>
  <c r="K265" i="1"/>
  <c r="K268" i="1"/>
  <c r="M45" i="1"/>
  <c r="M65" i="1" s="1"/>
  <c r="M86" i="1" s="1"/>
  <c r="M14" i="1"/>
  <c r="M30" i="1" s="1"/>
  <c r="M82" i="1" s="1"/>
  <c r="K8" i="7"/>
  <c r="O40" i="6"/>
  <c r="I183" i="1"/>
  <c r="I198" i="1"/>
  <c r="I206" i="1" s="1"/>
  <c r="I140" i="1"/>
  <c r="I133" i="1"/>
  <c r="I101" i="1"/>
  <c r="I87" i="1"/>
  <c r="N149" i="1" l="1"/>
  <c r="N105" i="1"/>
  <c r="N417" i="1"/>
  <c r="L105" i="1"/>
  <c r="L149" i="1"/>
  <c r="L417" i="1"/>
  <c r="M105" i="1"/>
  <c r="M417" i="1"/>
  <c r="M149" i="1"/>
  <c r="L346" i="1"/>
  <c r="L242" i="1"/>
  <c r="L92" i="1"/>
  <c r="M232" i="1"/>
  <c r="M237" i="1" s="1"/>
  <c r="N232" i="1"/>
  <c r="O232" i="1"/>
  <c r="P232" i="1"/>
  <c r="L129" i="1"/>
  <c r="L15" i="1"/>
  <c r="K50" i="1"/>
  <c r="L50" i="1" s="1"/>
  <c r="K53" i="1"/>
  <c r="M61" i="1"/>
  <c r="L46" i="1"/>
  <c r="L53" i="1" s="1"/>
  <c r="P427" i="1"/>
  <c r="M346" i="1"/>
  <c r="N334" i="1"/>
  <c r="N336" i="1" s="1"/>
  <c r="O338" i="1"/>
  <c r="O325" i="1"/>
  <c r="O327" i="1" s="1"/>
  <c r="O330" i="1" s="1"/>
  <c r="D233" i="1"/>
  <c r="N45" i="1"/>
  <c r="N65" i="1" s="1"/>
  <c r="N86" i="1" s="1"/>
  <c r="N14" i="1"/>
  <c r="N30" i="1" s="1"/>
  <c r="N82" i="1" s="1"/>
  <c r="M15" i="1"/>
  <c r="L8" i="7"/>
  <c r="P40" i="6"/>
  <c r="I210" i="1"/>
  <c r="I90" i="1"/>
  <c r="I152" i="1"/>
  <c r="J77" i="1"/>
  <c r="J78" i="1"/>
  <c r="J79" i="1"/>
  <c r="O105" i="1" l="1"/>
  <c r="O417" i="1"/>
  <c r="O149" i="1"/>
  <c r="M240" i="1"/>
  <c r="M242" i="1"/>
  <c r="M92" i="1"/>
  <c r="M129" i="1"/>
  <c r="N233" i="1"/>
  <c r="N237" i="1" s="1"/>
  <c r="O233" i="1"/>
  <c r="P233" i="1"/>
  <c r="N61" i="1"/>
  <c r="L58" i="1"/>
  <c r="M50" i="1"/>
  <c r="L22" i="1"/>
  <c r="K54" i="1"/>
  <c r="N346" i="1"/>
  <c r="O334" i="1"/>
  <c r="O336" i="1" s="1"/>
  <c r="P338" i="1"/>
  <c r="P325" i="1"/>
  <c r="P327" i="1" s="1"/>
  <c r="P330" i="1" s="1"/>
  <c r="D234" i="1"/>
  <c r="I93" i="1"/>
  <c r="I97" i="1" s="1"/>
  <c r="I103" i="1" s="1"/>
  <c r="I106" i="1" s="1"/>
  <c r="I110" i="1"/>
  <c r="P45" i="1"/>
  <c r="O45" i="1"/>
  <c r="O65" i="1" s="1"/>
  <c r="O86" i="1" s="1"/>
  <c r="O14" i="1"/>
  <c r="N15" i="1"/>
  <c r="M8" i="7"/>
  <c r="H16" i="6" s="1"/>
  <c r="Q40" i="6"/>
  <c r="I78" i="1"/>
  <c r="I79" i="1"/>
  <c r="M243" i="1" l="1"/>
  <c r="N240" i="1" s="1"/>
  <c r="P105" i="1"/>
  <c r="P149" i="1"/>
  <c r="P417" i="1"/>
  <c r="N242" i="1"/>
  <c r="N92" i="1"/>
  <c r="N129" i="1"/>
  <c r="O234" i="1"/>
  <c r="O237" i="1" s="1"/>
  <c r="P234" i="1"/>
  <c r="P65" i="1"/>
  <c r="P86" i="1" s="1"/>
  <c r="P14" i="1"/>
  <c r="P30" i="1" s="1"/>
  <c r="P82" i="1" s="1"/>
  <c r="O30" i="1"/>
  <c r="O82" i="1" s="1"/>
  <c r="N50" i="1"/>
  <c r="O61" i="1"/>
  <c r="L83" i="1"/>
  <c r="L260" i="1" s="1"/>
  <c r="L271" i="1" s="1"/>
  <c r="N46" i="1"/>
  <c r="N53" i="1" s="1"/>
  <c r="L62" i="1"/>
  <c r="L85" i="1" s="1"/>
  <c r="O22" i="1"/>
  <c r="N22" i="1"/>
  <c r="M22" i="1"/>
  <c r="N83" i="1"/>
  <c r="M46" i="1"/>
  <c r="M58" i="1" s="1"/>
  <c r="L54" i="1"/>
  <c r="L31" i="1"/>
  <c r="O346" i="1"/>
  <c r="P346" i="1"/>
  <c r="P334" i="1"/>
  <c r="P336" i="1" s="1"/>
  <c r="D235" i="1"/>
  <c r="P235" i="1" s="1"/>
  <c r="I112" i="1"/>
  <c r="I111" i="1"/>
  <c r="P46" i="1"/>
  <c r="O46" i="1"/>
  <c r="O15" i="1"/>
  <c r="R40" i="6"/>
  <c r="I154" i="1"/>
  <c r="I156" i="1" s="1"/>
  <c r="J155" i="1" s="1"/>
  <c r="J156" i="1" s="1"/>
  <c r="K155" i="1" s="1"/>
  <c r="J75" i="1"/>
  <c r="M177" i="1" l="1"/>
  <c r="N243" i="1"/>
  <c r="O240" i="1" s="1"/>
  <c r="L172" i="1"/>
  <c r="O92" i="1"/>
  <c r="O242" i="1"/>
  <c r="P237" i="1"/>
  <c r="O129" i="1"/>
  <c r="M62" i="1"/>
  <c r="M85" i="1" s="1"/>
  <c r="M53" i="1"/>
  <c r="M54" i="1" s="1"/>
  <c r="O50" i="1"/>
  <c r="N58" i="1"/>
  <c r="N62" i="1" s="1"/>
  <c r="N85" i="1" s="1"/>
  <c r="M83" i="1"/>
  <c r="M79" i="1" s="1"/>
  <c r="P61" i="1"/>
  <c r="P53" i="1" s="1"/>
  <c r="O53" i="1"/>
  <c r="L79" i="1"/>
  <c r="L77" i="1"/>
  <c r="M31" i="1"/>
  <c r="N31" i="1"/>
  <c r="N260" i="1"/>
  <c r="N271" i="1" s="1"/>
  <c r="N79" i="1"/>
  <c r="O83" i="1"/>
  <c r="O77" i="1" s="1"/>
  <c r="O31" i="1"/>
  <c r="P22" i="1"/>
  <c r="P15" i="1"/>
  <c r="K75" i="1"/>
  <c r="N177" i="1" l="1"/>
  <c r="O243" i="1"/>
  <c r="P240" i="1" s="1"/>
  <c r="N172" i="1"/>
  <c r="P129" i="1"/>
  <c r="P92" i="1"/>
  <c r="P242" i="1"/>
  <c r="M260" i="1"/>
  <c r="M271" i="1" s="1"/>
  <c r="M77" i="1"/>
  <c r="N77" i="1"/>
  <c r="P50" i="1"/>
  <c r="P58" i="1" s="1"/>
  <c r="P62" i="1" s="1"/>
  <c r="P85" i="1" s="1"/>
  <c r="O58" i="1"/>
  <c r="O62" i="1" s="1"/>
  <c r="O85" i="1" s="1"/>
  <c r="N54" i="1"/>
  <c r="O260" i="1"/>
  <c r="O271" i="1" s="1"/>
  <c r="O79" i="1"/>
  <c r="P83" i="1"/>
  <c r="P79" i="1" s="1"/>
  <c r="L75" i="1"/>
  <c r="M75" i="1" s="1"/>
  <c r="N75" i="1" s="1"/>
  <c r="O75" i="1" s="1"/>
  <c r="P75" i="1" s="1"/>
  <c r="P31" i="1"/>
  <c r="O177" i="1" l="1"/>
  <c r="P243" i="1"/>
  <c r="P177" i="1" s="1"/>
  <c r="O172" i="1"/>
  <c r="M172" i="1"/>
  <c r="P54" i="1"/>
  <c r="O54" i="1"/>
  <c r="P77" i="1"/>
  <c r="P260" i="1"/>
  <c r="P271" i="1" s="1"/>
  <c r="K156" i="1"/>
  <c r="P172" i="1" l="1"/>
  <c r="L181" i="1"/>
  <c r="L155" i="1"/>
  <c r="M181" i="1" l="1"/>
  <c r="N181" i="1" l="1"/>
  <c r="L261" i="1"/>
  <c r="L87" i="1"/>
  <c r="L90" i="1" s="1"/>
  <c r="L78" i="1"/>
  <c r="P261" i="1"/>
  <c r="P275" i="1" s="1"/>
  <c r="P87" i="1"/>
  <c r="P90" i="1" s="1"/>
  <c r="P78" i="1"/>
  <c r="O261" i="1"/>
  <c r="O87" i="1"/>
  <c r="O90" i="1" s="1"/>
  <c r="O78" i="1"/>
  <c r="N261" i="1"/>
  <c r="N87" i="1"/>
  <c r="N90" i="1" s="1"/>
  <c r="N78" i="1"/>
  <c r="M261" i="1"/>
  <c r="M87" i="1"/>
  <c r="M90" i="1" s="1"/>
  <c r="M78" i="1"/>
  <c r="L273" i="1" l="1"/>
  <c r="L174" i="1" s="1"/>
  <c r="L272" i="1"/>
  <c r="L173" i="1" s="1"/>
  <c r="O181" i="1"/>
  <c r="P181" i="1"/>
  <c r="P272" i="1"/>
  <c r="P273" i="1"/>
  <c r="P174" i="1" s="1"/>
  <c r="P274" i="1"/>
  <c r="P188" i="1" s="1"/>
  <c r="P189" i="1"/>
  <c r="O272" i="1"/>
  <c r="O273" i="1"/>
  <c r="O174" i="1" s="1"/>
  <c r="O274" i="1"/>
  <c r="O188" i="1" s="1"/>
  <c r="O275" i="1"/>
  <c r="O189" i="1" s="1"/>
  <c r="N272" i="1"/>
  <c r="N273" i="1"/>
  <c r="N174" i="1" s="1"/>
  <c r="N274" i="1"/>
  <c r="N188" i="1" s="1"/>
  <c r="N275" i="1"/>
  <c r="N189" i="1" s="1"/>
  <c r="M272" i="1"/>
  <c r="M273" i="1"/>
  <c r="M174" i="1" s="1"/>
  <c r="M274" i="1"/>
  <c r="M188" i="1" s="1"/>
  <c r="M275" i="1"/>
  <c r="M189" i="1" s="1"/>
  <c r="L274" i="1"/>
  <c r="L188" i="1" s="1"/>
  <c r="L275" i="1"/>
  <c r="L189" i="1" s="1"/>
  <c r="O93" i="1"/>
  <c r="O110" i="1"/>
  <c r="N93" i="1"/>
  <c r="N110" i="1"/>
  <c r="M93" i="1"/>
  <c r="M110" i="1"/>
  <c r="L93" i="1"/>
  <c r="L110" i="1"/>
  <c r="P93" i="1"/>
  <c r="P110" i="1"/>
  <c r="L277" i="1" l="1"/>
  <c r="M173" i="1"/>
  <c r="M277" i="1"/>
  <c r="N173" i="1"/>
  <c r="N277" i="1"/>
  <c r="O173" i="1"/>
  <c r="O277" i="1"/>
  <c r="P173" i="1"/>
  <c r="P277" i="1"/>
  <c r="P279" i="1" l="1"/>
  <c r="P131" i="1" s="1"/>
  <c r="N279" i="1"/>
  <c r="N131" i="1" s="1"/>
  <c r="O131" i="1"/>
  <c r="M279" i="1"/>
  <c r="M131" i="1" s="1"/>
  <c r="L279" i="1"/>
  <c r="L131" i="1" s="1"/>
  <c r="L96" i="1" l="1"/>
  <c r="M96" i="1"/>
  <c r="N96" i="1"/>
  <c r="O96" i="1"/>
  <c r="P96" i="1"/>
  <c r="L97" i="1"/>
  <c r="M97" i="1"/>
  <c r="N97" i="1"/>
  <c r="O97" i="1"/>
  <c r="P97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3" i="1"/>
  <c r="M103" i="1"/>
  <c r="N103" i="1"/>
  <c r="O103" i="1"/>
  <c r="P103" i="1"/>
  <c r="L106" i="1"/>
  <c r="M106" i="1"/>
  <c r="N106" i="1"/>
  <c r="O106" i="1"/>
  <c r="P106" i="1"/>
  <c r="L111" i="1"/>
  <c r="M111" i="1"/>
  <c r="N111" i="1"/>
  <c r="O111" i="1"/>
  <c r="P111" i="1"/>
  <c r="L112" i="1"/>
  <c r="M112" i="1"/>
  <c r="N112" i="1"/>
  <c r="O112" i="1"/>
  <c r="P112" i="1"/>
  <c r="L128" i="1"/>
  <c r="M128" i="1"/>
  <c r="N128" i="1"/>
  <c r="O128" i="1"/>
  <c r="P128" i="1"/>
  <c r="L130" i="1"/>
  <c r="M130" i="1"/>
  <c r="N130" i="1"/>
  <c r="O130" i="1"/>
  <c r="P130" i="1"/>
  <c r="L133" i="1"/>
  <c r="M133" i="1"/>
  <c r="N133" i="1"/>
  <c r="O133" i="1"/>
  <c r="P133" i="1"/>
  <c r="L144" i="1"/>
  <c r="M144" i="1"/>
  <c r="N144" i="1"/>
  <c r="O144" i="1"/>
  <c r="P144" i="1"/>
  <c r="L150" i="1"/>
  <c r="M150" i="1"/>
  <c r="N150" i="1"/>
  <c r="O150" i="1"/>
  <c r="P150" i="1"/>
  <c r="L152" i="1"/>
  <c r="M152" i="1"/>
  <c r="N152" i="1"/>
  <c r="O152" i="1"/>
  <c r="P152" i="1"/>
  <c r="L154" i="1"/>
  <c r="M154" i="1"/>
  <c r="N154" i="1"/>
  <c r="O154" i="1"/>
  <c r="P154" i="1"/>
  <c r="M155" i="1"/>
  <c r="N155" i="1"/>
  <c r="O155" i="1"/>
  <c r="P155" i="1"/>
  <c r="L156" i="1"/>
  <c r="M156" i="1"/>
  <c r="N156" i="1"/>
  <c r="O156" i="1"/>
  <c r="P156" i="1"/>
  <c r="L171" i="1"/>
  <c r="M171" i="1"/>
  <c r="N171" i="1"/>
  <c r="O171" i="1"/>
  <c r="P171" i="1"/>
  <c r="L175" i="1"/>
  <c r="M175" i="1"/>
  <c r="N175" i="1"/>
  <c r="O175" i="1"/>
  <c r="P175" i="1"/>
  <c r="L183" i="1"/>
  <c r="M183" i="1"/>
  <c r="N183" i="1"/>
  <c r="O183" i="1"/>
  <c r="P183" i="1"/>
  <c r="L187" i="1"/>
  <c r="M187" i="1"/>
  <c r="N187" i="1"/>
  <c r="O187" i="1"/>
  <c r="P187" i="1"/>
  <c r="L190" i="1"/>
  <c r="M190" i="1"/>
  <c r="N190" i="1"/>
  <c r="O190" i="1"/>
  <c r="P190" i="1"/>
  <c r="L194" i="1"/>
  <c r="M194" i="1"/>
  <c r="N194" i="1"/>
  <c r="O194" i="1"/>
  <c r="P194" i="1"/>
  <c r="L196" i="1"/>
  <c r="M196" i="1"/>
  <c r="N196" i="1"/>
  <c r="O196" i="1"/>
  <c r="P196" i="1"/>
  <c r="L198" i="1"/>
  <c r="M198" i="1"/>
  <c r="N198" i="1"/>
  <c r="O198" i="1"/>
  <c r="P198" i="1"/>
  <c r="L202" i="1"/>
  <c r="M202" i="1"/>
  <c r="N202" i="1"/>
  <c r="O202" i="1"/>
  <c r="P202" i="1"/>
  <c r="L204" i="1"/>
  <c r="M204" i="1"/>
  <c r="N204" i="1"/>
  <c r="O204" i="1"/>
  <c r="P204" i="1"/>
  <c r="L206" i="1"/>
  <c r="M206" i="1"/>
  <c r="N206" i="1"/>
  <c r="O206" i="1"/>
  <c r="P206" i="1"/>
  <c r="L210" i="1"/>
  <c r="M210" i="1"/>
  <c r="N210" i="1"/>
  <c r="O210" i="1"/>
  <c r="P210" i="1"/>
  <c r="L297" i="1"/>
  <c r="M297" i="1"/>
  <c r="N297" i="1"/>
  <c r="O297" i="1"/>
  <c r="P297" i="1"/>
  <c r="L299" i="1"/>
  <c r="M299" i="1"/>
  <c r="N299" i="1"/>
  <c r="O299" i="1"/>
  <c r="P299" i="1"/>
  <c r="L301" i="1"/>
  <c r="M301" i="1"/>
  <c r="N301" i="1"/>
  <c r="O301" i="1"/>
  <c r="P301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39" i="1"/>
  <c r="M339" i="1"/>
  <c r="N339" i="1"/>
  <c r="O339" i="1"/>
  <c r="P339" i="1"/>
  <c r="L340" i="1"/>
  <c r="M340" i="1"/>
  <c r="N340" i="1"/>
  <c r="O340" i="1"/>
  <c r="P340" i="1"/>
  <c r="M344" i="1"/>
  <c r="N344" i="1"/>
  <c r="O344" i="1"/>
  <c r="P344" i="1"/>
  <c r="L345" i="1"/>
  <c r="M345" i="1"/>
  <c r="N345" i="1"/>
  <c r="O345" i="1"/>
  <c r="P345" i="1"/>
  <c r="L347" i="1"/>
  <c r="M347" i="1"/>
  <c r="N347" i="1"/>
  <c r="O347" i="1"/>
  <c r="P347" i="1"/>
  <c r="L348" i="1"/>
  <c r="M348" i="1"/>
  <c r="N348" i="1"/>
  <c r="O348" i="1"/>
  <c r="P348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6" i="1"/>
  <c r="M366" i="1"/>
  <c r="N366" i="1"/>
  <c r="O366" i="1"/>
  <c r="P366" i="1"/>
  <c r="L411" i="1"/>
  <c r="M411" i="1"/>
  <c r="N411" i="1"/>
  <c r="O411" i="1"/>
  <c r="P411" i="1"/>
  <c r="L418" i="1"/>
  <c r="M418" i="1"/>
  <c r="N418" i="1"/>
  <c r="O418" i="1"/>
  <c r="P418" i="1"/>
  <c r="L420" i="1"/>
  <c r="M420" i="1"/>
  <c r="N420" i="1"/>
  <c r="O420" i="1"/>
  <c r="P420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8" i="1"/>
  <c r="M428" i="1"/>
  <c r="N428" i="1"/>
  <c r="O428" i="1"/>
  <c r="P428" i="1"/>
  <c r="L431" i="1"/>
  <c r="M431" i="1"/>
  <c r="N431" i="1"/>
  <c r="O431" i="1"/>
  <c r="P431" i="1"/>
</calcChain>
</file>

<file path=xl/sharedStrings.xml><?xml version="1.0" encoding="utf-8"?>
<sst xmlns="http://schemas.openxmlformats.org/spreadsheetml/2006/main" count="350" uniqueCount="233">
  <si>
    <t>Income Statement</t>
  </si>
  <si>
    <t>Revenue Growth</t>
  </si>
  <si>
    <t>COGS (% of revenue)</t>
  </si>
  <si>
    <t>SG&amp;A (% of revenue)</t>
  </si>
  <si>
    <t>SG&amp;A</t>
  </si>
  <si>
    <t>Total Costs</t>
  </si>
  <si>
    <t>Cost Adjustments - Gain / (Loss)</t>
  </si>
  <si>
    <t>EBITDA</t>
  </si>
  <si>
    <t>Depreciation</t>
  </si>
  <si>
    <t>EBIT</t>
  </si>
  <si>
    <t>EBT</t>
  </si>
  <si>
    <t>Current Taxes</t>
  </si>
  <si>
    <t>Deferred Income Taxes</t>
  </si>
  <si>
    <t>Total Income Taxes</t>
  </si>
  <si>
    <t>Net Income</t>
  </si>
  <si>
    <t>Cash Flow Statement</t>
  </si>
  <si>
    <t>Operating Activities</t>
  </si>
  <si>
    <t>Changes in Working Capital</t>
  </si>
  <si>
    <t>Operating Cash Flow</t>
  </si>
  <si>
    <t>Investing Activities</t>
  </si>
  <si>
    <t>CAPEX</t>
  </si>
  <si>
    <t>Asset Dispositions</t>
  </si>
  <si>
    <t>Investing Cash Flow</t>
  </si>
  <si>
    <t>Financing Activities</t>
  </si>
  <si>
    <t>Revolver Issuance / (Repayment)</t>
  </si>
  <si>
    <t>Financing Cash Flow</t>
  </si>
  <si>
    <t>ASSETS</t>
  </si>
  <si>
    <t>Accounts Receivable</t>
  </si>
  <si>
    <t>Other</t>
  </si>
  <si>
    <t>Total Current Assets</t>
  </si>
  <si>
    <t>Net PP&amp;E</t>
  </si>
  <si>
    <t>Goodwill</t>
  </si>
  <si>
    <t>Intangibles</t>
  </si>
  <si>
    <t>Total Long Term Assets</t>
  </si>
  <si>
    <t>Total Assets</t>
  </si>
  <si>
    <t>LIABILITIES AND EQUITY</t>
  </si>
  <si>
    <t>Bank Debt - Revolver</t>
  </si>
  <si>
    <t>Accounts Payable</t>
  </si>
  <si>
    <t>Total Current Liabilities</t>
  </si>
  <si>
    <t>Total Long Term Liabilities</t>
  </si>
  <si>
    <t>Total Liabilities</t>
  </si>
  <si>
    <t>Retained Earnings</t>
  </si>
  <si>
    <t>Shareholder's Equity</t>
  </si>
  <si>
    <t>Total Liabilities and Equity</t>
  </si>
  <si>
    <t>Change in Cash Position</t>
  </si>
  <si>
    <t>Beginning Cash</t>
  </si>
  <si>
    <t>Ending Cash</t>
  </si>
  <si>
    <t>Cash and Equivalents</t>
  </si>
  <si>
    <t>Variable Rate Long Term Debt</t>
  </si>
  <si>
    <t>Fixed Rate Long Term Debt</t>
  </si>
  <si>
    <t>Variable Rate Long Term Debt Issuance / (Repayment)</t>
  </si>
  <si>
    <t>Fixed Rate Long Term Debt Issuance / (Repayment)</t>
  </si>
  <si>
    <t>Preferred Dividend</t>
  </si>
  <si>
    <t>Net Income to Common</t>
  </si>
  <si>
    <t>Preferred Shares</t>
  </si>
  <si>
    <t>Common Shares</t>
  </si>
  <si>
    <t>Preferred Share Dividends</t>
  </si>
  <si>
    <t>Common Share Dividends</t>
  </si>
  <si>
    <t>Net Interest Expense</t>
  </si>
  <si>
    <t>Millions for the Year Ended December 31</t>
  </si>
  <si>
    <t>Preferred Share Issuance / (Buy-Back)</t>
  </si>
  <si>
    <t>Common Share Issuance / (Buy-Back)</t>
  </si>
  <si>
    <t>Cost of Sales</t>
  </si>
  <si>
    <t>Prepaid Expenses</t>
  </si>
  <si>
    <t>Gross Revenue</t>
  </si>
  <si>
    <t>Freight &amp; Warehousing</t>
  </si>
  <si>
    <t>Net Revenue</t>
  </si>
  <si>
    <t>FINANCIAL STATEMENT FOR 2021 TO 2025</t>
  </si>
  <si>
    <t>Modeler:</t>
  </si>
  <si>
    <t>Version:</t>
  </si>
  <si>
    <t>Date:</t>
  </si>
  <si>
    <t>Oni, Segun  John</t>
  </si>
  <si>
    <t>Ver. 1. 01</t>
  </si>
  <si>
    <t>Inputs and Assumptions</t>
  </si>
  <si>
    <t>Executive Summary</t>
  </si>
  <si>
    <t>Economic and Pricing Scenarios</t>
  </si>
  <si>
    <t>Unit</t>
  </si>
  <si>
    <t>ECONOMIC SCENARIOS</t>
  </si>
  <si>
    <t>Cost Inflation</t>
  </si>
  <si>
    <t>Base Case</t>
  </si>
  <si>
    <t>Best Case</t>
  </si>
  <si>
    <t>Worse Case</t>
  </si>
  <si>
    <t>PRICING SCENARIOS</t>
  </si>
  <si>
    <t>SCENARIOS USED:</t>
  </si>
  <si>
    <t>Sales Price - $/Unit</t>
  </si>
  <si>
    <t>Savles Volume</t>
  </si>
  <si>
    <t>GENERAL</t>
  </si>
  <si>
    <t>-</t>
  </si>
  <si>
    <t>The first year of the Financial model</t>
  </si>
  <si>
    <t>The three scenarios that are forecasted are Cost Inflation,</t>
  </si>
  <si>
    <t>Sales price and sales volume</t>
  </si>
  <si>
    <t>Inputs</t>
  </si>
  <si>
    <t>Formula</t>
  </si>
  <si>
    <t>Linked Cells</t>
  </si>
  <si>
    <t>Blue</t>
  </si>
  <si>
    <t>Purple</t>
  </si>
  <si>
    <t>Black</t>
  </si>
  <si>
    <t>The Scenarios used for pricing are:</t>
  </si>
  <si>
    <t>Research Forecast</t>
  </si>
  <si>
    <t xml:space="preserve">COST </t>
  </si>
  <si>
    <t>Variable cost</t>
  </si>
  <si>
    <t>Fixed Cost</t>
  </si>
  <si>
    <t>SG&amp;A   (Millions)</t>
  </si>
  <si>
    <t>Operational Cost Year</t>
  </si>
  <si>
    <t>DEPRECIATION</t>
  </si>
  <si>
    <t>Method of depreciation used</t>
  </si>
  <si>
    <t>Straight Line</t>
  </si>
  <si>
    <t>Useful Life of existing assets</t>
  </si>
  <si>
    <t>Depreciable life of New Asset</t>
  </si>
  <si>
    <t>TAXES</t>
  </si>
  <si>
    <t>Tax Rate</t>
  </si>
  <si>
    <t>The other assumptions for Tax is innthe Other Assumption sheet</t>
  </si>
  <si>
    <t>INTEREST RATES</t>
  </si>
  <si>
    <t>Interest rate on Fixed rate term debt</t>
  </si>
  <si>
    <t>Interest rate on revolving Credit facility</t>
  </si>
  <si>
    <t>Variable Rate Term Debt</t>
  </si>
  <si>
    <t>Libour</t>
  </si>
  <si>
    <t>Growth rate</t>
  </si>
  <si>
    <t>Interest on Excess Cash</t>
  </si>
  <si>
    <t>FACTORY CAPACITY</t>
  </si>
  <si>
    <t>The maximum factory capacity (000's Units)</t>
  </si>
  <si>
    <t>EQUITY</t>
  </si>
  <si>
    <t>Preffer Shares raise in 2022 (Millions)</t>
  </si>
  <si>
    <t>Dividend payout for Preferred Shares</t>
  </si>
  <si>
    <t>Dividend payout ratio</t>
  </si>
  <si>
    <t>Cash Flow -Investing Activities</t>
  </si>
  <si>
    <t>Working Capital Assumptions</t>
  </si>
  <si>
    <t>Revenue Schedule</t>
  </si>
  <si>
    <t>Gross Sale Price</t>
  </si>
  <si>
    <t>Net Sale Price</t>
  </si>
  <si>
    <t>(%)</t>
  </si>
  <si>
    <t>Revenue</t>
  </si>
  <si>
    <t xml:space="preserve">Sales Volume </t>
  </si>
  <si>
    <t>Variable Cost</t>
  </si>
  <si>
    <t xml:space="preserve">Fixed Cost </t>
  </si>
  <si>
    <t>Total Cost</t>
  </si>
  <si>
    <t xml:space="preserve">Percentage of Variable Cost: </t>
  </si>
  <si>
    <t xml:space="preserve">Percentage of Fixed Cost: </t>
  </si>
  <si>
    <t>Working Capital Schedule</t>
  </si>
  <si>
    <t>Days In the year</t>
  </si>
  <si>
    <t>Working Capital</t>
  </si>
  <si>
    <t>Other Liabilities</t>
  </si>
  <si>
    <t>Other Assets</t>
  </si>
  <si>
    <t>Days In</t>
  </si>
  <si>
    <t>Cost of Goods Sold</t>
  </si>
  <si>
    <t>Amortization on Fixed Term Rate - repayment</t>
  </si>
  <si>
    <t>Ammortization onVariable rate term debt - repayment</t>
  </si>
  <si>
    <t>Margins</t>
  </si>
  <si>
    <t>EBIDTA Margin</t>
  </si>
  <si>
    <t>Net Income Margin</t>
  </si>
  <si>
    <t>ROE</t>
  </si>
  <si>
    <t>Check</t>
  </si>
  <si>
    <t>Balance Sheet Statement</t>
  </si>
  <si>
    <t>Deprciation Schedule</t>
  </si>
  <si>
    <t>Useful Life of Existing Assets</t>
  </si>
  <si>
    <t>Depreciable years of new assets</t>
  </si>
  <si>
    <t>Depreciation on PP&amp;E</t>
  </si>
  <si>
    <t>Asset Disposition</t>
  </si>
  <si>
    <t>Total Deprciation</t>
  </si>
  <si>
    <t>Net Working Capital</t>
  </si>
  <si>
    <t>Change in working Capital</t>
  </si>
  <si>
    <t>Tax Schedule</t>
  </si>
  <si>
    <t>Tax Rate:</t>
  </si>
  <si>
    <t>Accounting EBT</t>
  </si>
  <si>
    <t>A</t>
  </si>
  <si>
    <t>Less: Difference in Timing</t>
  </si>
  <si>
    <t>Reduction due to timing difference</t>
  </si>
  <si>
    <t>Government EBT</t>
  </si>
  <si>
    <t>B</t>
  </si>
  <si>
    <t>Current tax  (35% of A)</t>
  </si>
  <si>
    <t>Tax as it appears on The Income Statement</t>
  </si>
  <si>
    <t>Current Taxes (35% of B)</t>
  </si>
  <si>
    <t xml:space="preserve">SG&amp;A </t>
  </si>
  <si>
    <t>Equity Schedule</t>
  </si>
  <si>
    <t>Common Share</t>
  </si>
  <si>
    <t>Retained Earning</t>
  </si>
  <si>
    <t>Dividend for preferred share</t>
  </si>
  <si>
    <t>Devidend for Common Share</t>
  </si>
  <si>
    <t>Ending Balnace</t>
  </si>
  <si>
    <t>Ending Balance</t>
  </si>
  <si>
    <t>Preferred share Dividend payout ratio</t>
  </si>
  <si>
    <t>Preferred Share Issuance / Buy-back</t>
  </si>
  <si>
    <t>Common Share Issuance / Buy-back</t>
  </si>
  <si>
    <t>Opening balance</t>
  </si>
  <si>
    <t>Additions/Buy-back</t>
  </si>
  <si>
    <t>Common share Dividend payout ratio</t>
  </si>
  <si>
    <t>Common Dividend</t>
  </si>
  <si>
    <t>Debt and Equity</t>
  </si>
  <si>
    <t>Summary Value: Base Case</t>
  </si>
  <si>
    <t>Summary Value: Best Case</t>
  </si>
  <si>
    <t>Summary Value: Worse Case</t>
  </si>
  <si>
    <t>Debt and Interest Schedule</t>
  </si>
  <si>
    <t>Cash</t>
  </si>
  <si>
    <t>Revolver</t>
  </si>
  <si>
    <t>Openingf balance</t>
  </si>
  <si>
    <t>Change in Cash</t>
  </si>
  <si>
    <t>Closing Balance</t>
  </si>
  <si>
    <t>Interest on Cash</t>
  </si>
  <si>
    <t>Interest Earned on Cash</t>
  </si>
  <si>
    <t>Operating cash flow</t>
  </si>
  <si>
    <t>Free cash flow</t>
  </si>
  <si>
    <t>Additions</t>
  </si>
  <si>
    <t>Pricing</t>
  </si>
  <si>
    <t>($/Unit)</t>
  </si>
  <si>
    <t>Annual Factory Capacity</t>
  </si>
  <si>
    <t>(000's Unit)</t>
  </si>
  <si>
    <t>(000's Units)</t>
  </si>
  <si>
    <t>Sales Growth Volume</t>
  </si>
  <si>
    <t>Annual Sales Volume</t>
  </si>
  <si>
    <t>($ MM)</t>
  </si>
  <si>
    <t>Implied Operating Rate</t>
  </si>
  <si>
    <t>Cost of Production</t>
  </si>
  <si>
    <t>Projected</t>
  </si>
  <si>
    <t>Cost Adjustments (Oparations) - Gain / (Loss)</t>
  </si>
  <si>
    <t>Cost Adjustments (Financing) - Gain / (Loss)</t>
  </si>
  <si>
    <t>years</t>
  </si>
  <si>
    <t>$MM</t>
  </si>
  <si>
    <t>Depreciation (Year)</t>
  </si>
  <si>
    <t>Fixed Asset</t>
  </si>
  <si>
    <t>Opening Balance</t>
  </si>
  <si>
    <t xml:space="preserve">Depreciation </t>
  </si>
  <si>
    <t>Additions/(Buy-back)</t>
  </si>
  <si>
    <t>Additions / (Repayments)</t>
  </si>
  <si>
    <t>Fixed Rate Term Debt</t>
  </si>
  <si>
    <t>Interest Earned on Revolver</t>
  </si>
  <si>
    <t>ELIXIR EQUIPMENTS COMPANY</t>
  </si>
  <si>
    <t>Debt and Interest Schedule (Contd)</t>
  </si>
  <si>
    <t>Investing cash flow</t>
  </si>
  <si>
    <t>Common shares Repurchase in 2022 (millions)</t>
  </si>
  <si>
    <t>Interest Earned on Fixed Rate</t>
  </si>
  <si>
    <t>Interest Earned on Variable Rate</t>
  </si>
  <si>
    <t>Interest on FRTD</t>
  </si>
  <si>
    <t>Interest on VRTD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</si>
</sst>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\A"/>
    <numFmt numFmtId="166" formatCode="0.0%;\(0.0%\)"/>
    <numFmt numFmtId="167" formatCode="#,##0.0_);\(#,##0.0\)"/>
    <numFmt numFmtId="168" formatCode="0%;\(0%\)"/>
    <numFmt numFmtId="169" formatCode="#,##0.000_);\(#,##0.000\)"/>
    <numFmt numFmtId="170" formatCode="_(* #,##0.0_);_(* \(#,##0.0\);_(* &quot;-&quot;??_);_(@_)"/>
    <numFmt numFmtId="171" formatCode="_-* #,##0_-;\-* #,##0_-;_-* &quot;-&quot;??_-;_-@_-"/>
    <numFmt numFmtId="172" formatCode="#,##0.0000_);\(#,##0.0000\)"/>
    <numFmt numFmtId="173" formatCode="0.0%"/>
    <numFmt numFmtId="174" formatCode="#,##0.0"/>
    <numFmt numFmtId="175" formatCode="&quot;+&quot;0%;\(0%\)"/>
    <numFmt numFmtId="176" formatCode="&quot;+&quot;0.0%;\(0.0%\)"/>
    <numFmt numFmtId="177" formatCode="0\ &quot;Years&quot;"/>
    <numFmt numFmtId="178" formatCode="0.0"/>
    <numFmt numFmtId="179" formatCode="#,##0.0;\(#,##0.0\)"/>
    <numFmt numFmtId="180" formatCode="[$$-409]#,##0.0"/>
    <numFmt numFmtId="181" formatCode="#,##0.0\);\(#,##0.0\)"/>
    <numFmt numFmtId="182" formatCode="[$$-409]#,##0.00"/>
    <numFmt numFmtId="183" formatCode="#,##0.000"/>
    <numFmt numFmtId="184" formatCode="0.0000000000000%"/>
    <numFmt numFmtId="185" formatCode="&quot;$&quot;#,##0.00"/>
    <numFmt numFmtId="186" formatCode="&quot;$&quot;#,##0.0_);\(&quot;$&quot;#,##0.0\)"/>
  </numFmts>
  <fonts count="34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sz val="20"/>
      <color rgb="FF0000FF"/>
      <name val="Times New Roman"/>
      <family val="1"/>
    </font>
    <font>
      <sz val="24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10"/>
      <color rgb="FF0000FF"/>
      <name val="Times New Roman"/>
      <family val="1"/>
    </font>
    <font>
      <sz val="10"/>
      <color rgb="FF990033"/>
      <name val="Times New Roman"/>
      <family val="1"/>
    </font>
    <font>
      <sz val="10"/>
      <color indexed="12"/>
      <name val="Times New Roman"/>
      <family val="1"/>
    </font>
    <font>
      <vertAlign val="superscript"/>
      <sz val="10"/>
      <name val="Times New Roman"/>
      <family val="1"/>
    </font>
    <font>
      <b/>
      <sz val="26"/>
      <name val="Times New Roman"/>
      <family val="1"/>
    </font>
    <font>
      <sz val="8"/>
      <name val="Times New Roman"/>
      <family val="1"/>
    </font>
    <font>
      <sz val="9"/>
      <color theme="1" tint="0.34998626667073579"/>
      <name val="Times New Roman"/>
      <family val="1"/>
    </font>
    <font>
      <b/>
      <sz val="9"/>
      <color theme="1" tint="0.34998626667073579"/>
      <name val="Times New Roman"/>
      <family val="1"/>
    </font>
    <font>
      <b/>
      <u/>
      <sz val="9"/>
      <color theme="1" tint="0.34998626667073579"/>
      <name val="Times New Roman"/>
      <family val="1"/>
    </font>
    <font>
      <i/>
      <sz val="9"/>
      <color theme="1" tint="0.34998626667073579"/>
      <name val="Times New Roman"/>
      <family val="1"/>
    </font>
    <font>
      <sz val="14"/>
      <name val="Times New Roman"/>
      <family val="1"/>
    </font>
    <font>
      <b/>
      <sz val="10"/>
      <color rgb="FF990033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26"/>
      <name val="Times New Roman"/>
      <family val="1"/>
    </font>
    <font>
      <sz val="10"/>
      <color theme="9" tint="-0.499984740745262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4" fillId="0" borderId="0" applyNumberFormat="0" applyFont="0" applyFill="0" applyBorder="0" applyProtection="0">
      <alignment horizontal="centerContinuous"/>
    </xf>
    <xf numFmtId="0" fontId="4" fillId="0" borderId="2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8" fontId="5" fillId="0" borderId="6">
      <protection locked="0"/>
    </xf>
    <xf numFmtId="0" fontId="4" fillId="0" borderId="7" applyNumberFormat="0" applyFont="0" applyFill="0" applyAlignment="0" applyProtection="0"/>
    <xf numFmtId="0" fontId="6" fillId="0" borderId="0" applyNumberFormat="0" applyFill="0" applyBorder="0" applyAlignment="0" applyProtection="0"/>
    <xf numFmtId="171" fontId="3" fillId="0" borderId="0" applyNumberFormat="0" applyFill="0" applyBorder="0" applyAlignment="0" applyProtection="0"/>
    <xf numFmtId="0" fontId="4" fillId="0" borderId="5" applyNumberFormat="0" applyFon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1" xfId="0" applyFont="1" applyBorder="1" applyAlignment="1">
      <alignment horizontal="centerContinuous"/>
    </xf>
    <xf numFmtId="0" fontId="9" fillId="0" borderId="0" xfId="0" quotePrefix="1" applyFont="1"/>
    <xf numFmtId="0" fontId="10" fillId="0" borderId="0" xfId="0" applyFont="1" applyAlignment="1">
      <alignment horizontal="centerContinuous"/>
    </xf>
    <xf numFmtId="0" fontId="2" fillId="0" borderId="4" xfId="0" applyFont="1" applyBorder="1"/>
    <xf numFmtId="0" fontId="2" fillId="0" borderId="0" xfId="0" applyFont="1" applyAlignment="1">
      <alignment horizontal="left"/>
    </xf>
    <xf numFmtId="22" fontId="2" fillId="0" borderId="0" xfId="0" applyNumberFormat="1" applyFont="1" applyAlignment="1">
      <alignment horizontal="left"/>
    </xf>
    <xf numFmtId="0" fontId="2" fillId="0" borderId="2" xfId="0" applyFont="1" applyBorder="1"/>
    <xf numFmtId="0" fontId="10" fillId="0" borderId="0" xfId="0" applyFont="1"/>
    <xf numFmtId="0" fontId="13" fillId="0" borderId="0" xfId="0" applyFont="1"/>
    <xf numFmtId="0" fontId="2" fillId="0" borderId="17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173" fontId="2" fillId="0" borderId="0" xfId="12" applyNumberFormat="1" applyFont="1" applyBorder="1"/>
    <xf numFmtId="173" fontId="15" fillId="0" borderId="0" xfId="12" applyNumberFormat="1" applyFont="1" applyBorder="1"/>
    <xf numFmtId="173" fontId="10" fillId="0" borderId="17" xfId="0" applyNumberFormat="1" applyFont="1" applyBorder="1"/>
    <xf numFmtId="173" fontId="10" fillId="0" borderId="16" xfId="0" applyNumberFormat="1" applyFont="1" applyBorder="1"/>
    <xf numFmtId="173" fontId="10" fillId="0" borderId="18" xfId="0" applyNumberFormat="1" applyFont="1" applyBorder="1"/>
    <xf numFmtId="0" fontId="2" fillId="0" borderId="14" xfId="0" applyFont="1" applyBorder="1"/>
    <xf numFmtId="174" fontId="2" fillId="0" borderId="0" xfId="0" applyNumberFormat="1" applyFont="1"/>
    <xf numFmtId="173" fontId="2" fillId="0" borderId="0" xfId="0" applyNumberFormat="1" applyFont="1"/>
    <xf numFmtId="166" fontId="16" fillId="0" borderId="0" xfId="0" applyNumberFormat="1" applyFont="1"/>
    <xf numFmtId="0" fontId="2" fillId="0" borderId="22" xfId="0" applyFont="1" applyBorder="1" applyAlignment="1">
      <alignment horizontal="center"/>
    </xf>
    <xf numFmtId="174" fontId="10" fillId="0" borderId="0" xfId="0" applyNumberFormat="1" applyFont="1"/>
    <xf numFmtId="174" fontId="15" fillId="0" borderId="0" xfId="0" applyNumberFormat="1" applyFont="1"/>
    <xf numFmtId="174" fontId="10" fillId="0" borderId="17" xfId="0" applyNumberFormat="1" applyFont="1" applyBorder="1"/>
    <xf numFmtId="174" fontId="10" fillId="0" borderId="4" xfId="0" applyNumberFormat="1" applyFont="1" applyBorder="1"/>
    <xf numFmtId="173" fontId="15" fillId="0" borderId="19" xfId="12" applyNumberFormat="1" applyFont="1" applyBorder="1"/>
    <xf numFmtId="173" fontId="15" fillId="0" borderId="4" xfId="12" applyNumberFormat="1" applyFont="1" applyBorder="1"/>
    <xf numFmtId="173" fontId="15" fillId="0" borderId="20" xfId="12" applyNumberFormat="1" applyFont="1" applyBorder="1"/>
    <xf numFmtId="173" fontId="15" fillId="0" borderId="21" xfId="12" applyNumberFormat="1" applyFont="1" applyBorder="1"/>
    <xf numFmtId="173" fontId="15" fillId="0" borderId="22" xfId="12" applyNumberFormat="1" applyFont="1" applyBorder="1"/>
    <xf numFmtId="173" fontId="15" fillId="0" borderId="23" xfId="12" applyNumberFormat="1" applyFont="1" applyBorder="1"/>
    <xf numFmtId="173" fontId="15" fillId="0" borderId="2" xfId="12" applyNumberFormat="1" applyFont="1" applyBorder="1"/>
    <xf numFmtId="173" fontId="15" fillId="0" borderId="24" xfId="12" applyNumberFormat="1" applyFont="1" applyBorder="1"/>
    <xf numFmtId="174" fontId="15" fillId="0" borderId="19" xfId="0" applyNumberFormat="1" applyFont="1" applyBorder="1"/>
    <xf numFmtId="174" fontId="15" fillId="0" borderId="4" xfId="0" applyNumberFormat="1" applyFont="1" applyBorder="1"/>
    <xf numFmtId="174" fontId="15" fillId="0" borderId="20" xfId="0" applyNumberFormat="1" applyFont="1" applyBorder="1"/>
    <xf numFmtId="174" fontId="15" fillId="0" borderId="21" xfId="0" applyNumberFormat="1" applyFont="1" applyBorder="1"/>
    <xf numFmtId="174" fontId="15" fillId="0" borderId="22" xfId="0" applyNumberFormat="1" applyFont="1" applyBorder="1"/>
    <xf numFmtId="174" fontId="15" fillId="0" borderId="23" xfId="0" applyNumberFormat="1" applyFont="1" applyBorder="1"/>
    <xf numFmtId="174" fontId="15" fillId="0" borderId="2" xfId="0" applyNumberFormat="1" applyFont="1" applyBorder="1"/>
    <xf numFmtId="174" fontId="15" fillId="0" borderId="24" xfId="0" applyNumberFormat="1" applyFont="1" applyBorder="1"/>
    <xf numFmtId="174" fontId="10" fillId="0" borderId="16" xfId="0" applyNumberFormat="1" applyFont="1" applyBorder="1"/>
    <xf numFmtId="174" fontId="10" fillId="0" borderId="18" xfId="0" applyNumberFormat="1" applyFont="1" applyBorder="1"/>
    <xf numFmtId="0" fontId="2" fillId="0" borderId="25" xfId="0" applyFont="1" applyBorder="1"/>
    <xf numFmtId="0" fontId="16" fillId="0" borderId="0" xfId="0" applyFont="1"/>
    <xf numFmtId="0" fontId="2" fillId="0" borderId="21" xfId="0" applyFont="1" applyBorder="1" applyAlignment="1">
      <alignment horizontal="center"/>
    </xf>
    <xf numFmtId="0" fontId="15" fillId="0" borderId="22" xfId="0" applyFont="1" applyBorder="1"/>
    <xf numFmtId="0" fontId="16" fillId="0" borderId="24" xfId="0" applyFont="1" applyBorder="1"/>
    <xf numFmtId="0" fontId="2" fillId="0" borderId="0" xfId="0" applyFont="1" applyAlignment="1">
      <alignment horizontal="centerContinuous"/>
    </xf>
    <xf numFmtId="0" fontId="13" fillId="0" borderId="21" xfId="0" applyFont="1" applyBorder="1"/>
    <xf numFmtId="0" fontId="13" fillId="0" borderId="0" xfId="0" applyFont="1" applyAlignment="1">
      <alignment horizontal="centerContinuous"/>
    </xf>
    <xf numFmtId="175" fontId="15" fillId="0" borderId="0" xfId="0" applyNumberFormat="1" applyFont="1" applyAlignment="1">
      <alignment horizontal="centerContinuous"/>
    </xf>
    <xf numFmtId="175" fontId="15" fillId="0" borderId="2" xfId="0" applyNumberFormat="1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176" fontId="15" fillId="0" borderId="0" xfId="0" applyNumberFormat="1" applyFont="1" applyAlignment="1">
      <alignment horizontal="centerContinuous"/>
    </xf>
    <xf numFmtId="176" fontId="15" fillId="0" borderId="2" xfId="0" applyNumberFormat="1" applyFont="1" applyBorder="1" applyAlignment="1">
      <alignment horizontal="centerContinuous"/>
    </xf>
    <xf numFmtId="0" fontId="14" fillId="0" borderId="21" xfId="0" applyFont="1" applyBorder="1" applyAlignment="1">
      <alignment horizontal="left"/>
    </xf>
    <xf numFmtId="1" fontId="14" fillId="0" borderId="22" xfId="0" applyNumberFormat="1" applyFont="1" applyBorder="1"/>
    <xf numFmtId="9" fontId="15" fillId="0" borderId="22" xfId="0" applyNumberFormat="1" applyFont="1" applyBorder="1"/>
    <xf numFmtId="0" fontId="15" fillId="0" borderId="24" xfId="0" applyFont="1" applyBorder="1"/>
    <xf numFmtId="0" fontId="15" fillId="0" borderId="22" xfId="0" applyFont="1" applyBorder="1" applyAlignment="1">
      <alignment horizontal="right"/>
    </xf>
    <xf numFmtId="177" fontId="15" fillId="0" borderId="22" xfId="0" applyNumberFormat="1" applyFont="1" applyBorder="1"/>
    <xf numFmtId="177" fontId="15" fillId="0" borderId="24" xfId="0" applyNumberFormat="1" applyFont="1" applyBorder="1"/>
    <xf numFmtId="173" fontId="15" fillId="0" borderId="22" xfId="0" applyNumberFormat="1" applyFont="1" applyBorder="1"/>
    <xf numFmtId="0" fontId="10" fillId="0" borderId="21" xfId="0" applyFont="1" applyBorder="1" applyAlignment="1">
      <alignment horizontal="centerContinuous"/>
    </xf>
    <xf numFmtId="173" fontId="15" fillId="0" borderId="24" xfId="0" applyNumberFormat="1" applyFont="1" applyBorder="1"/>
    <xf numFmtId="178" fontId="2" fillId="0" borderId="0" xfId="0" applyNumberFormat="1" applyFont="1"/>
    <xf numFmtId="0" fontId="2" fillId="0" borderId="9" xfId="0" applyFont="1" applyBorder="1"/>
    <xf numFmtId="1" fontId="13" fillId="0" borderId="0" xfId="0" quotePrefix="1" applyNumberFormat="1" applyFont="1" applyAlignment="1">
      <alignment horizontal="right"/>
    </xf>
    <xf numFmtId="0" fontId="2" fillId="0" borderId="8" xfId="2" applyBorder="1" applyAlignment="1">
      <alignment horizontal="left" vertical="center"/>
    </xf>
    <xf numFmtId="0" fontId="13" fillId="0" borderId="9" xfId="0" applyFont="1" applyBorder="1"/>
    <xf numFmtId="166" fontId="2" fillId="0" borderId="9" xfId="0" applyNumberFormat="1" applyFont="1" applyBorder="1"/>
    <xf numFmtId="166" fontId="2" fillId="0" borderId="10" xfId="0" applyNumberFormat="1" applyFont="1" applyBorder="1"/>
    <xf numFmtId="166" fontId="2" fillId="0" borderId="0" xfId="0" applyNumberFormat="1" applyFont="1"/>
    <xf numFmtId="0" fontId="2" fillId="0" borderId="11" xfId="2" applyBorder="1" applyAlignment="1">
      <alignment horizontal="left" vertical="center"/>
    </xf>
    <xf numFmtId="166" fontId="2" fillId="0" borderId="12" xfId="0" applyNumberFormat="1" applyFont="1" applyBorder="1"/>
    <xf numFmtId="0" fontId="2" fillId="0" borderId="13" xfId="2" applyBorder="1" applyAlignment="1">
      <alignment horizontal="left" vertical="center"/>
    </xf>
    <xf numFmtId="0" fontId="13" fillId="0" borderId="14" xfId="0" applyFont="1" applyBorder="1"/>
    <xf numFmtId="166" fontId="2" fillId="0" borderId="14" xfId="0" applyNumberFormat="1" applyFont="1" applyBorder="1"/>
    <xf numFmtId="166" fontId="2" fillId="0" borderId="15" xfId="0" applyNumberFormat="1" applyFont="1" applyBorder="1"/>
    <xf numFmtId="167" fontId="17" fillId="0" borderId="0" xfId="1" applyNumberFormat="1" applyFont="1" applyAlignment="1" applyProtection="1">
      <alignment horizontal="right"/>
      <protection locked="0"/>
    </xf>
    <xf numFmtId="167" fontId="17" fillId="0" borderId="0" xfId="1" applyNumberFormat="1" applyFont="1" applyBorder="1" applyAlignment="1" applyProtection="1">
      <alignment horizontal="right"/>
      <protection locked="0"/>
    </xf>
    <xf numFmtId="0" fontId="2" fillId="0" borderId="0" xfId="13" applyFont="1"/>
    <xf numFmtId="0" fontId="2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167" fontId="10" fillId="0" borderId="0" xfId="1" applyNumberFormat="1" applyFont="1" applyAlignment="1">
      <alignment horizontal="right"/>
    </xf>
    <xf numFmtId="167" fontId="17" fillId="0" borderId="0" xfId="14" applyNumberFormat="1" applyFont="1" applyBorder="1" applyAlignment="1" applyProtection="1">
      <alignment horizontal="right"/>
      <protection locked="0"/>
    </xf>
    <xf numFmtId="167" fontId="15" fillId="0" borderId="0" xfId="14" applyNumberFormat="1" applyFont="1" applyBorder="1" applyProtection="1">
      <protection locked="0"/>
    </xf>
    <xf numFmtId="167" fontId="17" fillId="0" borderId="0" xfId="14" applyNumberFormat="1" applyFont="1" applyProtection="1">
      <protection locked="0"/>
    </xf>
    <xf numFmtId="167" fontId="15" fillId="0" borderId="0" xfId="14" applyNumberFormat="1" applyFont="1" applyFill="1" applyBorder="1" applyProtection="1">
      <protection locked="0"/>
    </xf>
    <xf numFmtId="0" fontId="10" fillId="0" borderId="0" xfId="0" applyFont="1" applyAlignment="1">
      <alignment horizontal="left"/>
    </xf>
    <xf numFmtId="167" fontId="15" fillId="0" borderId="0" xfId="14" applyNumberFormat="1" applyFont="1" applyFill="1" applyProtection="1">
      <protection locked="0"/>
    </xf>
    <xf numFmtId="167" fontId="2" fillId="0" borderId="0" xfId="0" applyNumberFormat="1" applyFont="1"/>
    <xf numFmtId="6" fontId="10" fillId="0" borderId="0" xfId="0" quotePrefix="1" applyNumberFormat="1" applyFont="1" applyAlignment="1">
      <alignment horizontal="left"/>
    </xf>
    <xf numFmtId="167" fontId="10" fillId="0" borderId="16" xfId="1" applyNumberFormat="1" applyFont="1" applyBorder="1" applyAlignment="1">
      <alignment horizontal="right"/>
    </xf>
    <xf numFmtId="167" fontId="10" fillId="0" borderId="0" xfId="1" applyNumberFormat="1" applyFont="1" applyBorder="1" applyAlignment="1">
      <alignment horizontal="right"/>
    </xf>
    <xf numFmtId="6" fontId="2" fillId="0" borderId="0" xfId="0" quotePrefix="1" applyNumberFormat="1" applyFont="1" applyAlignment="1">
      <alignment horizontal="left"/>
    </xf>
    <xf numFmtId="167" fontId="17" fillId="0" borderId="0" xfId="1" applyNumberFormat="1" applyFont="1" applyBorder="1" applyProtection="1">
      <protection locked="0"/>
    </xf>
    <xf numFmtId="164" fontId="2" fillId="0" borderId="0" xfId="1" applyNumberFormat="1" applyFont="1" applyBorder="1"/>
    <xf numFmtId="168" fontId="9" fillId="0" borderId="0" xfId="0" applyNumberFormat="1" applyFont="1"/>
    <xf numFmtId="0" fontId="9" fillId="0" borderId="0" xfId="0" quotePrefix="1" applyFont="1" applyAlignment="1">
      <alignment horizontal="left"/>
    </xf>
    <xf numFmtId="165" fontId="13" fillId="0" borderId="0" xfId="0" applyNumberFormat="1" applyFont="1" applyAlignment="1">
      <alignment horizontal="right"/>
    </xf>
    <xf numFmtId="37" fontId="2" fillId="0" borderId="0" xfId="1" applyNumberFormat="1" applyFont="1"/>
    <xf numFmtId="167" fontId="15" fillId="0" borderId="0" xfId="14" applyNumberFormat="1" applyFont="1" applyProtection="1">
      <protection locked="0"/>
    </xf>
    <xf numFmtId="37" fontId="17" fillId="0" borderId="0" xfId="1" applyNumberFormat="1" applyFont="1"/>
    <xf numFmtId="37" fontId="10" fillId="0" borderId="0" xfId="1" applyNumberFormat="1" applyFont="1"/>
    <xf numFmtId="167" fontId="17" fillId="0" borderId="2" xfId="14" applyNumberFormat="1" applyFont="1" applyBorder="1" applyProtection="1">
      <protection locked="0"/>
    </xf>
    <xf numFmtId="167" fontId="17" fillId="0" borderId="0" xfId="14" applyNumberFormat="1" applyFont="1" applyBorder="1" applyProtection="1">
      <protection locked="0"/>
    </xf>
    <xf numFmtId="9" fontId="2" fillId="0" borderId="0" xfId="12" applyFont="1"/>
    <xf numFmtId="167" fontId="2" fillId="0" borderId="2" xfId="1" applyNumberFormat="1" applyFont="1" applyBorder="1"/>
    <xf numFmtId="167" fontId="15" fillId="0" borderId="0" xfId="0" applyNumberFormat="1" applyFont="1"/>
    <xf numFmtId="167" fontId="17" fillId="0" borderId="0" xfId="1" applyNumberFormat="1" applyFont="1" applyProtection="1">
      <protection locked="0"/>
    </xf>
    <xf numFmtId="167" fontId="15" fillId="0" borderId="0" xfId="13" applyNumberFormat="1" applyFont="1"/>
    <xf numFmtId="167" fontId="2" fillId="0" borderId="4" xfId="1" applyNumberFormat="1" applyFont="1" applyBorder="1"/>
    <xf numFmtId="172" fontId="2" fillId="0" borderId="0" xfId="1" applyNumberFormat="1" applyFont="1"/>
    <xf numFmtId="167" fontId="10" fillId="0" borderId="3" xfId="1" applyNumberFormat="1" applyFont="1" applyBorder="1"/>
    <xf numFmtId="167" fontId="10" fillId="0" borderId="0" xfId="1" applyNumberFormat="1" applyFont="1" applyBorder="1"/>
    <xf numFmtId="169" fontId="17" fillId="0" borderId="0" xfId="1" applyNumberFormat="1" applyFont="1"/>
    <xf numFmtId="170" fontId="2" fillId="0" borderId="0" xfId="1" applyNumberFormat="1" applyFont="1"/>
    <xf numFmtId="0" fontId="9" fillId="0" borderId="2" xfId="0" quotePrefix="1" applyFont="1" applyBorder="1" applyAlignment="1">
      <alignment horizontal="left"/>
    </xf>
    <xf numFmtId="0" fontId="10" fillId="0" borderId="1" xfId="0" applyFont="1" applyBorder="1" applyAlignment="1">
      <alignment horizontal="centerContinuous"/>
    </xf>
    <xf numFmtId="0" fontId="19" fillId="0" borderId="0" xfId="0" applyFont="1" applyAlignment="1">
      <alignment horizontal="centerContinuous"/>
    </xf>
    <xf numFmtId="167" fontId="10" fillId="0" borderId="16" xfId="1" applyNumberFormat="1" applyFont="1" applyBorder="1" applyAlignment="1" applyProtection="1">
      <alignment horizontal="right"/>
      <protection locked="0"/>
    </xf>
    <xf numFmtId="167" fontId="10" fillId="0" borderId="4" xfId="1" applyNumberFormat="1" applyFont="1" applyBorder="1" applyAlignment="1">
      <alignment horizontal="right"/>
    </xf>
    <xf numFmtId="167" fontId="10" fillId="0" borderId="4" xfId="1" applyNumberFormat="1" applyFont="1" applyBorder="1"/>
    <xf numFmtId="167" fontId="10" fillId="0" borderId="3" xfId="1" applyNumberFormat="1" applyFont="1" applyBorder="1" applyAlignment="1">
      <alignment horizontal="right"/>
    </xf>
    <xf numFmtId="0" fontId="18" fillId="0" borderId="0" xfId="0" quotePrefix="1" applyFont="1"/>
    <xf numFmtId="0" fontId="20" fillId="0" borderId="0" xfId="0" applyFont="1" applyAlignment="1">
      <alignment horizontal="right"/>
    </xf>
    <xf numFmtId="173" fontId="16" fillId="0" borderId="0" xfId="0" applyNumberFormat="1" applyFont="1"/>
    <xf numFmtId="0" fontId="10" fillId="0" borderId="4" xfId="0" applyFont="1" applyBorder="1"/>
    <xf numFmtId="167" fontId="10" fillId="0" borderId="3" xfId="0" applyNumberFormat="1" applyFont="1" applyBorder="1"/>
    <xf numFmtId="174" fontId="10" fillId="0" borderId="3" xfId="0" applyNumberFormat="1" applyFont="1" applyBorder="1"/>
    <xf numFmtId="0" fontId="10" fillId="0" borderId="19" xfId="0" applyFont="1" applyBorder="1"/>
    <xf numFmtId="0" fontId="10" fillId="0" borderId="23" xfId="0" applyFont="1" applyBorder="1"/>
    <xf numFmtId="178" fontId="10" fillId="0" borderId="0" xfId="0" applyNumberFormat="1" applyFont="1"/>
    <xf numFmtId="1" fontId="2" fillId="0" borderId="0" xfId="0" applyNumberFormat="1" applyFont="1"/>
    <xf numFmtId="1" fontId="10" fillId="0" borderId="0" xfId="0" applyNumberFormat="1" applyFont="1"/>
    <xf numFmtId="178" fontId="2" fillId="0" borderId="4" xfId="0" applyNumberFormat="1" applyFont="1" applyBorder="1"/>
    <xf numFmtId="178" fontId="2" fillId="0" borderId="20" xfId="0" applyNumberFormat="1" applyFont="1" applyBorder="1"/>
    <xf numFmtId="167" fontId="2" fillId="0" borderId="2" xfId="0" applyNumberFormat="1" applyFont="1" applyBorder="1"/>
    <xf numFmtId="167" fontId="2" fillId="0" borderId="24" xfId="0" applyNumberFormat="1" applyFont="1" applyBorder="1"/>
    <xf numFmtId="178" fontId="15" fillId="0" borderId="0" xfId="0" applyNumberFormat="1" applyFont="1"/>
    <xf numFmtId="179" fontId="2" fillId="0" borderId="0" xfId="0" applyNumberFormat="1" applyFont="1"/>
    <xf numFmtId="179" fontId="15" fillId="0" borderId="0" xfId="0" applyNumberFormat="1" applyFont="1"/>
    <xf numFmtId="178" fontId="16" fillId="0" borderId="0" xfId="0" applyNumberFormat="1" applyFont="1"/>
    <xf numFmtId="180" fontId="10" fillId="0" borderId="3" xfId="0" applyNumberFormat="1" applyFont="1" applyBorder="1"/>
    <xf numFmtId="164" fontId="2" fillId="0" borderId="4" xfId="1" applyNumberFormat="1" applyFont="1" applyBorder="1"/>
    <xf numFmtId="164" fontId="2" fillId="0" borderId="20" xfId="1" applyNumberFormat="1" applyFont="1" applyBorder="1"/>
    <xf numFmtId="173" fontId="2" fillId="0" borderId="0" xfId="1" applyNumberFormat="1" applyFont="1" applyBorder="1"/>
    <xf numFmtId="173" fontId="2" fillId="0" borderId="2" xfId="1" applyNumberFormat="1" applyFont="1" applyBorder="1"/>
    <xf numFmtId="0" fontId="2" fillId="0" borderId="19" xfId="0" quotePrefix="1" applyFont="1" applyBorder="1" applyAlignment="1">
      <alignment horizontal="left"/>
    </xf>
    <xf numFmtId="37" fontId="10" fillId="0" borderId="4" xfId="1" applyNumberFormat="1" applyFont="1" applyBorder="1"/>
    <xf numFmtId="0" fontId="2" fillId="0" borderId="21" xfId="0" quotePrefix="1" applyFont="1" applyBorder="1" applyAlignment="1">
      <alignment horizontal="left"/>
    </xf>
    <xf numFmtId="37" fontId="10" fillId="0" borderId="0" xfId="1" applyNumberFormat="1" applyFont="1" applyBorder="1"/>
    <xf numFmtId="0" fontId="10" fillId="0" borderId="23" xfId="0" quotePrefix="1" applyFont="1" applyBorder="1" applyAlignment="1">
      <alignment horizontal="left"/>
    </xf>
    <xf numFmtId="37" fontId="10" fillId="0" borderId="2" xfId="1" applyNumberFormat="1" applyFont="1" applyBorder="1"/>
    <xf numFmtId="167" fontId="10" fillId="0" borderId="2" xfId="1" applyNumberFormat="1" applyFont="1" applyBorder="1"/>
    <xf numFmtId="167" fontId="10" fillId="0" borderId="16" xfId="1" applyNumberFormat="1" applyFont="1" applyBorder="1"/>
    <xf numFmtId="0" fontId="9" fillId="0" borderId="0" xfId="0" applyFont="1"/>
    <xf numFmtId="0" fontId="16" fillId="0" borderId="20" xfId="0" applyFont="1" applyBorder="1"/>
    <xf numFmtId="181" fontId="15" fillId="0" borderId="0" xfId="0" applyNumberFormat="1" applyFont="1"/>
    <xf numFmtId="167" fontId="10" fillId="0" borderId="4" xfId="1" applyNumberFormat="1" applyFont="1" applyBorder="1" applyProtection="1">
      <protection locked="0"/>
    </xf>
    <xf numFmtId="167" fontId="15" fillId="0" borderId="0" xfId="14" applyNumberFormat="1" applyFont="1" applyBorder="1" applyAlignment="1" applyProtection="1">
      <alignment horizontal="right"/>
      <protection locked="0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0" fillId="0" borderId="3" xfId="0" applyFont="1" applyBorder="1"/>
    <xf numFmtId="178" fontId="10" fillId="0" borderId="3" xfId="0" applyNumberFormat="1" applyFont="1" applyBorder="1"/>
    <xf numFmtId="9" fontId="16" fillId="0" borderId="5" xfId="0" applyNumberFormat="1" applyFont="1" applyBorder="1"/>
    <xf numFmtId="173" fontId="16" fillId="0" borderId="18" xfId="0" applyNumberFormat="1" applyFont="1" applyBorder="1"/>
    <xf numFmtId="0" fontId="10" fillId="0" borderId="21" xfId="0" applyFont="1" applyBorder="1"/>
    <xf numFmtId="182" fontId="2" fillId="0" borderId="0" xfId="0" applyNumberFormat="1" applyFont="1"/>
    <xf numFmtId="167" fontId="10" fillId="0" borderId="4" xfId="0" applyNumberFormat="1" applyFont="1" applyBorder="1"/>
    <xf numFmtId="167" fontId="2" fillId="0" borderId="4" xfId="0" applyNumberFormat="1" applyFont="1" applyBorder="1"/>
    <xf numFmtId="167" fontId="16" fillId="0" borderId="0" xfId="14" applyNumberFormat="1" applyFont="1" applyBorder="1" applyProtection="1">
      <protection locked="0"/>
    </xf>
    <xf numFmtId="167" fontId="2" fillId="0" borderId="0" xfId="14" applyNumberFormat="1" applyFont="1" applyFill="1" applyProtection="1">
      <protection locked="0"/>
    </xf>
    <xf numFmtId="167" fontId="2" fillId="0" borderId="0" xfId="14" applyNumberFormat="1" applyFont="1" applyProtection="1">
      <protection locked="0"/>
    </xf>
    <xf numFmtId="167" fontId="2" fillId="0" borderId="0" xfId="14" applyNumberFormat="1" applyFont="1" applyBorder="1" applyAlignment="1" applyProtection="1">
      <alignment horizontal="right"/>
      <protection locked="0"/>
    </xf>
    <xf numFmtId="167" fontId="2" fillId="0" borderId="0" xfId="14" applyNumberFormat="1" applyFont="1" applyBorder="1" applyProtection="1">
      <protection locked="0"/>
    </xf>
    <xf numFmtId="167" fontId="2" fillId="0" borderId="0" xfId="1" applyNumberFormat="1" applyFont="1" applyAlignment="1" applyProtection="1">
      <alignment horizontal="right"/>
      <protection locked="0"/>
    </xf>
    <xf numFmtId="167" fontId="2" fillId="0" borderId="0" xfId="1" applyNumberFormat="1" applyFont="1" applyBorder="1" applyAlignment="1" applyProtection="1">
      <alignment horizontal="right"/>
      <protection locked="0"/>
    </xf>
    <xf numFmtId="173" fontId="2" fillId="0" borderId="22" xfId="12" applyNumberFormat="1" applyFont="1" applyBorder="1"/>
    <xf numFmtId="173" fontId="2" fillId="0" borderId="22" xfId="1" applyNumberFormat="1" applyFont="1" applyBorder="1"/>
    <xf numFmtId="173" fontId="2" fillId="0" borderId="24" xfId="1" applyNumberFormat="1" applyFont="1" applyBorder="1"/>
    <xf numFmtId="0" fontId="15" fillId="0" borderId="0" xfId="0" applyFont="1"/>
    <xf numFmtId="9" fontId="15" fillId="0" borderId="0" xfId="12" applyFont="1" applyBorder="1"/>
    <xf numFmtId="9" fontId="15" fillId="0" borderId="22" xfId="12" applyFont="1" applyBorder="1"/>
    <xf numFmtId="0" fontId="15" fillId="0" borderId="2" xfId="0" applyFont="1" applyBorder="1"/>
    <xf numFmtId="9" fontId="15" fillId="0" borderId="0" xfId="0" applyNumberFormat="1" applyFont="1"/>
    <xf numFmtId="167" fontId="2" fillId="0" borderId="0" xfId="13" applyNumberFormat="1" applyFont="1"/>
    <xf numFmtId="167" fontId="2" fillId="0" borderId="0" xfId="1" applyNumberFormat="1" applyFont="1" applyProtection="1">
      <protection locked="0"/>
    </xf>
    <xf numFmtId="183" fontId="9" fillId="0" borderId="0" xfId="1" applyNumberFormat="1" applyFont="1"/>
    <xf numFmtId="174" fontId="2" fillId="0" borderId="4" xfId="0" applyNumberFormat="1" applyFont="1" applyBorder="1"/>
    <xf numFmtId="0" fontId="10" fillId="2" borderId="17" xfId="0" applyFont="1" applyFill="1" applyBorder="1"/>
    <xf numFmtId="0" fontId="2" fillId="2" borderId="16" xfId="0" applyFont="1" applyFill="1" applyBorder="1"/>
    <xf numFmtId="0" fontId="10" fillId="2" borderId="16" xfId="0" applyFont="1" applyFill="1" applyBorder="1" applyAlignment="1">
      <alignment horizontal="centerContinuous"/>
    </xf>
    <xf numFmtId="0" fontId="10" fillId="2" borderId="18" xfId="0" applyFont="1" applyFill="1" applyBorder="1" applyAlignment="1">
      <alignment horizontal="centerContinuous"/>
    </xf>
    <xf numFmtId="0" fontId="10" fillId="2" borderId="16" xfId="0" applyFont="1" applyFill="1" applyBorder="1"/>
    <xf numFmtId="0" fontId="10" fillId="2" borderId="17" xfId="0" applyFont="1" applyFill="1" applyBorder="1" applyAlignment="1">
      <alignment horizontal="left"/>
    </xf>
    <xf numFmtId="0" fontId="10" fillId="2" borderId="18" xfId="0" applyFont="1" applyFill="1" applyBorder="1"/>
    <xf numFmtId="0" fontId="2" fillId="2" borderId="18" xfId="0" applyFont="1" applyFill="1" applyBorder="1"/>
    <xf numFmtId="174" fontId="16" fillId="0" borderId="0" xfId="0" applyNumberFormat="1" applyFont="1"/>
    <xf numFmtId="184" fontId="10" fillId="0" borderId="0" xfId="0" applyNumberFormat="1" applyFont="1"/>
    <xf numFmtId="0" fontId="2" fillId="0" borderId="1" xfId="0" applyFont="1" applyBorder="1"/>
    <xf numFmtId="173" fontId="2" fillId="0" borderId="4" xfId="0" applyNumberFormat="1" applyFont="1" applyBorder="1"/>
    <xf numFmtId="173" fontId="2" fillId="0" borderId="20" xfId="0" applyNumberFormat="1" applyFont="1" applyBorder="1"/>
    <xf numFmtId="174" fontId="2" fillId="0" borderId="2" xfId="0" applyNumberFormat="1" applyFont="1" applyBorder="1"/>
    <xf numFmtId="174" fontId="2" fillId="0" borderId="24" xfId="0" applyNumberFormat="1" applyFont="1" applyBorder="1"/>
    <xf numFmtId="0" fontId="21" fillId="0" borderId="0" xfId="0" applyFont="1"/>
    <xf numFmtId="0" fontId="22" fillId="0" borderId="0" xfId="0" applyFont="1" applyAlignment="1">
      <alignment horizontal="centerContinuous"/>
    </xf>
    <xf numFmtId="0" fontId="22" fillId="0" borderId="1" xfId="0" applyFont="1" applyBorder="1" applyAlignment="1">
      <alignment horizontal="centerContinuous"/>
    </xf>
    <xf numFmtId="0" fontId="23" fillId="0" borderId="0" xfId="0" applyFont="1"/>
    <xf numFmtId="0" fontId="22" fillId="0" borderId="0" xfId="0" applyFont="1"/>
    <xf numFmtId="0" fontId="21" fillId="0" borderId="4" xfId="0" applyFont="1" applyBorder="1"/>
    <xf numFmtId="0" fontId="21" fillId="0" borderId="2" xfId="0" applyFont="1" applyBorder="1"/>
    <xf numFmtId="0" fontId="22" fillId="0" borderId="3" xfId="0" applyFont="1" applyBorder="1"/>
    <xf numFmtId="0" fontId="21" fillId="0" borderId="9" xfId="0" applyFont="1" applyBorder="1"/>
    <xf numFmtId="0" fontId="21" fillId="0" borderId="14" xfId="0" applyFont="1" applyBorder="1"/>
    <xf numFmtId="0" fontId="24" fillId="0" borderId="0" xfId="0" applyFont="1"/>
    <xf numFmtId="0" fontId="22" fillId="0" borderId="4" xfId="0" applyFont="1" applyBorder="1"/>
    <xf numFmtId="185" fontId="10" fillId="0" borderId="0" xfId="0" applyNumberFormat="1" applyFont="1"/>
    <xf numFmtId="0" fontId="25" fillId="0" borderId="0" xfId="0" applyFont="1" applyAlignment="1">
      <alignment horizontal="centerContinuous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6" fillId="0" borderId="0" xfId="0" applyFont="1"/>
    <xf numFmtId="186" fontId="10" fillId="0" borderId="3" xfId="1" applyNumberFormat="1" applyFont="1" applyBorder="1"/>
    <xf numFmtId="7" fontId="10" fillId="0" borderId="0" xfId="0" applyNumberFormat="1" applyFont="1"/>
    <xf numFmtId="0" fontId="2" fillId="0" borderId="30" xfId="0" applyFont="1" applyBorder="1"/>
    <xf numFmtId="0" fontId="21" fillId="0" borderId="30" xfId="0" applyFont="1" applyBorder="1"/>
    <xf numFmtId="180" fontId="27" fillId="0" borderId="3" xfId="0" applyNumberFormat="1" applyFont="1" applyBorder="1"/>
    <xf numFmtId="0" fontId="21" fillId="0" borderId="2" xfId="0" applyFont="1" applyBorder="1" applyAlignment="1">
      <alignment horizontal="center"/>
    </xf>
    <xf numFmtId="179" fontId="2" fillId="0" borderId="3" xfId="0" applyNumberFormat="1" applyFont="1" applyBorder="1"/>
    <xf numFmtId="174" fontId="2" fillId="0" borderId="20" xfId="0" applyNumberFormat="1" applyFont="1" applyBorder="1"/>
    <xf numFmtId="174" fontId="2" fillId="0" borderId="22" xfId="0" applyNumberFormat="1" applyFont="1" applyBorder="1"/>
    <xf numFmtId="174" fontId="10" fillId="0" borderId="29" xfId="0" applyNumberFormat="1" applyFont="1" applyBorder="1"/>
    <xf numFmtId="179" fontId="10" fillId="0" borderId="3" xfId="0" applyNumberFormat="1" applyFont="1" applyBorder="1"/>
    <xf numFmtId="179" fontId="2" fillId="0" borderId="0" xfId="14" applyNumberFormat="1" applyFont="1" applyProtection="1">
      <protection locked="0"/>
    </xf>
    <xf numFmtId="179" fontId="2" fillId="0" borderId="0" xfId="14" applyNumberFormat="1" applyFont="1" applyBorder="1" applyAlignment="1" applyProtection="1">
      <alignment horizontal="right"/>
      <protection locked="0"/>
    </xf>
    <xf numFmtId="178" fontId="28" fillId="0" borderId="3" xfId="0" applyNumberFormat="1" applyFont="1" applyBorder="1"/>
    <xf numFmtId="178" fontId="15" fillId="0" borderId="22" xfId="0" applyNumberFormat="1" applyFont="1" applyBorder="1"/>
    <xf numFmtId="0" fontId="2" fillId="0" borderId="0" xfId="0" applyFont="1" applyAlignment="1">
      <alignment vertical="center"/>
    </xf>
    <xf numFmtId="0" fontId="29" fillId="3" borderId="0" xfId="0" applyFont="1" applyFill="1" applyAlignment="1">
      <alignment horizontal="centerContinuous" vertical="center"/>
    </xf>
    <xf numFmtId="0" fontId="30" fillId="3" borderId="0" xfId="0" applyFont="1" applyFill="1" applyAlignment="1">
      <alignment horizontal="centerContinuous" vertical="center"/>
    </xf>
    <xf numFmtId="0" fontId="11" fillId="0" borderId="0" xfId="0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31" fillId="0" borderId="0" xfId="0" applyFont="1" applyAlignment="1">
      <alignment horizontal="centerContinuous"/>
    </xf>
    <xf numFmtId="167" fontId="33" fillId="0" borderId="0" xfId="14" applyNumberFormat="1" applyFont="1" applyFill="1" applyBorder="1" applyProtection="1">
      <protection locked="0"/>
    </xf>
    <xf numFmtId="167" fontId="33" fillId="0" borderId="0" xfId="1" applyNumberFormat="1" applyFont="1" applyBorder="1" applyProtection="1">
      <protection locked="0"/>
    </xf>
    <xf numFmtId="179" fontId="32" fillId="0" borderId="3" xfId="0" applyNumberFormat="1" applyFont="1" applyBorder="1"/>
    <xf numFmtId="4" fontId="16" fillId="0" borderId="0" xfId="12" applyNumberFormat="1" applyFont="1"/>
    <xf numFmtId="4" fontId="2" fillId="0" borderId="0" xfId="0" applyNumberFormat="1" applyFont="1"/>
    <xf numFmtId="178" fontId="10" fillId="0" borderId="3" xfId="0" applyNumberFormat="1" applyFont="1" applyFill="1" applyBorder="1"/>
  </cellXfs>
  <cellStyles count="15">
    <cellStyle name="Across" xfId="3" xr:uid="{00000000-0005-0000-0000-000000000000}"/>
    <cellStyle name="Bottom" xfId="4" xr:uid="{00000000-0005-0000-0000-000001000000}"/>
    <cellStyle name="Center" xfId="5" xr:uid="{00000000-0005-0000-0000-000002000000}"/>
    <cellStyle name="Comma" xfId="1" builtinId="3"/>
    <cellStyle name="Comma 2" xfId="14" xr:uid="{7A04DB45-02A0-4873-81FE-05337998FFFE}"/>
    <cellStyle name="Currency [2]" xfId="6" xr:uid="{00000000-0005-0000-0000-000004000000}"/>
    <cellStyle name="Double" xfId="7" xr:uid="{00000000-0005-0000-0000-000005000000}"/>
    <cellStyle name="Normal" xfId="0" builtinId="0"/>
    <cellStyle name="Normal 2" xfId="13" xr:uid="{7996DED4-1A60-4CC9-9EF0-7933346080EE}"/>
    <cellStyle name="Normal_TrainingDCF1" xfId="2" xr:uid="{00000000-0005-0000-0000-000007000000}"/>
    <cellStyle name="Numbers" xfId="8" xr:uid="{00000000-0005-0000-0000-000008000000}"/>
    <cellStyle name="Numbers - Bold - Italic" xfId="9" xr:uid="{00000000-0005-0000-0000-000009000000}"/>
    <cellStyle name="Outline" xfId="10" xr:uid="{00000000-0005-0000-0000-00000A000000}"/>
    <cellStyle name="Percent" xfId="12" builtinId="5"/>
    <cellStyle name="Percent 2" xfId="11" xr:uid="{00000000-0005-0000-0000-00000C000000}"/>
  </cellStyles>
  <dxfs count="0"/>
  <tableStyles count="0" defaultTableStyle="TableStyleMedium2" defaultPivotStyle="PivotStyleLight16"/>
  <colors>
    <mruColors>
      <color rgb="FF0000FF"/>
      <color rgb="FF9900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3" dropStyle="combo" dx="22" fmlaLink="$E$11" fmlaRange="$D$19:$D$21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609600</xdr:colOff>
          <xdr:row>9</xdr:row>
          <xdr:rowOff>22860</xdr:rowOff>
        </xdr:from>
        <xdr:to>
          <xdr:col>4</xdr:col>
          <xdr:colOff>790575</xdr:colOff>
          <xdr:row>11</xdr:row>
          <xdr:rowOff>19050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B7BC-BAD0-4BBC-898E-3DEE7C0D7576}">
  <dimension ref="A2:M31"/>
  <sheetViews>
    <sheetView showGridLines="0" zoomScale="70" zoomScaleNormal="70" workbookViewId="0">
      <selection activeCell="V29" sqref="V29"/>
    </sheetView>
  </sheetViews>
  <sheetFormatPr defaultColWidth="9.109375" defaultRowHeight="13.2"/>
  <cols>
    <col min="1" max="1" width="9.109375" style="1"/>
    <col min="2" max="2" width="6.33203125" style="1" customWidth="1"/>
    <col min="3" max="5" width="9.109375" style="1"/>
    <col min="6" max="6" width="15.44140625" style="1" bestFit="1" customWidth="1"/>
    <col min="7" max="7" width="15.6640625" style="1" bestFit="1" customWidth="1"/>
    <col min="8" max="10" width="9.109375" style="1"/>
    <col min="11" max="11" width="3.5546875" style="1" customWidth="1"/>
    <col min="12" max="16384" width="9.109375" style="1"/>
  </cols>
  <sheetData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11" spans="1:13" ht="24.6">
      <c r="C11" s="255" t="s">
        <v>225</v>
      </c>
      <c r="D11" s="57"/>
      <c r="E11" s="57"/>
      <c r="F11" s="57"/>
      <c r="G11" s="57"/>
      <c r="H11" s="57"/>
      <c r="I11" s="57"/>
      <c r="J11" s="57"/>
      <c r="K11" s="57"/>
    </row>
    <row r="12" spans="1:13" ht="30.6">
      <c r="C12" s="256" t="s">
        <v>67</v>
      </c>
      <c r="D12" s="57"/>
      <c r="E12" s="57"/>
      <c r="F12" s="57"/>
      <c r="G12" s="57"/>
      <c r="H12" s="57"/>
      <c r="I12" s="57"/>
      <c r="J12" s="57"/>
      <c r="K12" s="57"/>
    </row>
    <row r="16" spans="1:13">
      <c r="F16" s="1" t="s">
        <v>68</v>
      </c>
      <c r="G16" s="8" t="s">
        <v>71</v>
      </c>
    </row>
    <row r="17" spans="1:13">
      <c r="F17" s="1" t="s">
        <v>69</v>
      </c>
      <c r="G17" s="8" t="s">
        <v>72</v>
      </c>
    </row>
    <row r="18" spans="1:13">
      <c r="F18" s="1" t="s">
        <v>70</v>
      </c>
      <c r="G18" s="9">
        <f ca="1">NOW()</f>
        <v>44848.079970833336</v>
      </c>
    </row>
    <row r="31" spans="1:1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</sheetData>
  <pageMargins left="0.7" right="0.7" top="0.75" bottom="0.7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500-9864-42EC-8207-74107B222FE4}">
  <dimension ref="B2:Q37"/>
  <sheetViews>
    <sheetView showGridLines="0" workbookViewId="0">
      <selection activeCell="B3" sqref="B3"/>
    </sheetView>
  </sheetViews>
  <sheetFormatPr defaultColWidth="9.109375" defaultRowHeight="13.2"/>
  <cols>
    <col min="1" max="3" width="4.44140625" style="1" customWidth="1"/>
    <col min="4" max="16384" width="9.109375" style="1"/>
  </cols>
  <sheetData>
    <row r="2" spans="2:17" ht="22.8">
      <c r="B2" s="2" t="str">
        <f>Cover!C11</f>
        <v>ELIXIR EQUIPMENTS COMPANY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18">
      <c r="B3" s="230" t="s">
        <v>74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ht="3.9" customHeight="1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>
      <c r="B5" s="5"/>
    </row>
    <row r="6" spans="2:17">
      <c r="B6" s="5"/>
    </row>
    <row r="7" spans="2:17">
      <c r="B7" s="5"/>
    </row>
    <row r="8" spans="2:17" s="252" customFormat="1">
      <c r="C8" s="253" t="s">
        <v>188</v>
      </c>
      <c r="D8" s="253"/>
      <c r="E8" s="253"/>
      <c r="F8" s="254"/>
      <c r="G8" s="254"/>
      <c r="H8" s="254"/>
      <c r="I8" s="254"/>
      <c r="J8" s="254"/>
      <c r="K8" s="254"/>
      <c r="L8" s="254"/>
      <c r="M8" s="254"/>
      <c r="N8" s="254"/>
      <c r="O8" s="253"/>
      <c r="P8" s="253"/>
    </row>
    <row r="9" spans="2:17" ht="5.4" customHeight="1">
      <c r="C9" s="57"/>
      <c r="D9" s="57"/>
      <c r="E9" s="57"/>
      <c r="F9" s="6"/>
      <c r="G9" s="6"/>
      <c r="H9" s="6"/>
      <c r="I9" s="6"/>
      <c r="J9" s="6"/>
      <c r="K9" s="6"/>
      <c r="L9" s="6"/>
      <c r="M9" s="6"/>
      <c r="N9" s="6"/>
      <c r="O9" s="57"/>
      <c r="P9" s="57"/>
    </row>
    <row r="10" spans="2:17">
      <c r="C10" s="1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</row>
    <row r="11" spans="2:17">
      <c r="C11" s="16" t="s">
        <v>147</v>
      </c>
      <c r="I11" s="193"/>
      <c r="J11" s="193"/>
      <c r="K11" s="193"/>
      <c r="L11" s="193"/>
      <c r="M11" s="193"/>
      <c r="N11" s="193"/>
      <c r="O11" s="193"/>
      <c r="P11" s="55"/>
    </row>
    <row r="12" spans="2:17">
      <c r="C12" s="16"/>
      <c r="D12" s="1" t="s">
        <v>148</v>
      </c>
      <c r="I12" s="194">
        <v>0.36220472440944884</v>
      </c>
      <c r="J12" s="194">
        <v>0.35378787878787887</v>
      </c>
      <c r="K12" s="194">
        <v>0.28888888888888897</v>
      </c>
      <c r="L12" s="194">
        <v>0.43203710762488617</v>
      </c>
      <c r="M12" s="194">
        <v>0.47186236118498392</v>
      </c>
      <c r="N12" s="194">
        <v>0.52036629162352199</v>
      </c>
      <c r="O12" s="194">
        <v>0.56409180783620694</v>
      </c>
      <c r="P12" s="195">
        <v>0.59113627052299811</v>
      </c>
    </row>
    <row r="13" spans="2:17">
      <c r="C13" s="16"/>
      <c r="D13" s="1" t="s">
        <v>149</v>
      </c>
      <c r="I13" s="194">
        <v>0.17952755905511814</v>
      </c>
      <c r="J13" s="194">
        <v>0.18106060606060614</v>
      </c>
      <c r="K13" s="194">
        <v>0.12616487455197142</v>
      </c>
      <c r="L13" s="194">
        <v>0.24417357279384333</v>
      </c>
      <c r="M13" s="194">
        <v>0.2686351804886401</v>
      </c>
      <c r="N13" s="194">
        <v>0.30025424069621437</v>
      </c>
      <c r="O13" s="194">
        <v>0.33042284086590923</v>
      </c>
      <c r="P13" s="195">
        <v>0.34682940154223407</v>
      </c>
    </row>
    <row r="14" spans="2:17">
      <c r="C14" s="16"/>
      <c r="D14" s="1" t="s">
        <v>150</v>
      </c>
      <c r="I14" s="194">
        <v>0.2055906221821461</v>
      </c>
      <c r="J14" s="194">
        <v>0.18010550113036933</v>
      </c>
      <c r="K14" s="194">
        <v>0.12762871646120383</v>
      </c>
      <c r="L14" s="194">
        <v>0.37415979497273349</v>
      </c>
      <c r="M14" s="194">
        <v>0.32118745836984652</v>
      </c>
      <c r="N14" s="194">
        <v>0.2924501697369476</v>
      </c>
      <c r="O14" s="194">
        <v>0.26730217656102068</v>
      </c>
      <c r="P14" s="195">
        <v>0.23572591373029403</v>
      </c>
    </row>
    <row r="15" spans="2:17">
      <c r="C15" s="18"/>
      <c r="D15" s="10"/>
      <c r="E15" s="10"/>
      <c r="F15" s="10"/>
      <c r="G15" s="10"/>
      <c r="H15" s="10"/>
      <c r="I15" s="196"/>
      <c r="J15" s="196"/>
      <c r="K15" s="196"/>
      <c r="L15" s="196"/>
      <c r="M15" s="196"/>
      <c r="N15" s="196"/>
      <c r="O15" s="196"/>
      <c r="P15" s="68"/>
    </row>
    <row r="18" spans="2:16">
      <c r="B18" s="5"/>
    </row>
    <row r="19" spans="2:16" s="252" customFormat="1">
      <c r="C19" s="253" t="s">
        <v>189</v>
      </c>
      <c r="D19" s="253"/>
      <c r="E19" s="253"/>
      <c r="F19" s="254"/>
      <c r="G19" s="254"/>
      <c r="H19" s="254"/>
      <c r="I19" s="254"/>
      <c r="J19" s="254"/>
      <c r="K19" s="254"/>
      <c r="L19" s="254"/>
      <c r="M19" s="254"/>
      <c r="N19" s="254"/>
      <c r="O19" s="253"/>
      <c r="P19" s="253"/>
    </row>
    <row r="20" spans="2:16" ht="5.4" customHeight="1">
      <c r="C20" s="57"/>
      <c r="D20" s="57"/>
      <c r="E20" s="57"/>
      <c r="F20" s="6"/>
      <c r="G20" s="6"/>
      <c r="H20" s="6"/>
      <c r="I20" s="6"/>
      <c r="J20" s="6"/>
      <c r="K20" s="6"/>
      <c r="L20" s="6"/>
      <c r="M20" s="6"/>
      <c r="N20" s="6"/>
      <c r="O20" s="57"/>
      <c r="P20" s="57"/>
    </row>
    <row r="21" spans="2:16">
      <c r="C21" s="1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</row>
    <row r="22" spans="2:16">
      <c r="C22" s="16" t="s">
        <v>147</v>
      </c>
      <c r="P22" s="17"/>
    </row>
    <row r="23" spans="2:16">
      <c r="C23" s="16"/>
      <c r="D23" s="1" t="s">
        <v>148</v>
      </c>
      <c r="I23" s="194">
        <v>0.36220472440944884</v>
      </c>
      <c r="J23" s="194">
        <v>0.35378787878787887</v>
      </c>
      <c r="K23" s="194">
        <v>0.28888888888888897</v>
      </c>
      <c r="L23" s="194">
        <v>0.44698389520851428</v>
      </c>
      <c r="M23" s="194">
        <v>0.4998373760324229</v>
      </c>
      <c r="N23" s="194">
        <v>0.54674480876030995</v>
      </c>
      <c r="O23" s="194">
        <v>0.5889938890159272</v>
      </c>
      <c r="P23" s="195">
        <v>0.60374534441851291</v>
      </c>
    </row>
    <row r="24" spans="2:16">
      <c r="C24" s="16"/>
      <c r="D24" s="1" t="s">
        <v>149</v>
      </c>
      <c r="I24" s="194">
        <v>0.17952755905511814</v>
      </c>
      <c r="J24" s="194">
        <v>0.18106060606060614</v>
      </c>
      <c r="K24" s="194">
        <v>0.12616487455197142</v>
      </c>
      <c r="L24" s="194">
        <v>0.25459623100207168</v>
      </c>
      <c r="M24" s="194">
        <v>0.28829918045050135</v>
      </c>
      <c r="N24" s="194">
        <v>0.31888387658612061</v>
      </c>
      <c r="O24" s="194">
        <v>0.34803075559040458</v>
      </c>
      <c r="P24" s="195">
        <v>0.35580446413805128</v>
      </c>
    </row>
    <row r="25" spans="2:16">
      <c r="C25" s="16"/>
      <c r="D25" s="1" t="s">
        <v>150</v>
      </c>
      <c r="I25" s="194">
        <v>0.2055906221821461</v>
      </c>
      <c r="J25" s="194">
        <v>0.18010550113036933</v>
      </c>
      <c r="K25" s="194">
        <v>0.12762871646120383</v>
      </c>
      <c r="L25" s="194">
        <v>0.38861756880831366</v>
      </c>
      <c r="M25" s="194">
        <v>0.33997213966852835</v>
      </c>
      <c r="N25" s="194">
        <v>0.30148836010205349</v>
      </c>
      <c r="O25" s="194">
        <v>0.27107724488326068</v>
      </c>
      <c r="P25" s="195">
        <v>0.22965939526489965</v>
      </c>
    </row>
    <row r="26" spans="2:16">
      <c r="C26" s="18"/>
      <c r="D26" s="10"/>
      <c r="E26" s="10"/>
      <c r="F26" s="10"/>
      <c r="G26" s="10"/>
      <c r="H26" s="10"/>
      <c r="I26" s="196"/>
      <c r="J26" s="196"/>
      <c r="K26" s="196"/>
      <c r="L26" s="196"/>
      <c r="M26" s="196"/>
      <c r="N26" s="196"/>
      <c r="O26" s="196"/>
      <c r="P26" s="68"/>
    </row>
    <row r="30" spans="2:16" s="252" customFormat="1">
      <c r="C30" s="253" t="s">
        <v>190</v>
      </c>
      <c r="D30" s="253"/>
      <c r="E30" s="253"/>
      <c r="F30" s="254"/>
      <c r="G30" s="254"/>
      <c r="H30" s="254"/>
      <c r="I30" s="254"/>
      <c r="J30" s="254"/>
      <c r="K30" s="254"/>
      <c r="L30" s="254"/>
      <c r="M30" s="254"/>
      <c r="N30" s="254"/>
      <c r="O30" s="253"/>
      <c r="P30" s="253"/>
    </row>
    <row r="31" spans="2:16" ht="5.4" customHeight="1">
      <c r="C31" s="57"/>
      <c r="D31" s="57"/>
      <c r="E31" s="57"/>
      <c r="F31" s="6"/>
      <c r="G31" s="6"/>
      <c r="H31" s="6"/>
      <c r="I31" s="6"/>
      <c r="J31" s="6"/>
      <c r="K31" s="6"/>
      <c r="L31" s="6"/>
      <c r="M31" s="6"/>
      <c r="N31" s="6"/>
      <c r="O31" s="57"/>
      <c r="P31" s="57"/>
    </row>
    <row r="32" spans="2:16">
      <c r="C32" s="1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</row>
    <row r="33" spans="3:16">
      <c r="C33" s="16" t="s">
        <v>147</v>
      </c>
      <c r="P33" s="17"/>
    </row>
    <row r="34" spans="3:16">
      <c r="C34" s="16"/>
      <c r="D34" s="1" t="s">
        <v>148</v>
      </c>
      <c r="I34" s="194">
        <v>0.36220472440944884</v>
      </c>
      <c r="J34" s="194">
        <v>0.35378787878787887</v>
      </c>
      <c r="K34" s="194">
        <v>0.28888888888888897</v>
      </c>
      <c r="L34" s="194">
        <v>0.43117181249436987</v>
      </c>
      <c r="M34" s="194">
        <v>0.45608304890657803</v>
      </c>
      <c r="N34" s="194">
        <v>0.49218797030286804</v>
      </c>
      <c r="O34" s="194">
        <v>0.5133452725867399</v>
      </c>
      <c r="P34" s="195">
        <v>0.53344172420637959</v>
      </c>
    </row>
    <row r="35" spans="3:16">
      <c r="C35" s="16"/>
      <c r="D35" s="1" t="s">
        <v>149</v>
      </c>
      <c r="I35" s="194">
        <v>0.17952755905511814</v>
      </c>
      <c r="J35" s="194">
        <v>0.18106060606060614</v>
      </c>
      <c r="K35" s="194">
        <v>0.12616487455197142</v>
      </c>
      <c r="L35" s="194">
        <v>0.24360678330643068</v>
      </c>
      <c r="M35" s="194">
        <v>0.25759892814137253</v>
      </c>
      <c r="N35" s="194">
        <v>0.2803773540444755</v>
      </c>
      <c r="O35" s="194">
        <v>0.29441024655580877</v>
      </c>
      <c r="P35" s="195">
        <v>0.30537902385885152</v>
      </c>
    </row>
    <row r="36" spans="3:16">
      <c r="C36" s="16"/>
      <c r="D36" s="1" t="s">
        <v>150</v>
      </c>
      <c r="I36" s="197">
        <v>0.2055906221821461</v>
      </c>
      <c r="J36" s="197">
        <v>0.18010550113036933</v>
      </c>
      <c r="K36" s="197">
        <v>0.12762871646120383</v>
      </c>
      <c r="L36" s="197">
        <v>0.37358800793330521</v>
      </c>
      <c r="M36" s="197">
        <v>0.3079867928818939</v>
      </c>
      <c r="N36" s="197">
        <v>0.2747345742688741</v>
      </c>
      <c r="O36" s="197">
        <v>0.23948794479036034</v>
      </c>
      <c r="P36" s="67">
        <v>0.21166127768199319</v>
      </c>
    </row>
    <row r="37" spans="3:16">
      <c r="C37" s="18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9"/>
    </row>
  </sheetData>
  <printOptions horizontalCentered="1"/>
  <pageMargins left="0.39370078740157499" right="0.118110236220472" top="0.118110236220472" bottom="0.196850393700787" header="0.118110236220472" footer="0.118110236220472"/>
  <pageSetup paperSize="9" scale="85" orientation="landscape" horizontalDpi="4294967293" verticalDpi="4294967293" r:id="rId1"/>
  <headerFooter>
    <oddFooter>&amp;L&amp;"Times New Roman,Bold"&amp;9ELIXIR EQUIPMENTS COMPANY&amp;C&amp;"Times New Roman,Regular"&amp;9Page &amp;P of &amp;N&amp;R&amp;"Times New Roman,Regular"&amp;9&amp;D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E3BB9-CF7E-44C3-99C1-517EFA6332F5}">
  <dimension ref="B2:S76"/>
  <sheetViews>
    <sheetView showGridLines="0" topLeftCell="A7" workbookViewId="0">
      <selection activeCell="R12" sqref="R12"/>
    </sheetView>
  </sheetViews>
  <sheetFormatPr defaultColWidth="9.109375" defaultRowHeight="13.2"/>
  <cols>
    <col min="1" max="1" width="4.44140625" style="1" customWidth="1"/>
    <col min="2" max="2" width="8.5546875" style="1" customWidth="1"/>
    <col min="3" max="3" width="4" style="1" customWidth="1"/>
    <col min="4" max="4" width="2.5546875" style="1" customWidth="1"/>
    <col min="5" max="5" width="4.44140625" style="1" customWidth="1"/>
    <col min="6" max="18" width="9.109375" style="1"/>
    <col min="19" max="19" width="8.5546875" style="1" customWidth="1"/>
    <col min="20" max="16384" width="9.109375" style="1"/>
  </cols>
  <sheetData>
    <row r="2" spans="2:19" ht="22.8">
      <c r="B2" s="2" t="str">
        <f>Cover!$C$11</f>
        <v>ELIXIR EQUIPMENTS COMPANY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8">
      <c r="B3" s="230" t="s">
        <v>73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ht="3.9" customHeight="1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>
      <c r="B5" s="5"/>
      <c r="C5" s="5"/>
      <c r="D5" s="5"/>
    </row>
    <row r="6" spans="2:19">
      <c r="D6" s="202" t="s">
        <v>86</v>
      </c>
      <c r="E6" s="203"/>
      <c r="F6" s="203"/>
      <c r="G6" s="203"/>
      <c r="H6" s="204"/>
      <c r="I6" s="204"/>
      <c r="J6" s="204"/>
      <c r="K6" s="205"/>
      <c r="L6" s="6"/>
      <c r="M6" s="207" t="s">
        <v>109</v>
      </c>
      <c r="N6" s="204"/>
      <c r="O6" s="204"/>
      <c r="P6" s="204"/>
      <c r="Q6" s="206"/>
      <c r="R6" s="208"/>
    </row>
    <row r="7" spans="2:19">
      <c r="D7" s="54" t="s">
        <v>87</v>
      </c>
      <c r="E7" s="1" t="s">
        <v>88</v>
      </c>
      <c r="K7" s="17">
        <v>2022</v>
      </c>
      <c r="M7" s="16" t="s">
        <v>110</v>
      </c>
      <c r="R7" s="72">
        <v>0.35</v>
      </c>
    </row>
    <row r="8" spans="2:19">
      <c r="D8" s="54" t="s">
        <v>87</v>
      </c>
      <c r="E8" s="1" t="s">
        <v>89</v>
      </c>
      <c r="K8" s="17"/>
      <c r="M8" s="18" t="s">
        <v>111</v>
      </c>
      <c r="N8" s="10"/>
      <c r="O8" s="10"/>
      <c r="P8" s="10"/>
      <c r="Q8" s="10"/>
      <c r="R8" s="19"/>
    </row>
    <row r="9" spans="2:19">
      <c r="D9" s="16"/>
      <c r="E9" s="1" t="s">
        <v>90</v>
      </c>
      <c r="K9" s="17"/>
    </row>
    <row r="10" spans="2:19">
      <c r="D10" s="54" t="s">
        <v>87</v>
      </c>
      <c r="E10" s="1" t="s">
        <v>91</v>
      </c>
      <c r="K10" s="55" t="s">
        <v>94</v>
      </c>
      <c r="M10" s="207" t="s">
        <v>112</v>
      </c>
      <c r="N10" s="204"/>
      <c r="O10" s="204"/>
      <c r="P10" s="204"/>
      <c r="Q10" s="203"/>
      <c r="R10" s="209"/>
    </row>
    <row r="11" spans="2:19">
      <c r="D11" s="16"/>
      <c r="E11" s="1" t="s">
        <v>92</v>
      </c>
      <c r="K11" s="17" t="s">
        <v>96</v>
      </c>
      <c r="M11" s="16" t="s">
        <v>113</v>
      </c>
      <c r="R11" s="72">
        <v>3.7999999999999999E-2</v>
      </c>
    </row>
    <row r="12" spans="2:19">
      <c r="D12" s="18"/>
      <c r="E12" s="10" t="s">
        <v>93</v>
      </c>
      <c r="F12" s="10"/>
      <c r="G12" s="10"/>
      <c r="H12" s="10"/>
      <c r="I12" s="10"/>
      <c r="J12" s="10"/>
      <c r="K12" s="56" t="s">
        <v>95</v>
      </c>
      <c r="M12" s="16" t="s">
        <v>114</v>
      </c>
      <c r="R12" s="72">
        <v>3.7499999999999999E-2</v>
      </c>
    </row>
    <row r="13" spans="2:19">
      <c r="M13" s="58" t="s">
        <v>115</v>
      </c>
      <c r="R13" s="55"/>
    </row>
    <row r="14" spans="2:19">
      <c r="D14" s="202" t="s">
        <v>82</v>
      </c>
      <c r="E14" s="206"/>
      <c r="F14" s="206"/>
      <c r="G14" s="206"/>
      <c r="H14" s="204"/>
      <c r="I14" s="204"/>
      <c r="J14" s="204"/>
      <c r="K14" s="205"/>
      <c r="L14" s="6"/>
      <c r="M14" s="73"/>
      <c r="O14" s="1" t="s">
        <v>116</v>
      </c>
      <c r="P14" s="6"/>
      <c r="R14" s="72">
        <v>1.0999999999999999E-2</v>
      </c>
    </row>
    <row r="15" spans="2:19">
      <c r="D15" s="54" t="s">
        <v>87</v>
      </c>
      <c r="E15" s="1" t="s">
        <v>97</v>
      </c>
      <c r="K15" s="17"/>
      <c r="M15" s="16"/>
      <c r="O15" s="1" t="s">
        <v>117</v>
      </c>
      <c r="R15" s="72">
        <v>1.2500000000000001E-2</v>
      </c>
    </row>
    <row r="16" spans="2:19">
      <c r="D16" s="58" t="s">
        <v>202</v>
      </c>
      <c r="H16" s="59" t="str">
        <f>Scenarios!I8&amp;" - "&amp;Scenarios!M8</f>
        <v>2022 - 2026</v>
      </c>
      <c r="I16" s="57"/>
      <c r="J16" s="57"/>
      <c r="K16" s="17"/>
      <c r="M16" s="18" t="s">
        <v>118</v>
      </c>
      <c r="N16" s="10"/>
      <c r="O16" s="10"/>
      <c r="P16" s="10"/>
      <c r="Q16" s="10"/>
      <c r="R16" s="74">
        <v>5.0000000000000001E-3</v>
      </c>
    </row>
    <row r="17" spans="2:19">
      <c r="D17" s="16"/>
      <c r="E17" s="1" t="s">
        <v>79</v>
      </c>
      <c r="H17" s="57" t="s">
        <v>98</v>
      </c>
      <c r="I17" s="57"/>
      <c r="J17" s="57"/>
      <c r="K17" s="17"/>
    </row>
    <row r="18" spans="2:19">
      <c r="D18" s="16"/>
      <c r="E18" s="1" t="s">
        <v>80</v>
      </c>
      <c r="H18" s="60">
        <v>0.05</v>
      </c>
      <c r="I18" s="63"/>
      <c r="J18" s="57"/>
      <c r="K18" s="17"/>
      <c r="M18" s="207" t="s">
        <v>119</v>
      </c>
      <c r="N18" s="204"/>
      <c r="O18" s="204"/>
      <c r="P18" s="204"/>
      <c r="Q18" s="203"/>
      <c r="R18" s="209"/>
    </row>
    <row r="19" spans="2:19">
      <c r="D19" s="18"/>
      <c r="E19" s="10" t="s">
        <v>81</v>
      </c>
      <c r="F19" s="10"/>
      <c r="G19" s="10"/>
      <c r="H19" s="61">
        <v>-0.05</v>
      </c>
      <c r="I19" s="64"/>
      <c r="J19" s="62"/>
      <c r="K19" s="19"/>
      <c r="M19" s="18" t="s">
        <v>120</v>
      </c>
      <c r="N19" s="10"/>
      <c r="O19" s="10"/>
      <c r="P19" s="10"/>
      <c r="Q19" s="10"/>
      <c r="R19" s="49">
        <v>15.5</v>
      </c>
    </row>
    <row r="21" spans="2:19">
      <c r="D21" s="202" t="s">
        <v>99</v>
      </c>
      <c r="E21" s="203"/>
      <c r="F21" s="203"/>
      <c r="G21" s="203"/>
      <c r="H21" s="204"/>
      <c r="I21" s="204"/>
      <c r="J21" s="204"/>
      <c r="K21" s="205"/>
      <c r="L21" s="6"/>
      <c r="M21" s="207" t="s">
        <v>121</v>
      </c>
      <c r="N21" s="204"/>
      <c r="O21" s="204"/>
      <c r="P21" s="204"/>
      <c r="Q21" s="203"/>
      <c r="R21" s="209"/>
    </row>
    <row r="22" spans="2:19">
      <c r="D22" s="65" t="s">
        <v>103</v>
      </c>
      <c r="K22" s="66">
        <f>K7</f>
        <v>2022</v>
      </c>
      <c r="M22" s="16" t="s">
        <v>122</v>
      </c>
      <c r="R22" s="251">
        <v>15</v>
      </c>
    </row>
    <row r="23" spans="2:19">
      <c r="D23" s="16"/>
      <c r="E23" s="1" t="s">
        <v>100</v>
      </c>
      <c r="K23" s="67">
        <v>0.6</v>
      </c>
      <c r="M23" s="16" t="s">
        <v>123</v>
      </c>
      <c r="R23" s="72">
        <v>0.08</v>
      </c>
    </row>
    <row r="24" spans="2:19">
      <c r="D24" s="16"/>
      <c r="E24" s="1" t="s">
        <v>101</v>
      </c>
      <c r="K24" s="67">
        <f>1-K23</f>
        <v>0.4</v>
      </c>
      <c r="M24" s="16"/>
      <c r="R24" s="55"/>
    </row>
    <row r="25" spans="2:19">
      <c r="D25" s="18"/>
      <c r="E25" s="10" t="s">
        <v>102</v>
      </c>
      <c r="F25" s="10"/>
      <c r="G25" s="10"/>
      <c r="H25" s="10"/>
      <c r="I25" s="10"/>
      <c r="J25" s="10"/>
      <c r="K25" s="68">
        <v>9.5</v>
      </c>
      <c r="M25" s="16" t="s">
        <v>228</v>
      </c>
      <c r="R25" s="251">
        <v>30</v>
      </c>
    </row>
    <row r="26" spans="2:19">
      <c r="M26" s="18" t="s">
        <v>124</v>
      </c>
      <c r="N26" s="10"/>
      <c r="O26" s="10"/>
      <c r="P26" s="10"/>
      <c r="Q26" s="10"/>
      <c r="R26" s="74">
        <v>0.2</v>
      </c>
    </row>
    <row r="27" spans="2:19">
      <c r="D27" s="202" t="s">
        <v>104</v>
      </c>
      <c r="E27" s="203"/>
      <c r="F27" s="203"/>
      <c r="G27" s="203"/>
      <c r="H27" s="204"/>
      <c r="I27" s="204"/>
      <c r="J27" s="204"/>
      <c r="K27" s="205"/>
      <c r="L27" s="6"/>
      <c r="M27" s="6"/>
      <c r="N27" s="6"/>
      <c r="O27" s="6"/>
      <c r="P27" s="6"/>
    </row>
    <row r="28" spans="2:19">
      <c r="D28" s="16"/>
      <c r="E28" s="1" t="s">
        <v>105</v>
      </c>
      <c r="K28" s="69" t="s">
        <v>106</v>
      </c>
    </row>
    <row r="29" spans="2:19">
      <c r="D29" s="16"/>
      <c r="E29" s="1" t="s">
        <v>107</v>
      </c>
      <c r="K29" s="70">
        <v>25</v>
      </c>
    </row>
    <row r="30" spans="2:19">
      <c r="D30" s="18"/>
      <c r="E30" s="10" t="s">
        <v>108</v>
      </c>
      <c r="F30" s="10"/>
      <c r="G30" s="10"/>
      <c r="H30" s="10"/>
      <c r="I30" s="10"/>
      <c r="J30" s="10"/>
      <c r="K30" s="71">
        <v>30</v>
      </c>
    </row>
    <row r="32" spans="2:19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5" spans="2:19" ht="22.8">
      <c r="B35" s="2" t="str">
        <f>Cover!$C$11</f>
        <v>ELIXIR EQUIPMENTS COMPANY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8">
      <c r="B36" s="230" t="s">
        <v>73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2:19" ht="3.9" customHeight="1" thickBot="1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2:19">
      <c r="B38" s="5"/>
      <c r="C38" s="5"/>
      <c r="D38" s="5"/>
    </row>
    <row r="39" spans="2:19">
      <c r="B39" s="5"/>
      <c r="C39" s="5"/>
      <c r="D39" s="5"/>
    </row>
    <row r="40" spans="2:19">
      <c r="B40" s="5"/>
      <c r="C40" s="5"/>
      <c r="D40" s="5"/>
      <c r="N40" s="12">
        <f>Scenarios!I8</f>
        <v>2022</v>
      </c>
      <c r="O40" s="12">
        <f>Scenarios!J8</f>
        <v>2023</v>
      </c>
      <c r="P40" s="12">
        <f>Scenarios!K8</f>
        <v>2024</v>
      </c>
      <c r="Q40" s="12">
        <f>Scenarios!L8</f>
        <v>2025</v>
      </c>
      <c r="R40" s="12">
        <f>Scenarios!M8</f>
        <v>2026</v>
      </c>
    </row>
    <row r="41" spans="2:19">
      <c r="B41" s="5"/>
      <c r="C41" s="5"/>
      <c r="D41" s="5"/>
    </row>
    <row r="42" spans="2:19">
      <c r="C42" s="11" t="s">
        <v>125</v>
      </c>
    </row>
    <row r="43" spans="2:19">
      <c r="D43" s="1" t="str">
        <f>Model!C138</f>
        <v>Asset Dispositions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</row>
    <row r="44" spans="2:19">
      <c r="D44" s="1" t="str">
        <f>Model!C139</f>
        <v>Other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</row>
    <row r="45" spans="2:19">
      <c r="C45" s="1" t="s">
        <v>16</v>
      </c>
      <c r="N45" s="31"/>
      <c r="O45" s="31"/>
      <c r="P45" s="31"/>
      <c r="Q45" s="31"/>
      <c r="R45" s="31"/>
    </row>
    <row r="46" spans="2:19">
      <c r="D46" s="1" t="s">
        <v>28</v>
      </c>
      <c r="N46" s="31">
        <f>N44</f>
        <v>0</v>
      </c>
      <c r="O46" s="31">
        <f t="shared" ref="O46:R46" si="0">O44</f>
        <v>0</v>
      </c>
      <c r="P46" s="31">
        <f t="shared" si="0"/>
        <v>0</v>
      </c>
      <c r="Q46" s="31">
        <f t="shared" si="0"/>
        <v>0</v>
      </c>
      <c r="R46" s="31">
        <f t="shared" si="0"/>
        <v>0</v>
      </c>
    </row>
    <row r="48" spans="2:19">
      <c r="C48" s="11" t="s">
        <v>0</v>
      </c>
    </row>
    <row r="49" spans="3:18">
      <c r="D49" s="1" t="s">
        <v>213</v>
      </c>
      <c r="N49" s="31">
        <f>N44</f>
        <v>0</v>
      </c>
      <c r="O49" s="31">
        <f t="shared" ref="O49:R49" si="1">O44</f>
        <v>0</v>
      </c>
      <c r="P49" s="31">
        <f t="shared" si="1"/>
        <v>0</v>
      </c>
      <c r="Q49" s="31">
        <f t="shared" si="1"/>
        <v>0</v>
      </c>
      <c r="R49" s="31">
        <f t="shared" si="1"/>
        <v>0</v>
      </c>
    </row>
    <row r="50" spans="3:18">
      <c r="D50" s="1" t="s">
        <v>214</v>
      </c>
      <c r="N50" s="31">
        <f>N49</f>
        <v>0</v>
      </c>
      <c r="O50" s="31">
        <f t="shared" ref="O50:R50" si="2">O49</f>
        <v>0</v>
      </c>
      <c r="P50" s="31">
        <f t="shared" si="2"/>
        <v>0</v>
      </c>
      <c r="Q50" s="31">
        <f t="shared" si="2"/>
        <v>0</v>
      </c>
      <c r="R50" s="31">
        <f t="shared" si="2"/>
        <v>0</v>
      </c>
    </row>
    <row r="51" spans="3:18">
      <c r="N51" s="31"/>
      <c r="O51" s="31"/>
      <c r="P51" s="31"/>
      <c r="Q51" s="31"/>
      <c r="R51" s="31"/>
    </row>
    <row r="52" spans="3:18">
      <c r="C52" s="1" t="str">
        <f>Model!C178</f>
        <v>Goodwill</v>
      </c>
      <c r="N52" s="31">
        <f t="shared" ref="N52:R52" si="3">N46</f>
        <v>0</v>
      </c>
      <c r="O52" s="31">
        <f t="shared" si="3"/>
        <v>0</v>
      </c>
      <c r="P52" s="31">
        <f t="shared" si="3"/>
        <v>0</v>
      </c>
      <c r="Q52" s="31">
        <f t="shared" si="3"/>
        <v>0</v>
      </c>
      <c r="R52" s="31">
        <f t="shared" si="3"/>
        <v>0</v>
      </c>
    </row>
    <row r="53" spans="3:18">
      <c r="C53" s="1" t="str">
        <f>Model!C179</f>
        <v>Intangibles</v>
      </c>
      <c r="N53" s="31">
        <f t="shared" ref="N53:R53" si="4">N47</f>
        <v>0</v>
      </c>
      <c r="O53" s="31">
        <f t="shared" si="4"/>
        <v>0</v>
      </c>
      <c r="P53" s="31">
        <f t="shared" si="4"/>
        <v>0</v>
      </c>
      <c r="Q53" s="31">
        <f t="shared" si="4"/>
        <v>0</v>
      </c>
      <c r="R53" s="31">
        <f t="shared" si="4"/>
        <v>0</v>
      </c>
    </row>
    <row r="54" spans="3:18">
      <c r="C54" s="1" t="str">
        <f>Model!C180</f>
        <v>Other</v>
      </c>
      <c r="N54" s="31">
        <f t="shared" ref="N54:R54" si="5">N48</f>
        <v>0</v>
      </c>
      <c r="O54" s="31">
        <f t="shared" si="5"/>
        <v>0</v>
      </c>
      <c r="P54" s="31">
        <f t="shared" si="5"/>
        <v>0</v>
      </c>
      <c r="Q54" s="31">
        <f t="shared" si="5"/>
        <v>0</v>
      </c>
      <c r="R54" s="31">
        <f t="shared" si="5"/>
        <v>0</v>
      </c>
    </row>
    <row r="55" spans="3:18">
      <c r="N55" s="31"/>
      <c r="O55" s="31"/>
      <c r="P55" s="31"/>
      <c r="Q55" s="31"/>
      <c r="R55" s="31"/>
    </row>
    <row r="56" spans="3:18">
      <c r="C56" s="11" t="s">
        <v>20</v>
      </c>
      <c r="N56" s="152">
        <v>25</v>
      </c>
      <c r="O56" s="152">
        <v>25</v>
      </c>
      <c r="P56" s="152">
        <v>20</v>
      </c>
      <c r="Q56" s="152">
        <v>20</v>
      </c>
      <c r="R56" s="152">
        <v>20</v>
      </c>
    </row>
    <row r="57" spans="3:18">
      <c r="N57" s="169"/>
      <c r="O57" s="169"/>
      <c r="P57" s="169"/>
      <c r="Q57" s="169"/>
      <c r="R57" s="169"/>
    </row>
    <row r="58" spans="3:18">
      <c r="C58" s="11" t="s">
        <v>157</v>
      </c>
      <c r="N58" s="31">
        <f>N49</f>
        <v>0</v>
      </c>
      <c r="O58" s="31">
        <f t="shared" ref="O58:R58" si="6">O49</f>
        <v>0</v>
      </c>
      <c r="P58" s="31">
        <f t="shared" si="6"/>
        <v>0</v>
      </c>
      <c r="Q58" s="31">
        <f t="shared" si="6"/>
        <v>0</v>
      </c>
      <c r="R58" s="31">
        <f t="shared" si="6"/>
        <v>0</v>
      </c>
    </row>
    <row r="59" spans="3:18">
      <c r="N59" s="31"/>
      <c r="O59" s="31"/>
      <c r="P59" s="31"/>
      <c r="Q59" s="31"/>
      <c r="R59" s="31"/>
    </row>
    <row r="60" spans="3:18">
      <c r="C60" s="11" t="s">
        <v>166</v>
      </c>
      <c r="N60" s="152">
        <v>20</v>
      </c>
      <c r="O60" s="152">
        <v>20</v>
      </c>
      <c r="P60" s="152">
        <v>20</v>
      </c>
      <c r="Q60" s="152">
        <v>20</v>
      </c>
      <c r="R60" s="152">
        <v>20</v>
      </c>
    </row>
    <row r="62" spans="3:18">
      <c r="C62" s="11" t="s">
        <v>126</v>
      </c>
    </row>
    <row r="63" spans="3:18">
      <c r="D63" s="1" t="str">
        <f>Model!D271</f>
        <v>Accounts Receivable</v>
      </c>
      <c r="N63" s="150">
        <v>55.95162512218964</v>
      </c>
      <c r="O63" s="150">
        <v>55.95162512218964</v>
      </c>
      <c r="P63" s="150">
        <v>55.95162512218964</v>
      </c>
      <c r="Q63" s="150">
        <v>55.95162512218964</v>
      </c>
      <c r="R63" s="150">
        <v>55.95162512218964</v>
      </c>
    </row>
    <row r="64" spans="3:18">
      <c r="D64" s="1" t="str">
        <f>Model!D272</f>
        <v>Prepaid Expenses</v>
      </c>
      <c r="N64" s="150">
        <v>65.964078368091492</v>
      </c>
      <c r="O64" s="150">
        <v>65.964078368091492</v>
      </c>
      <c r="P64" s="150">
        <v>65.964078368091492</v>
      </c>
      <c r="Q64" s="150">
        <v>65.964078368091492</v>
      </c>
      <c r="R64" s="150">
        <v>65.964078368091492</v>
      </c>
    </row>
    <row r="65" spans="2:19">
      <c r="D65" s="1" t="str">
        <f>Model!D273</f>
        <v>Other Assets</v>
      </c>
      <c r="N65" s="150">
        <v>23.563196113167173</v>
      </c>
      <c r="O65" s="150">
        <v>23.563196113167173</v>
      </c>
      <c r="P65" s="150">
        <v>23.563196113167173</v>
      </c>
      <c r="Q65" s="150">
        <v>23.563196113167173</v>
      </c>
      <c r="R65" s="150">
        <v>23.563196113167173</v>
      </c>
    </row>
    <row r="66" spans="2:19">
      <c r="D66" s="1" t="str">
        <f>Model!D274</f>
        <v>Accounts Payable</v>
      </c>
      <c r="N66" s="150">
        <v>93.185159525020623</v>
      </c>
      <c r="O66" s="150">
        <v>93.185159525020623</v>
      </c>
      <c r="P66" s="150">
        <v>93.185159525020623</v>
      </c>
      <c r="Q66" s="150">
        <v>93.185159525020623</v>
      </c>
      <c r="R66" s="150">
        <v>93.185159525020623</v>
      </c>
    </row>
    <row r="67" spans="2:19">
      <c r="D67" s="1" t="str">
        <f>Model!D275</f>
        <v>Other Liabilities</v>
      </c>
      <c r="N67" s="150">
        <v>3.2367705611001005</v>
      </c>
      <c r="O67" s="150">
        <v>3.2367705611001005</v>
      </c>
      <c r="P67" s="150">
        <v>3.2367705611001005</v>
      </c>
      <c r="Q67" s="150">
        <v>3.2367705611001005</v>
      </c>
      <c r="R67" s="150">
        <v>3.2367705611001005</v>
      </c>
    </row>
    <row r="69" spans="2:19">
      <c r="C69" s="11" t="s">
        <v>187</v>
      </c>
      <c r="D69" s="11"/>
    </row>
    <row r="70" spans="2:19">
      <c r="D70" s="1" t="s">
        <v>181</v>
      </c>
      <c r="N70" s="31">
        <v>0</v>
      </c>
      <c r="O70" s="31">
        <v>15</v>
      </c>
      <c r="P70" s="31">
        <v>0</v>
      </c>
      <c r="Q70" s="31">
        <v>0</v>
      </c>
      <c r="R70" s="31">
        <v>0</v>
      </c>
    </row>
    <row r="71" spans="2:19">
      <c r="D71" s="1" t="s">
        <v>182</v>
      </c>
      <c r="N71" s="31">
        <v>30</v>
      </c>
      <c r="O71" s="31">
        <v>0</v>
      </c>
      <c r="P71" s="31">
        <v>0</v>
      </c>
      <c r="Q71" s="31">
        <v>0</v>
      </c>
      <c r="R71" s="31">
        <v>0</v>
      </c>
    </row>
    <row r="72" spans="2:19">
      <c r="D72" s="1" t="s">
        <v>28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</row>
    <row r="73" spans="2:19">
      <c r="C73" s="11" t="s">
        <v>145</v>
      </c>
      <c r="N73" s="152">
        <v>-12</v>
      </c>
      <c r="O73" s="152">
        <v>-12</v>
      </c>
      <c r="P73" s="152">
        <v>-12</v>
      </c>
      <c r="Q73" s="152">
        <v>-12</v>
      </c>
      <c r="R73" s="152">
        <v>-12</v>
      </c>
    </row>
    <row r="74" spans="2:19">
      <c r="C74" s="11" t="s">
        <v>146</v>
      </c>
      <c r="N74" s="152">
        <v>-5</v>
      </c>
      <c r="O74" s="152">
        <v>-5</v>
      </c>
      <c r="P74" s="152">
        <v>-5</v>
      </c>
      <c r="Q74" s="152">
        <v>-5</v>
      </c>
      <c r="R74" s="152">
        <v>-5</v>
      </c>
    </row>
    <row r="76" spans="2:19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</sheetData>
  <printOptions horizontalCentered="1"/>
  <pageMargins left="0.39370078740157499" right="0.118110236220472" top="0.118110236220472" bottom="0.196850393700787" header="0.118110236220472" footer="0.118110236220472"/>
  <pageSetup paperSize="9" scale="85" orientation="landscape" horizontalDpi="4294967293" verticalDpi="4294967293" r:id="rId1"/>
  <headerFooter>
    <oddFooter>&amp;L&amp;"Times New Roman,Bold"&amp;9ELIXIR EQUIPMENTS COMPANY&amp;C&amp;"Times New Roman,Regular"&amp;9Page &amp;P of &amp;N&amp;R&amp;"Times New Roman,Regular"&amp;9&amp;D &amp;T</oddFooter>
  </headerFooter>
  <rowBreaks count="1" manualBreakCount="1">
    <brk id="3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8E93-0894-4CE2-AC44-AF3A7030B9D3}">
  <dimension ref="B2:N43"/>
  <sheetViews>
    <sheetView showGridLines="0" workbookViewId="0">
      <selection activeCell="B3" sqref="B3"/>
    </sheetView>
  </sheetViews>
  <sheetFormatPr defaultColWidth="9.109375" defaultRowHeight="13.2"/>
  <cols>
    <col min="1" max="3" width="4.44140625" style="1" customWidth="1"/>
    <col min="4" max="4" width="10.33203125" style="1" customWidth="1"/>
    <col min="5" max="5" width="12" style="1" customWidth="1"/>
    <col min="6" max="8" width="9.109375" style="1"/>
    <col min="9" max="9" width="11.5546875" style="1" bestFit="1" customWidth="1"/>
    <col min="10" max="16384" width="9.109375" style="1"/>
  </cols>
  <sheetData>
    <row r="2" spans="2:14" ht="22.8">
      <c r="B2" s="2" t="str">
        <f>Cover!C11</f>
        <v>ELIXIR EQUIPMENTS COMPANY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>
      <c r="B3" s="230" t="s">
        <v>75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3.9" customHeight="1" thickBo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>
      <c r="B5" s="5"/>
    </row>
    <row r="6" spans="2:14">
      <c r="F6" s="6"/>
      <c r="G6" s="6"/>
      <c r="H6" s="6"/>
      <c r="I6" s="6"/>
      <c r="J6" s="6"/>
      <c r="K6" s="6"/>
      <c r="L6" s="6"/>
    </row>
    <row r="8" spans="2:14">
      <c r="H8" s="1" t="s">
        <v>76</v>
      </c>
      <c r="I8" s="12">
        <f>Assumptions!K7</f>
        <v>2022</v>
      </c>
      <c r="J8" s="12">
        <f>I8+1</f>
        <v>2023</v>
      </c>
      <c r="K8" s="12">
        <f t="shared" ref="K8:M8" si="0">J8+1</f>
        <v>2024</v>
      </c>
      <c r="L8" s="12">
        <f t="shared" si="0"/>
        <v>2025</v>
      </c>
      <c r="M8" s="12">
        <f t="shared" si="0"/>
        <v>2026</v>
      </c>
    </row>
    <row r="10" spans="2:14" ht="3.9" customHeight="1">
      <c r="B10" s="14"/>
      <c r="C10" s="7"/>
      <c r="D10" s="7"/>
      <c r="E10" s="15"/>
    </row>
    <row r="11" spans="2:14">
      <c r="B11" s="16" t="s">
        <v>83</v>
      </c>
      <c r="E11" s="29">
        <v>2</v>
      </c>
    </row>
    <row r="12" spans="2:14" ht="3.9" customHeight="1">
      <c r="B12" s="18"/>
      <c r="C12" s="10"/>
      <c r="D12" s="10"/>
      <c r="E12" s="19"/>
    </row>
    <row r="15" spans="2:14">
      <c r="C15" s="11" t="s">
        <v>77</v>
      </c>
    </row>
    <row r="17" spans="3:13">
      <c r="C17" s="11" t="s">
        <v>78</v>
      </c>
      <c r="I17" s="22">
        <f>CHOOSE($E$11,I19,I20,I21)</f>
        <v>0.01</v>
      </c>
      <c r="J17" s="23">
        <f t="shared" ref="J17:M17" si="1">CHOOSE($E$11,J19,J20,J21)</f>
        <v>0.01</v>
      </c>
      <c r="K17" s="23">
        <f t="shared" si="1"/>
        <v>0.01</v>
      </c>
      <c r="L17" s="23">
        <f t="shared" si="1"/>
        <v>0.01</v>
      </c>
      <c r="M17" s="24">
        <f t="shared" si="1"/>
        <v>0.01</v>
      </c>
    </row>
    <row r="18" spans="3:13" ht="3" customHeight="1">
      <c r="C18" s="11"/>
      <c r="I18" s="52"/>
    </row>
    <row r="19" spans="3:13">
      <c r="D19" s="1" t="s">
        <v>79</v>
      </c>
      <c r="I19" s="34">
        <v>1.4999999999999999E-2</v>
      </c>
      <c r="J19" s="35">
        <v>1.4999999999999999E-2</v>
      </c>
      <c r="K19" s="35">
        <v>1.4999999999999999E-2</v>
      </c>
      <c r="L19" s="35">
        <v>1.4999999999999999E-2</v>
      </c>
      <c r="M19" s="36">
        <v>1.4999999999999999E-2</v>
      </c>
    </row>
    <row r="20" spans="3:13">
      <c r="D20" s="1" t="s">
        <v>80</v>
      </c>
      <c r="I20" s="37">
        <v>0.01</v>
      </c>
      <c r="J20" s="21">
        <v>0.01</v>
      </c>
      <c r="K20" s="21">
        <v>0.01</v>
      </c>
      <c r="L20" s="21">
        <v>0.01</v>
      </c>
      <c r="M20" s="38">
        <v>0.01</v>
      </c>
    </row>
    <row r="21" spans="3:13">
      <c r="D21" s="1" t="s">
        <v>81</v>
      </c>
      <c r="I21" s="39">
        <v>2.5000000000000001E-2</v>
      </c>
      <c r="J21" s="40">
        <v>2.5000000000000001E-2</v>
      </c>
      <c r="K21" s="40">
        <v>2.5000000000000001E-2</v>
      </c>
      <c r="L21" s="40">
        <v>2.5000000000000001E-2</v>
      </c>
      <c r="M21" s="41">
        <v>2.5000000000000001E-2</v>
      </c>
    </row>
    <row r="23" spans="3:13"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6" spans="3:13">
      <c r="C26" s="11" t="s">
        <v>82</v>
      </c>
    </row>
    <row r="27" spans="3:13">
      <c r="C27" s="11"/>
    </row>
    <row r="29" spans="3:13">
      <c r="C29" s="11" t="s">
        <v>84</v>
      </c>
      <c r="I29" s="32">
        <f>CHOOSE($E$11,I31,I32,I33)</f>
        <v>11760</v>
      </c>
      <c r="J29" s="50">
        <f t="shared" ref="J29:M29" si="2">CHOOSE($E$11,J31,J32,J33)</f>
        <v>11917.5</v>
      </c>
      <c r="K29" s="50">
        <f t="shared" si="2"/>
        <v>12075</v>
      </c>
      <c r="L29" s="50">
        <f t="shared" si="2"/>
        <v>12285</v>
      </c>
      <c r="M29" s="51">
        <f t="shared" si="2"/>
        <v>12495</v>
      </c>
    </row>
    <row r="30" spans="3:13" ht="3.9" customHeight="1">
      <c r="C30" s="11"/>
      <c r="I30" s="26"/>
      <c r="J30" s="26"/>
      <c r="K30" s="26"/>
      <c r="L30" s="26"/>
      <c r="M30" s="26"/>
    </row>
    <row r="31" spans="3:13">
      <c r="D31" s="1" t="str">
        <f>Assumptions!E17</f>
        <v>Base Case</v>
      </c>
      <c r="I31" s="42">
        <v>11200</v>
      </c>
      <c r="J31" s="43">
        <v>11350</v>
      </c>
      <c r="K31" s="43">
        <v>11500</v>
      </c>
      <c r="L31" s="43">
        <v>11700</v>
      </c>
      <c r="M31" s="44">
        <v>11900</v>
      </c>
    </row>
    <row r="32" spans="3:13">
      <c r="D32" s="1" t="str">
        <f>Assumptions!E18</f>
        <v>Best Case</v>
      </c>
      <c r="E32" s="28">
        <f>Assumptions!H18</f>
        <v>0.05</v>
      </c>
      <c r="I32" s="45">
        <f>I31*(1+$E$32)</f>
        <v>11760</v>
      </c>
      <c r="J32" s="31">
        <f t="shared" ref="J32:M32" si="3">J31*(1+$E$32)</f>
        <v>11917.5</v>
      </c>
      <c r="K32" s="31">
        <f t="shared" si="3"/>
        <v>12075</v>
      </c>
      <c r="L32" s="31">
        <f t="shared" si="3"/>
        <v>12285</v>
      </c>
      <c r="M32" s="46">
        <f t="shared" si="3"/>
        <v>12495</v>
      </c>
    </row>
    <row r="33" spans="3:14">
      <c r="D33" s="1" t="str">
        <f>Assumptions!E19</f>
        <v>Worse Case</v>
      </c>
      <c r="E33" s="28">
        <f>Assumptions!H19</f>
        <v>-0.05</v>
      </c>
      <c r="I33" s="47">
        <f>I31*(1+$E$33)</f>
        <v>10640</v>
      </c>
      <c r="J33" s="48">
        <f t="shared" ref="J33:M33" si="4">J31*(1+$E$33)</f>
        <v>10782.5</v>
      </c>
      <c r="K33" s="48">
        <f t="shared" si="4"/>
        <v>10925</v>
      </c>
      <c r="L33" s="48">
        <f t="shared" si="4"/>
        <v>11115</v>
      </c>
      <c r="M33" s="49">
        <f t="shared" si="4"/>
        <v>11305</v>
      </c>
    </row>
    <row r="36" spans="3:14">
      <c r="C36" s="11" t="s">
        <v>85</v>
      </c>
      <c r="I36" s="22">
        <f>CHOOSE($E$11,I38,I39,I40)</f>
        <v>0.05</v>
      </c>
      <c r="J36" s="23">
        <f t="shared" ref="J36:M36" si="5">CHOOSE($E$11,J38,J39,J40)</f>
        <v>0.05</v>
      </c>
      <c r="K36" s="23">
        <f t="shared" si="5"/>
        <v>0.05</v>
      </c>
      <c r="L36" s="23">
        <f t="shared" si="5"/>
        <v>0.05</v>
      </c>
      <c r="M36" s="24">
        <f t="shared" si="5"/>
        <v>0.05</v>
      </c>
    </row>
    <row r="37" spans="3:14" ht="3.9" customHeight="1">
      <c r="C37" s="11"/>
    </row>
    <row r="38" spans="3:14">
      <c r="D38" s="1" t="s">
        <v>79</v>
      </c>
      <c r="I38" s="34">
        <v>0.04</v>
      </c>
      <c r="J38" s="35">
        <v>0.04</v>
      </c>
      <c r="K38" s="35">
        <v>0.04</v>
      </c>
      <c r="L38" s="35">
        <v>0.04</v>
      </c>
      <c r="M38" s="36">
        <v>0.04</v>
      </c>
    </row>
    <row r="39" spans="3:14">
      <c r="D39" s="1" t="s">
        <v>80</v>
      </c>
      <c r="I39" s="37">
        <v>0.05</v>
      </c>
      <c r="J39" s="21">
        <v>0.05</v>
      </c>
      <c r="K39" s="21">
        <v>0.05</v>
      </c>
      <c r="L39" s="21">
        <v>0.05</v>
      </c>
      <c r="M39" s="38">
        <v>0.05</v>
      </c>
    </row>
    <row r="40" spans="3:14">
      <c r="D40" s="1" t="s">
        <v>81</v>
      </c>
      <c r="I40" s="39">
        <v>0.03</v>
      </c>
      <c r="J40" s="40">
        <v>0.03</v>
      </c>
      <c r="K40" s="40">
        <v>0.03</v>
      </c>
      <c r="L40" s="40">
        <v>0.03</v>
      </c>
      <c r="M40" s="41">
        <v>0.03</v>
      </c>
    </row>
    <row r="43" spans="3:14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</sheetData>
  <printOptions horizontalCentered="1"/>
  <pageMargins left="0.39370078740157499" right="0.118110236220472" top="0.118110236220472" bottom="0.196850393700787" header="0.118110236220472" footer="0.118110236220472"/>
  <pageSetup paperSize="9" scale="85" orientation="landscape" horizontalDpi="4294967293" verticalDpi="4294967293" r:id="rId1"/>
  <headerFooter>
    <oddFooter>&amp;L&amp;"Times New Roman,Bold"&amp;9ELIXIR EQUIPMENTS COMPANY&amp;C&amp;"Times New Roman,Regular"&amp;9Page &amp;P of &amp;N&amp;R&amp;"Times New Roman,Regular"&amp;9&amp;D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3</xdr:col>
                    <xdr:colOff>609600</xdr:colOff>
                    <xdr:row>9</xdr:row>
                    <xdr:rowOff>22860</xdr:rowOff>
                  </from>
                  <to>
                    <xdr:col>4</xdr:col>
                    <xdr:colOff>792480</xdr:colOff>
                    <xdr:row>11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R432"/>
  <sheetViews>
    <sheetView showGridLines="0" tabSelected="1" topLeftCell="A195" zoomScale="85" zoomScaleNormal="85" zoomScaleSheetLayoutView="90" workbookViewId="0">
      <selection activeCell="L200" sqref="L200:P202"/>
    </sheetView>
  </sheetViews>
  <sheetFormatPr defaultColWidth="9.33203125" defaultRowHeight="13.2"/>
  <cols>
    <col min="1" max="1" width="6.33203125" style="1" customWidth="1"/>
    <col min="2" max="2" width="1.88671875" style="1" customWidth="1"/>
    <col min="3" max="3" width="2.33203125" style="1" customWidth="1"/>
    <col min="4" max="4" width="12.44140625" style="1" customWidth="1"/>
    <col min="5" max="6" width="12.6640625" style="1" customWidth="1"/>
    <col min="7" max="7" width="12.6640625" style="217" customWidth="1"/>
    <col min="8" max="8" width="13" style="1" customWidth="1"/>
    <col min="9" max="9" width="12.6640625" style="1" customWidth="1"/>
    <col min="10" max="16" width="10" style="1" customWidth="1"/>
    <col min="17" max="17" width="11.5546875" style="1" bestFit="1" customWidth="1"/>
    <col min="18" max="18" width="20.44140625" style="1" bestFit="1" customWidth="1"/>
    <col min="19" max="16384" width="9.33203125" style="1"/>
  </cols>
  <sheetData>
    <row r="2" spans="2:16">
      <c r="P2" s="136" t="str">
        <f>UPPER("currently running: "&amp;CHOOSE(Scenarios!$E$11,Scenarios!$D$19,Scenarios!$D$20,Scenarios!$D$21)&amp;" Scenarios")</f>
        <v>CURRENTLY RUNNING: BEST CASE SCENARIOS</v>
      </c>
    </row>
    <row r="3" spans="2:16" ht="22.8">
      <c r="B3" s="2" t="str">
        <f>Cover!$C$11</f>
        <v>ELIXIR EQUIPMENTS COMPANY</v>
      </c>
      <c r="C3" s="6"/>
      <c r="D3" s="6"/>
      <c r="E3" s="6"/>
      <c r="F3" s="6"/>
      <c r="G3" s="218"/>
      <c r="H3" s="6"/>
      <c r="I3" s="6"/>
      <c r="J3" s="6"/>
      <c r="K3" s="6"/>
      <c r="L3" s="6"/>
      <c r="M3" s="6"/>
      <c r="N3" s="6"/>
      <c r="O3" s="6"/>
      <c r="P3" s="6"/>
    </row>
    <row r="4" spans="2:16" ht="19.5" customHeight="1">
      <c r="B4" s="230" t="s">
        <v>127</v>
      </c>
      <c r="C4" s="130"/>
      <c r="D4" s="6"/>
      <c r="E4" s="6"/>
      <c r="F4" s="6"/>
      <c r="G4" s="218"/>
      <c r="H4" s="6"/>
      <c r="I4" s="6"/>
      <c r="J4" s="6"/>
      <c r="K4" s="6"/>
      <c r="L4" s="6"/>
      <c r="M4" s="6"/>
      <c r="N4" s="6"/>
      <c r="O4" s="6"/>
      <c r="P4" s="6"/>
    </row>
    <row r="5" spans="2:16" ht="3" customHeight="1" thickBot="1">
      <c r="B5" s="129"/>
      <c r="C5" s="129"/>
      <c r="D5" s="129"/>
      <c r="E5" s="129"/>
      <c r="F5" s="129"/>
      <c r="G5" s="219"/>
      <c r="H5" s="129"/>
      <c r="I5" s="129"/>
      <c r="J5" s="129"/>
      <c r="K5" s="129"/>
      <c r="L5" s="129"/>
      <c r="M5" s="129"/>
      <c r="N5" s="129"/>
      <c r="O5" s="129"/>
      <c r="P5" s="129"/>
    </row>
    <row r="6" spans="2:16">
      <c r="B6" s="5"/>
    </row>
    <row r="7" spans="2:16" ht="13.8" thickBot="1">
      <c r="H7" s="6"/>
      <c r="L7" s="129" t="s">
        <v>212</v>
      </c>
      <c r="M7" s="129"/>
      <c r="N7" s="129"/>
      <c r="O7" s="129"/>
      <c r="P7" s="129"/>
    </row>
    <row r="8" spans="2:16">
      <c r="G8" s="231" t="s">
        <v>76</v>
      </c>
      <c r="H8" s="12"/>
      <c r="I8" s="77">
        <v>2018</v>
      </c>
      <c r="J8" s="77">
        <f>I8+1</f>
        <v>2019</v>
      </c>
      <c r="K8" s="77">
        <f>J8+1</f>
        <v>2020</v>
      </c>
      <c r="L8" s="77">
        <f>K8+1</f>
        <v>2021</v>
      </c>
      <c r="M8" s="77">
        <f t="shared" ref="M8:P8" si="0">L8+1</f>
        <v>2022</v>
      </c>
      <c r="N8" s="77">
        <f t="shared" si="0"/>
        <v>2023</v>
      </c>
      <c r="O8" s="77">
        <f t="shared" si="0"/>
        <v>2024</v>
      </c>
      <c r="P8" s="77">
        <f t="shared" si="0"/>
        <v>2025</v>
      </c>
    </row>
    <row r="9" spans="2:16">
      <c r="G9" s="232"/>
      <c r="H9" s="12"/>
      <c r="I9" s="77"/>
      <c r="J9" s="77"/>
      <c r="K9" s="77"/>
      <c r="L9" s="77"/>
      <c r="M9" s="77"/>
      <c r="N9" s="77"/>
      <c r="O9" s="77"/>
      <c r="P9" s="77"/>
    </row>
    <row r="10" spans="2:16">
      <c r="G10" s="232"/>
      <c r="H10" s="12"/>
      <c r="I10" s="77"/>
      <c r="J10" s="77"/>
      <c r="K10" s="77"/>
      <c r="L10" s="77"/>
      <c r="M10" s="77"/>
      <c r="N10" s="77"/>
      <c r="O10" s="77"/>
      <c r="P10" s="77"/>
    </row>
    <row r="11" spans="2:16">
      <c r="B11" s="11" t="s">
        <v>202</v>
      </c>
      <c r="G11" s="232"/>
      <c r="K11" s="101"/>
    </row>
    <row r="12" spans="2:16">
      <c r="C12" s="1" t="s">
        <v>128</v>
      </c>
      <c r="G12" s="232" t="s">
        <v>203</v>
      </c>
      <c r="K12" s="31">
        <v>11000</v>
      </c>
      <c r="L12" s="210">
        <f>Scenarios!I29</f>
        <v>11760</v>
      </c>
      <c r="M12" s="210">
        <f>Scenarios!J29</f>
        <v>11917.5</v>
      </c>
      <c r="N12" s="210">
        <f>Scenarios!K29</f>
        <v>12075</v>
      </c>
      <c r="O12" s="210">
        <f>Scenarios!L29</f>
        <v>12285</v>
      </c>
      <c r="P12" s="210">
        <f>Scenarios!M29</f>
        <v>12495</v>
      </c>
    </row>
    <row r="13" spans="2:16">
      <c r="C13" s="1" t="s">
        <v>78</v>
      </c>
      <c r="G13" s="232" t="s">
        <v>130</v>
      </c>
      <c r="L13" s="137">
        <f>Scenarios!I17</f>
        <v>0.01</v>
      </c>
      <c r="M13" s="137">
        <f>Scenarios!J17</f>
        <v>0.01</v>
      </c>
      <c r="N13" s="137">
        <f>Scenarios!K17</f>
        <v>0.01</v>
      </c>
      <c r="O13" s="137">
        <f>Scenarios!L17</f>
        <v>0.01</v>
      </c>
      <c r="P13" s="137">
        <f>Scenarios!M17</f>
        <v>0.01</v>
      </c>
    </row>
    <row r="14" spans="2:16">
      <c r="C14" s="1" t="s">
        <v>65</v>
      </c>
      <c r="G14" s="232" t="s">
        <v>203</v>
      </c>
      <c r="K14" s="31">
        <v>265</v>
      </c>
      <c r="L14" s="75">
        <f>K14*(1+L13)</f>
        <v>267.64999999999998</v>
      </c>
      <c r="M14" s="75">
        <f>L14*(1+M13)</f>
        <v>270.32649999999995</v>
      </c>
      <c r="N14" s="75">
        <f>M14*(1+N13)</f>
        <v>273.02976499999994</v>
      </c>
      <c r="O14" s="75">
        <f>N14*(1+O13)</f>
        <v>275.76006264999995</v>
      </c>
      <c r="P14" s="75">
        <f>O14*(1+P13)</f>
        <v>278.51766327649995</v>
      </c>
    </row>
    <row r="15" spans="2:16" s="11" customFormat="1">
      <c r="C15" s="11" t="s">
        <v>129</v>
      </c>
      <c r="G15" s="233" t="s">
        <v>203</v>
      </c>
      <c r="K15" s="33">
        <f>K12-K14</f>
        <v>10735</v>
      </c>
      <c r="L15" s="33">
        <f>L12-L14</f>
        <v>11492.35</v>
      </c>
      <c r="M15" s="33">
        <f t="shared" ref="M15:P15" si="1">M12-M14</f>
        <v>11647.173500000001</v>
      </c>
      <c r="N15" s="33">
        <f t="shared" si="1"/>
        <v>11801.970235000001</v>
      </c>
      <c r="O15" s="33">
        <f t="shared" si="1"/>
        <v>12009.239937349999</v>
      </c>
      <c r="P15" s="33">
        <f t="shared" si="1"/>
        <v>12216.4823367235</v>
      </c>
    </row>
    <row r="16" spans="2:16">
      <c r="G16" s="232"/>
    </row>
    <row r="17" spans="2:18">
      <c r="G17" s="232"/>
    </row>
    <row r="18" spans="2:18">
      <c r="B18" s="11" t="s">
        <v>132</v>
      </c>
      <c r="G18" s="232"/>
    </row>
    <row r="19" spans="2:18">
      <c r="D19" s="1" t="s">
        <v>207</v>
      </c>
      <c r="G19" s="232" t="s">
        <v>130</v>
      </c>
      <c r="L19" s="137">
        <f>Scenarios!I36</f>
        <v>0.05</v>
      </c>
      <c r="M19" s="137">
        <f>Scenarios!J36</f>
        <v>0.05</v>
      </c>
      <c r="N19" s="137">
        <f>Scenarios!K36</f>
        <v>0.05</v>
      </c>
      <c r="O19" s="137">
        <f>Scenarios!L36</f>
        <v>0.05</v>
      </c>
      <c r="P19" s="137">
        <f>Scenarios!M36</f>
        <v>0.05</v>
      </c>
    </row>
    <row r="20" spans="2:18" s="11" customFormat="1">
      <c r="D20" s="11" t="s">
        <v>208</v>
      </c>
      <c r="G20" s="233" t="s">
        <v>206</v>
      </c>
      <c r="J20" s="143"/>
      <c r="K20" s="30">
        <f>K31/K15*1000</f>
        <v>12.994876571960875</v>
      </c>
      <c r="L20" s="30">
        <f>MIN(L25, K20*(1+L19))</f>
        <v>13.644620400558919</v>
      </c>
      <c r="M20" s="30">
        <f t="shared" ref="M20:P20" si="2">MIN(M25, L20*(1+M19))</f>
        <v>14.326851420586866</v>
      </c>
      <c r="N20" s="30">
        <f t="shared" si="2"/>
        <v>15.04319399161621</v>
      </c>
      <c r="O20" s="30">
        <f t="shared" si="2"/>
        <v>15.5</v>
      </c>
      <c r="P20" s="30">
        <f t="shared" si="2"/>
        <v>15.5</v>
      </c>
      <c r="R20" s="211"/>
    </row>
    <row r="21" spans="2:18">
      <c r="G21" s="232"/>
      <c r="K21" s="26"/>
      <c r="L21" s="26"/>
      <c r="M21" s="26"/>
      <c r="N21" s="26"/>
      <c r="O21" s="26"/>
      <c r="P21" s="26"/>
    </row>
    <row r="22" spans="2:18">
      <c r="D22" s="1" t="s">
        <v>210</v>
      </c>
      <c r="G22" s="232"/>
      <c r="L22" s="27">
        <f>MIN(L20/L25, L25/L25)</f>
        <v>0.88029809035863993</v>
      </c>
      <c r="M22" s="27">
        <f>MIN(M20/M25,M25)</f>
        <v>0.92431299487657204</v>
      </c>
      <c r="N22" s="27">
        <f>MIN(N20/N25,N25)</f>
        <v>0.97052864462040067</v>
      </c>
      <c r="O22" s="27">
        <f>MIN(O20/O25,O25)</f>
        <v>1</v>
      </c>
      <c r="P22" s="27">
        <f>MIN(P20/P25, P25)</f>
        <v>1</v>
      </c>
    </row>
    <row r="23" spans="2:18">
      <c r="G23" s="232"/>
    </row>
    <row r="24" spans="2:18">
      <c r="G24" s="232"/>
      <c r="L24" s="53"/>
    </row>
    <row r="25" spans="2:18" s="11" customFormat="1">
      <c r="C25" s="11" t="s">
        <v>204</v>
      </c>
      <c r="G25" s="233" t="s">
        <v>206</v>
      </c>
      <c r="L25" s="236">
        <f>Assumptions!R19</f>
        <v>15.5</v>
      </c>
      <c r="M25" s="11">
        <f>L25</f>
        <v>15.5</v>
      </c>
      <c r="N25" s="11">
        <f t="shared" ref="N25:P25" si="3">M25</f>
        <v>15.5</v>
      </c>
      <c r="O25" s="11">
        <f t="shared" si="3"/>
        <v>15.5</v>
      </c>
      <c r="P25" s="11">
        <f t="shared" si="3"/>
        <v>15.5</v>
      </c>
    </row>
    <row r="26" spans="2:18">
      <c r="G26" s="232"/>
      <c r="L26" s="53"/>
    </row>
    <row r="27" spans="2:18">
      <c r="B27" s="7"/>
      <c r="C27" s="7"/>
      <c r="D27" s="7"/>
      <c r="E27" s="7"/>
      <c r="F27" s="7"/>
      <c r="G27" s="234"/>
      <c r="H27" s="7"/>
      <c r="I27" s="7"/>
      <c r="J27" s="7"/>
      <c r="K27" s="7"/>
      <c r="L27" s="7"/>
      <c r="M27" s="7"/>
      <c r="N27" s="7"/>
      <c r="O27" s="7"/>
      <c r="P27" s="7"/>
    </row>
    <row r="28" spans="2:18">
      <c r="B28" s="11" t="s">
        <v>131</v>
      </c>
      <c r="G28" s="232"/>
    </row>
    <row r="29" spans="2:18">
      <c r="D29" s="1" t="str">
        <f>C81</f>
        <v>Gross Revenue</v>
      </c>
      <c r="G29" s="232" t="s">
        <v>209</v>
      </c>
      <c r="K29" s="101">
        <f>K81</f>
        <v>143</v>
      </c>
      <c r="L29" s="26">
        <f>L12*L20/1000</f>
        <v>160.46073591057291</v>
      </c>
      <c r="M29" s="26">
        <f t="shared" ref="M29:P29" si="4">M12*M20/1000</f>
        <v>170.74025180484398</v>
      </c>
      <c r="N29" s="26">
        <f t="shared" si="4"/>
        <v>181.64656744876575</v>
      </c>
      <c r="O29" s="26">
        <f t="shared" si="4"/>
        <v>190.41749999999999</v>
      </c>
      <c r="P29" s="26">
        <f t="shared" si="4"/>
        <v>193.67250000000001</v>
      </c>
    </row>
    <row r="30" spans="2:18">
      <c r="D30" s="1" t="str">
        <f t="shared" ref="D30:D31" si="5">C82</f>
        <v>Freight &amp; Warehousing</v>
      </c>
      <c r="G30" s="232" t="s">
        <v>209</v>
      </c>
      <c r="K30" s="101">
        <f>K82</f>
        <v>3.5</v>
      </c>
      <c r="L30" s="26">
        <f>L14*L20/1000</f>
        <v>3.6519826502095944</v>
      </c>
      <c r="M30" s="26">
        <f t="shared" ref="M30:P30" si="6">M14*M20/1000</f>
        <v>3.8729276005472748</v>
      </c>
      <c r="N30" s="26">
        <f t="shared" si="6"/>
        <v>4.1072397203803845</v>
      </c>
      <c r="O30" s="26">
        <f t="shared" si="6"/>
        <v>4.2742809710749992</v>
      </c>
      <c r="P30" s="26">
        <f t="shared" si="6"/>
        <v>4.3170237807857497</v>
      </c>
    </row>
    <row r="31" spans="2:18" s="11" customFormat="1" ht="13.8" thickBot="1">
      <c r="D31" s="11" t="str">
        <f t="shared" si="5"/>
        <v>Net Revenue</v>
      </c>
      <c r="G31" s="233" t="s">
        <v>209</v>
      </c>
      <c r="K31" s="139">
        <f>K83</f>
        <v>139.5</v>
      </c>
      <c r="L31" s="140">
        <f>L29-L30</f>
        <v>156.80875326036332</v>
      </c>
      <c r="M31" s="140">
        <f t="shared" ref="M31:P31" si="7">M29-M30</f>
        <v>166.86732420429669</v>
      </c>
      <c r="N31" s="140">
        <f t="shared" si="7"/>
        <v>177.53932772838536</v>
      </c>
      <c r="O31" s="140">
        <f t="shared" si="7"/>
        <v>186.14321902892499</v>
      </c>
      <c r="P31" s="140">
        <f t="shared" si="7"/>
        <v>189.35547621921427</v>
      </c>
    </row>
    <row r="32" spans="2:18" ht="14.4" thickTop="1" thickBot="1">
      <c r="B32" s="212"/>
      <c r="C32" s="212"/>
      <c r="D32" s="212"/>
      <c r="E32" s="212"/>
      <c r="F32" s="212"/>
      <c r="G32" s="235"/>
      <c r="H32" s="212"/>
      <c r="I32" s="212"/>
      <c r="J32" s="212"/>
      <c r="K32" s="212"/>
      <c r="L32" s="212"/>
      <c r="M32" s="212"/>
      <c r="N32" s="212"/>
      <c r="O32" s="212"/>
      <c r="P32" s="212"/>
    </row>
    <row r="36" spans="2:16">
      <c r="P36" s="136" t="str">
        <f>UPPER("currently running: "&amp;CHOOSE(Scenarios!$E$11,Scenarios!$D$19,Scenarios!$D$20,Scenarios!$D$21)&amp;" Scenarios")</f>
        <v>CURRENTLY RUNNING: BEST CASE SCENARIOS</v>
      </c>
    </row>
    <row r="37" spans="2:16" ht="22.8">
      <c r="B37" s="2" t="str">
        <f>Cover!$C$11</f>
        <v>ELIXIR EQUIPMENTS COMPANY</v>
      </c>
      <c r="C37" s="6"/>
      <c r="D37" s="6"/>
      <c r="E37" s="6"/>
      <c r="F37" s="6"/>
      <c r="G37" s="218"/>
      <c r="H37" s="6"/>
      <c r="I37" s="6"/>
      <c r="J37" s="6"/>
      <c r="K37" s="6"/>
      <c r="L37" s="6"/>
      <c r="M37" s="6"/>
      <c r="N37" s="6"/>
      <c r="O37" s="6"/>
      <c r="P37" s="6"/>
    </row>
    <row r="38" spans="2:16" ht="19.5" customHeight="1">
      <c r="B38" s="230" t="s">
        <v>211</v>
      </c>
      <c r="C38" s="130"/>
      <c r="D38" s="6"/>
      <c r="E38" s="6"/>
      <c r="F38" s="6"/>
      <c r="G38" s="218"/>
      <c r="H38" s="6"/>
      <c r="I38" s="6"/>
      <c r="J38" s="6"/>
      <c r="K38" s="6"/>
      <c r="L38" s="6"/>
      <c r="M38" s="6"/>
      <c r="N38" s="6"/>
      <c r="O38" s="6"/>
      <c r="P38" s="6"/>
    </row>
    <row r="39" spans="2:16" ht="6" customHeight="1" thickBot="1">
      <c r="B39" s="129"/>
      <c r="C39" s="129"/>
      <c r="D39" s="129"/>
      <c r="E39" s="129"/>
      <c r="F39" s="129"/>
      <c r="G39" s="219"/>
      <c r="H39" s="129"/>
      <c r="I39" s="129"/>
      <c r="J39" s="129"/>
      <c r="K39" s="129"/>
      <c r="L39" s="129"/>
      <c r="M39" s="129"/>
      <c r="N39" s="129"/>
      <c r="O39" s="129"/>
      <c r="P39" s="129"/>
    </row>
    <row r="40" spans="2:16">
      <c r="H40" s="6"/>
    </row>
    <row r="41" spans="2:16" ht="13.8" thickBot="1">
      <c r="H41" s="6"/>
      <c r="L41" s="129" t="s">
        <v>212</v>
      </c>
      <c r="M41" s="129"/>
      <c r="N41" s="129"/>
      <c r="O41" s="129"/>
      <c r="P41" s="129"/>
    </row>
    <row r="42" spans="2:16">
      <c r="G42" s="231" t="s">
        <v>76</v>
      </c>
      <c r="H42" s="12"/>
      <c r="I42" s="77">
        <v>2018</v>
      </c>
      <c r="J42" s="77">
        <f>I42+1</f>
        <v>2019</v>
      </c>
      <c r="K42" s="77">
        <f>J42+1</f>
        <v>2020</v>
      </c>
      <c r="L42" s="77">
        <f>K42+1</f>
        <v>2021</v>
      </c>
      <c r="M42" s="77">
        <f t="shared" ref="M42:P42" si="8">L42+1</f>
        <v>2022</v>
      </c>
      <c r="N42" s="77">
        <f t="shared" si="8"/>
        <v>2023</v>
      </c>
      <c r="O42" s="77">
        <f t="shared" si="8"/>
        <v>2024</v>
      </c>
      <c r="P42" s="77">
        <f t="shared" si="8"/>
        <v>2025</v>
      </c>
    </row>
    <row r="43" spans="2:16">
      <c r="G43" s="232"/>
      <c r="H43" s="12"/>
      <c r="I43" s="77"/>
      <c r="J43" s="77"/>
      <c r="K43" s="77"/>
      <c r="L43" s="77"/>
      <c r="M43" s="77"/>
      <c r="N43" s="77"/>
      <c r="O43" s="77"/>
      <c r="P43" s="77"/>
    </row>
    <row r="44" spans="2:16">
      <c r="G44" s="232"/>
      <c r="H44" s="12"/>
      <c r="I44" s="77"/>
      <c r="J44" s="77"/>
      <c r="K44" s="77"/>
      <c r="L44" s="77"/>
      <c r="M44" s="77"/>
      <c r="N44" s="77"/>
      <c r="O44" s="77"/>
      <c r="P44" s="77"/>
    </row>
    <row r="45" spans="2:16">
      <c r="B45" s="14" t="str">
        <f>C13</f>
        <v>Cost Inflation</v>
      </c>
      <c r="C45" s="7"/>
      <c r="D45" s="7"/>
      <c r="E45" s="7"/>
      <c r="F45" s="7"/>
      <c r="G45" s="234" t="s">
        <v>130</v>
      </c>
      <c r="H45" s="7"/>
      <c r="I45" s="7"/>
      <c r="J45" s="7"/>
      <c r="K45" s="7"/>
      <c r="L45" s="213">
        <f>L13</f>
        <v>0.01</v>
      </c>
      <c r="M45" s="213">
        <f>M13</f>
        <v>0.01</v>
      </c>
      <c r="N45" s="213">
        <f>N13</f>
        <v>0.01</v>
      </c>
      <c r="O45" s="213">
        <f>O13</f>
        <v>0.01</v>
      </c>
      <c r="P45" s="214">
        <f>P13</f>
        <v>0.01</v>
      </c>
    </row>
    <row r="46" spans="2:16">
      <c r="B46" s="18" t="str">
        <f>D20</f>
        <v>Annual Sales Volume</v>
      </c>
      <c r="C46" s="10"/>
      <c r="D46" s="10"/>
      <c r="E46" s="10"/>
      <c r="F46" s="10"/>
      <c r="G46" s="242" t="s">
        <v>205</v>
      </c>
      <c r="H46" s="10"/>
      <c r="I46" s="10"/>
      <c r="J46" s="10"/>
      <c r="K46" s="215">
        <f t="shared" ref="K46:P46" si="9">K20</f>
        <v>12.994876571960875</v>
      </c>
      <c r="L46" s="215">
        <f t="shared" si="9"/>
        <v>13.644620400558919</v>
      </c>
      <c r="M46" s="215">
        <f t="shared" si="9"/>
        <v>14.326851420586866</v>
      </c>
      <c r="N46" s="215">
        <f t="shared" si="9"/>
        <v>15.04319399161621</v>
      </c>
      <c r="O46" s="215">
        <f t="shared" si="9"/>
        <v>15.5</v>
      </c>
      <c r="P46" s="216">
        <f t="shared" si="9"/>
        <v>15.5</v>
      </c>
    </row>
    <row r="47" spans="2:16">
      <c r="G47" s="232"/>
    </row>
    <row r="48" spans="2:16">
      <c r="G48" s="232"/>
    </row>
    <row r="49" spans="2:18">
      <c r="B49" s="11" t="str">
        <f>UPPER("Cost Per Unit")</f>
        <v>COST PER UNIT</v>
      </c>
      <c r="C49" s="11"/>
      <c r="G49" s="232"/>
    </row>
    <row r="50" spans="2:18">
      <c r="C50" s="1" t="s">
        <v>133</v>
      </c>
      <c r="G50" s="232"/>
      <c r="J50" s="180"/>
      <c r="K50" s="127">
        <f>K58*1000/K46</f>
        <v>3707.6150537634412</v>
      </c>
      <c r="L50" s="127">
        <f>K50*(1+L45)</f>
        <v>3744.6912043010757</v>
      </c>
      <c r="M50" s="127">
        <f t="shared" ref="M50:P50" si="10">L50*(1+M45)</f>
        <v>3782.1381163440865</v>
      </c>
      <c r="N50" s="127">
        <f t="shared" si="10"/>
        <v>3819.9594975075274</v>
      </c>
      <c r="O50" s="127">
        <f t="shared" si="10"/>
        <v>3858.1590924826028</v>
      </c>
      <c r="P50" s="127">
        <f t="shared" si="10"/>
        <v>3896.7406834074291</v>
      </c>
    </row>
    <row r="51" spans="2:18">
      <c r="D51" s="1" t="s">
        <v>136</v>
      </c>
      <c r="G51" s="232" t="s">
        <v>203</v>
      </c>
      <c r="K51" s="127"/>
      <c r="L51" s="127"/>
      <c r="M51" s="127"/>
      <c r="N51" s="127"/>
      <c r="O51" s="127"/>
      <c r="P51" s="127"/>
    </row>
    <row r="52" spans="2:18">
      <c r="G52" s="232"/>
      <c r="K52" s="127"/>
      <c r="L52" s="127"/>
      <c r="M52" s="127"/>
      <c r="N52" s="127"/>
      <c r="O52" s="127"/>
      <c r="P52" s="127"/>
    </row>
    <row r="53" spans="2:18">
      <c r="C53" s="1" t="s">
        <v>134</v>
      </c>
      <c r="G53" s="232" t="s">
        <v>203</v>
      </c>
      <c r="K53" s="127">
        <f>K61*1000/K46</f>
        <v>2471.7433691756273</v>
      </c>
      <c r="L53" s="127">
        <f>L61*1000/L46</f>
        <v>2377.5817170165551</v>
      </c>
      <c r="M53" s="127">
        <f t="shared" ref="M53:P53" si="11">M61*1000/M46</f>
        <v>2287.0071754159248</v>
      </c>
      <c r="N53" s="127">
        <f t="shared" si="11"/>
        <v>2199.8830925429374</v>
      </c>
      <c r="O53" s="127">
        <f t="shared" si="11"/>
        <v>2156.4000516903225</v>
      </c>
      <c r="P53" s="127">
        <f t="shared" si="11"/>
        <v>2177.9640522072259</v>
      </c>
    </row>
    <row r="54" spans="2:18" s="11" customFormat="1" ht="13.8" thickBot="1">
      <c r="C54" s="11" t="s">
        <v>135</v>
      </c>
      <c r="G54" s="233" t="s">
        <v>203</v>
      </c>
      <c r="K54" s="237">
        <f>K53+K50</f>
        <v>6179.358422939069</v>
      </c>
      <c r="L54" s="237">
        <f t="shared" ref="L54:P54" si="12">L53+L50</f>
        <v>6122.2729213176308</v>
      </c>
      <c r="M54" s="237">
        <f t="shared" si="12"/>
        <v>6069.1452917600109</v>
      </c>
      <c r="N54" s="237">
        <f t="shared" si="12"/>
        <v>6019.8425900504644</v>
      </c>
      <c r="O54" s="237">
        <f t="shared" si="12"/>
        <v>6014.5591441729248</v>
      </c>
      <c r="P54" s="237">
        <f t="shared" si="12"/>
        <v>6074.704735614655</v>
      </c>
      <c r="Q54" s="238"/>
      <c r="R54" s="229"/>
    </row>
    <row r="55" spans="2:18" s="11" customFormat="1" ht="13.8" thickTop="1">
      <c r="G55" s="233"/>
      <c r="K55" s="143"/>
      <c r="L55" s="143"/>
      <c r="M55" s="143"/>
      <c r="N55" s="143"/>
      <c r="O55" s="143"/>
      <c r="P55" s="143"/>
    </row>
    <row r="56" spans="2:18">
      <c r="G56" s="232"/>
      <c r="K56" s="75"/>
      <c r="L56" s="75"/>
      <c r="M56" s="75"/>
      <c r="N56" s="75"/>
      <c r="O56" s="75"/>
      <c r="P56" s="75"/>
    </row>
    <row r="57" spans="2:18">
      <c r="B57" s="11" t="str">
        <f>UPPER("Cost In Millions")</f>
        <v>COST IN MILLIONS</v>
      </c>
      <c r="G57" s="232"/>
      <c r="K57" s="75"/>
      <c r="L57" s="75"/>
      <c r="M57" s="75"/>
      <c r="N57" s="75"/>
      <c r="O57" s="75"/>
      <c r="P57" s="75"/>
    </row>
    <row r="58" spans="2:18">
      <c r="C58" s="1" t="s">
        <v>133</v>
      </c>
      <c r="F58" s="177">
        <f>Assumptions!K23</f>
        <v>0.6</v>
      </c>
      <c r="G58" s="232" t="s">
        <v>209</v>
      </c>
      <c r="K58" s="26">
        <f>F58*K62</f>
        <v>48.18</v>
      </c>
      <c r="L58" s="26">
        <f>L50*L46/1000</f>
        <v>51.094890000000007</v>
      </c>
      <c r="M58" s="26">
        <f t="shared" ref="M58:P58" si="13">M50*M46/1000</f>
        <v>54.186130845000008</v>
      </c>
      <c r="N58" s="26">
        <f t="shared" si="13"/>
        <v>57.464391761122513</v>
      </c>
      <c r="O58" s="26">
        <f t="shared" si="13"/>
        <v>59.801465933480344</v>
      </c>
      <c r="P58" s="26">
        <f t="shared" si="13"/>
        <v>60.399480592815145</v>
      </c>
    </row>
    <row r="59" spans="2:18">
      <c r="G59" s="232"/>
      <c r="K59" s="75"/>
      <c r="L59" s="75"/>
      <c r="M59" s="75"/>
      <c r="N59" s="75"/>
      <c r="O59" s="75"/>
      <c r="P59" s="75"/>
    </row>
    <row r="60" spans="2:18">
      <c r="C60" s="1" t="s">
        <v>134</v>
      </c>
      <c r="G60" s="232"/>
      <c r="K60" s="75"/>
      <c r="L60" s="75"/>
      <c r="M60" s="75"/>
      <c r="N60" s="75"/>
      <c r="O60" s="75"/>
      <c r="P60" s="75"/>
    </row>
    <row r="61" spans="2:18">
      <c r="D61" s="1" t="s">
        <v>137</v>
      </c>
      <c r="F61" s="177">
        <f>Assumptions!K24</f>
        <v>0.4</v>
      </c>
      <c r="G61" s="232" t="s">
        <v>209</v>
      </c>
      <c r="K61" s="75">
        <f>F61*K62</f>
        <v>32.119999999999997</v>
      </c>
      <c r="L61" s="75">
        <f>K61*(1+L45)</f>
        <v>32.441199999999995</v>
      </c>
      <c r="M61" s="75">
        <f t="shared" ref="M61:P61" si="14">L61*(1+M45)</f>
        <v>32.765611999999997</v>
      </c>
      <c r="N61" s="75">
        <f t="shared" si="14"/>
        <v>33.093268119999998</v>
      </c>
      <c r="O61" s="75">
        <f t="shared" si="14"/>
        <v>33.424200801200001</v>
      </c>
      <c r="P61" s="75">
        <f t="shared" si="14"/>
        <v>33.758442809211999</v>
      </c>
    </row>
    <row r="62" spans="2:18" s="11" customFormat="1" ht="13.8" thickBot="1">
      <c r="C62" s="11" t="s">
        <v>135</v>
      </c>
      <c r="G62" s="233" t="s">
        <v>209</v>
      </c>
      <c r="K62" s="241">
        <f>K85</f>
        <v>80.3</v>
      </c>
      <c r="L62" s="154">
        <f>L61+L58</f>
        <v>83.536090000000002</v>
      </c>
      <c r="M62" s="154">
        <f t="shared" ref="M62:P62" si="15">M61+M58</f>
        <v>86.951742845000012</v>
      </c>
      <c r="N62" s="154">
        <f t="shared" si="15"/>
        <v>90.557659881122504</v>
      </c>
      <c r="O62" s="154">
        <f t="shared" si="15"/>
        <v>93.225666734680345</v>
      </c>
      <c r="P62" s="154">
        <f t="shared" si="15"/>
        <v>94.157923402027137</v>
      </c>
    </row>
    <row r="63" spans="2:18" ht="13.8" thickTop="1"/>
    <row r="65" spans="2:16" s="11" customFormat="1" ht="13.8" thickBot="1">
      <c r="B65" s="175" t="s">
        <v>172</v>
      </c>
      <c r="C65" s="175"/>
      <c r="D65" s="175"/>
      <c r="E65" s="175"/>
      <c r="F65" s="175"/>
      <c r="G65" s="224"/>
      <c r="H65" s="175"/>
      <c r="I65" s="175"/>
      <c r="J65" s="175"/>
      <c r="K65" s="175"/>
      <c r="L65" s="176">
        <v>9.5</v>
      </c>
      <c r="M65" s="176">
        <f t="shared" ref="M65:P65" si="16">L65*(1+M45)</f>
        <v>9.5950000000000006</v>
      </c>
      <c r="N65" s="176">
        <f t="shared" si="16"/>
        <v>9.6909500000000008</v>
      </c>
      <c r="O65" s="176">
        <f t="shared" si="16"/>
        <v>9.7878595000000015</v>
      </c>
      <c r="P65" s="176">
        <f t="shared" si="16"/>
        <v>9.8857380950000024</v>
      </c>
    </row>
    <row r="66" spans="2:16" ht="13.8" thickTop="1">
      <c r="B66" s="239"/>
      <c r="C66" s="239"/>
      <c r="D66" s="239"/>
      <c r="E66" s="239"/>
      <c r="F66" s="239"/>
      <c r="G66" s="240"/>
      <c r="H66" s="239"/>
      <c r="I66" s="239"/>
      <c r="J66" s="239"/>
      <c r="K66" s="239"/>
      <c r="L66" s="239"/>
      <c r="M66" s="239"/>
      <c r="N66" s="239"/>
      <c r="O66" s="239"/>
      <c r="P66" s="239"/>
    </row>
    <row r="69" spans="2:16">
      <c r="P69" s="136" t="str">
        <f>UPPER("currently running: "&amp;CHOOSE(Scenarios!$E$11,Scenarios!$D$19,Scenarios!$D$20,Scenarios!$D$21)&amp;" Scenarios")</f>
        <v>CURRENTLY RUNNING: BEST CASE SCENARIOS</v>
      </c>
    </row>
    <row r="70" spans="2:16" ht="22.8">
      <c r="B70" s="2" t="str">
        <f>Cover!$C$11</f>
        <v>ELIXIR EQUIPMENTS COMPANY</v>
      </c>
      <c r="C70" s="6"/>
      <c r="D70" s="6"/>
      <c r="E70" s="6"/>
      <c r="F70" s="6"/>
      <c r="G70" s="218"/>
      <c r="H70" s="6"/>
      <c r="I70" s="6"/>
      <c r="J70" s="6"/>
      <c r="K70" s="6"/>
      <c r="L70" s="6"/>
      <c r="M70" s="6"/>
      <c r="N70" s="6"/>
      <c r="O70" s="6"/>
      <c r="P70" s="6"/>
    </row>
    <row r="71" spans="2:16" ht="19.5" customHeight="1">
      <c r="B71" s="230" t="s">
        <v>0</v>
      </c>
      <c r="C71" s="130"/>
      <c r="D71" s="6"/>
      <c r="E71" s="6"/>
      <c r="F71" s="6"/>
      <c r="G71" s="218"/>
      <c r="H71" s="6"/>
      <c r="I71" s="6"/>
      <c r="J71" s="6"/>
      <c r="K71" s="6"/>
      <c r="L71" s="6"/>
      <c r="M71" s="6"/>
      <c r="N71" s="6"/>
      <c r="O71" s="6"/>
      <c r="P71" s="6"/>
    </row>
    <row r="72" spans="2:16" ht="6" customHeight="1" thickBot="1">
      <c r="B72" s="129"/>
      <c r="C72" s="129"/>
      <c r="D72" s="129"/>
      <c r="E72" s="129"/>
      <c r="F72" s="129"/>
      <c r="G72" s="219"/>
      <c r="H72" s="129"/>
      <c r="I72" s="129"/>
      <c r="J72" s="129"/>
      <c r="K72" s="129"/>
      <c r="L72" s="129"/>
      <c r="M72" s="129"/>
      <c r="N72" s="129"/>
      <c r="O72" s="129"/>
      <c r="P72" s="129"/>
    </row>
    <row r="73" spans="2:16">
      <c r="H73" s="6"/>
    </row>
    <row r="74" spans="2:16" ht="13.8" thickBot="1">
      <c r="H74" s="6"/>
      <c r="L74" s="129" t="s">
        <v>212</v>
      </c>
      <c r="M74" s="129"/>
      <c r="N74" s="129"/>
      <c r="O74" s="129"/>
      <c r="P74" s="129"/>
    </row>
    <row r="75" spans="2:16">
      <c r="H75" s="12"/>
      <c r="I75" s="77">
        <v>2018</v>
      </c>
      <c r="J75" s="77">
        <f>I75+1</f>
        <v>2019</v>
      </c>
      <c r="K75" s="77">
        <f>J75+1</f>
        <v>2020</v>
      </c>
      <c r="L75" s="77">
        <f>K75+1</f>
        <v>2021</v>
      </c>
      <c r="M75" s="77">
        <f t="shared" ref="M75:P75" si="17">L75+1</f>
        <v>2022</v>
      </c>
      <c r="N75" s="77">
        <f t="shared" si="17"/>
        <v>2023</v>
      </c>
      <c r="O75" s="77">
        <f t="shared" si="17"/>
        <v>2024</v>
      </c>
      <c r="P75" s="77">
        <f t="shared" si="17"/>
        <v>2025</v>
      </c>
    </row>
    <row r="76" spans="2:16" ht="13.2" customHeight="1">
      <c r="H76" s="12"/>
      <c r="I76" s="12"/>
      <c r="J76" s="12"/>
      <c r="K76" s="12"/>
      <c r="L76" s="12"/>
      <c r="M76" s="12"/>
      <c r="N76" s="12"/>
      <c r="O76" s="12"/>
      <c r="P76" s="12"/>
    </row>
    <row r="77" spans="2:16">
      <c r="B77" s="78" t="s">
        <v>1</v>
      </c>
      <c r="C77" s="76"/>
      <c r="D77" s="76"/>
      <c r="E77" s="76"/>
      <c r="F77" s="76"/>
      <c r="G77" s="225"/>
      <c r="H77" s="79"/>
      <c r="I77" s="79"/>
      <c r="J77" s="80">
        <f>J83/I83-1</f>
        <v>3.937007874015741E-2</v>
      </c>
      <c r="K77" s="80">
        <f>K83/J83-1</f>
        <v>5.6818181818181879E-2</v>
      </c>
      <c r="L77" s="80">
        <f t="shared" ref="L77:P77" si="18">L83/K83-1</f>
        <v>0.12407708430367981</v>
      </c>
      <c r="M77" s="80">
        <f t="shared" si="18"/>
        <v>6.4145468507311287E-2</v>
      </c>
      <c r="N77" s="80">
        <f t="shared" si="18"/>
        <v>6.3955022800167072E-2</v>
      </c>
      <c r="O77" s="80">
        <f t="shared" si="18"/>
        <v>4.8461889602863684E-2</v>
      </c>
      <c r="P77" s="81">
        <f t="shared" si="18"/>
        <v>1.7256912215481313E-2</v>
      </c>
    </row>
    <row r="78" spans="2:16">
      <c r="B78" s="83" t="s">
        <v>2</v>
      </c>
      <c r="H78" s="12"/>
      <c r="I78" s="82">
        <f>I85/I$83</f>
        <v>0.57322834645669285</v>
      </c>
      <c r="J78" s="82">
        <f>J85/J$83</f>
        <v>0.59166666666666667</v>
      </c>
      <c r="K78" s="82">
        <f>K85/K$83</f>
        <v>0.57562724014336919</v>
      </c>
      <c r="L78" s="82">
        <f t="shared" ref="L78:P78" si="19">L85/L$83</f>
        <v>0.53272593693349313</v>
      </c>
      <c r="M78" s="82">
        <f t="shared" si="19"/>
        <v>0.52108310155764503</v>
      </c>
      <c r="N78" s="82">
        <f t="shared" si="19"/>
        <v>0.51007098562221242</v>
      </c>
      <c r="O78" s="82">
        <f t="shared" si="19"/>
        <v>0.50082762735608388</v>
      </c>
      <c r="P78" s="84">
        <f t="shared" si="19"/>
        <v>0.49725482083772315</v>
      </c>
    </row>
    <row r="79" spans="2:16">
      <c r="B79" s="85" t="s">
        <v>3</v>
      </c>
      <c r="C79" s="25"/>
      <c r="D79" s="25"/>
      <c r="E79" s="25"/>
      <c r="F79" s="25"/>
      <c r="G79" s="226"/>
      <c r="H79" s="86"/>
      <c r="I79" s="87">
        <f>I86/I$83</f>
        <v>6.4566929133858267E-2</v>
      </c>
      <c r="J79" s="87">
        <f t="shared" ref="J79:K79" si="20">J86/J$83</f>
        <v>6.5151515151515155E-2</v>
      </c>
      <c r="K79" s="87">
        <f t="shared" si="20"/>
        <v>6.5232974910394259E-2</v>
      </c>
      <c r="L79" s="87">
        <f t="shared" ref="L79:P79" si="21">L86/L$83</f>
        <v>6.0583352666711901E-2</v>
      </c>
      <c r="M79" s="87">
        <f t="shared" si="21"/>
        <v>5.7500772219807296E-2</v>
      </c>
      <c r="N79" s="87">
        <f t="shared" si="21"/>
        <v>5.4584807343790516E-2</v>
      </c>
      <c r="O79" s="87">
        <f t="shared" si="21"/>
        <v>5.2582412354645357E-2</v>
      </c>
      <c r="P79" s="88">
        <f t="shared" si="21"/>
        <v>5.2207299690426791E-2</v>
      </c>
    </row>
    <row r="80" spans="2:16" ht="13.2" customHeight="1">
      <c r="B80" s="11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3.2" customHeight="1">
      <c r="B81" s="11"/>
      <c r="C81" s="1" t="s">
        <v>64</v>
      </c>
      <c r="H81" s="12"/>
      <c r="I81" s="89">
        <v>130.1</v>
      </c>
      <c r="J81" s="89">
        <v>135.30000000000001</v>
      </c>
      <c r="K81" s="89">
        <v>143</v>
      </c>
      <c r="L81" s="188">
        <f>L29</f>
        <v>160.46073591057291</v>
      </c>
      <c r="M81" s="188">
        <f>M29</f>
        <v>170.74025180484398</v>
      </c>
      <c r="N81" s="188">
        <f>N29</f>
        <v>181.64656744876575</v>
      </c>
      <c r="O81" s="188">
        <f>O29</f>
        <v>190.41749999999999</v>
      </c>
      <c r="P81" s="188">
        <f>P29</f>
        <v>193.67250000000001</v>
      </c>
    </row>
    <row r="82" spans="2:16" ht="13.2" customHeight="1">
      <c r="B82" s="11"/>
      <c r="C82" s="1" t="s">
        <v>65</v>
      </c>
      <c r="H82" s="12"/>
      <c r="I82" s="90">
        <v>3.1</v>
      </c>
      <c r="J82" s="90">
        <v>3.3</v>
      </c>
      <c r="K82" s="90">
        <v>3.5</v>
      </c>
      <c r="L82" s="188">
        <f>L30</f>
        <v>3.6519826502095944</v>
      </c>
      <c r="M82" s="188">
        <f>M30</f>
        <v>3.8729276005472748</v>
      </c>
      <c r="N82" s="188">
        <f>N30</f>
        <v>4.1072397203803845</v>
      </c>
      <c r="O82" s="188">
        <f>O30</f>
        <v>4.2742809710749992</v>
      </c>
      <c r="P82" s="188">
        <f>P30</f>
        <v>4.3170237807857497</v>
      </c>
    </row>
    <row r="83" spans="2:16" ht="12.9" customHeight="1">
      <c r="C83" s="11" t="s">
        <v>66</v>
      </c>
      <c r="D83" s="11"/>
      <c r="E83" s="11"/>
      <c r="F83" s="11"/>
      <c r="G83" s="221"/>
      <c r="H83" s="12"/>
      <c r="I83" s="131">
        <f>I81-I82</f>
        <v>127</v>
      </c>
      <c r="J83" s="131">
        <f t="shared" ref="J83:P83" si="22">J81-J82</f>
        <v>132</v>
      </c>
      <c r="K83" s="131">
        <f t="shared" si="22"/>
        <v>139.5</v>
      </c>
      <c r="L83" s="131">
        <f t="shared" si="22"/>
        <v>156.80875326036332</v>
      </c>
      <c r="M83" s="131">
        <f t="shared" si="22"/>
        <v>166.86732420429669</v>
      </c>
      <c r="N83" s="131">
        <f t="shared" si="22"/>
        <v>177.53932772838536</v>
      </c>
      <c r="O83" s="131">
        <f t="shared" si="22"/>
        <v>186.14321902892499</v>
      </c>
      <c r="P83" s="131">
        <f t="shared" si="22"/>
        <v>189.35547621921427</v>
      </c>
    </row>
    <row r="84" spans="2:16" ht="12.9" customHeight="1"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2.9" customHeight="1">
      <c r="C85" s="91" t="s">
        <v>62</v>
      </c>
      <c r="H85" s="12"/>
      <c r="I85" s="89">
        <v>72.8</v>
      </c>
      <c r="J85" s="89">
        <v>78.099999999999994</v>
      </c>
      <c r="K85" s="89">
        <v>80.3</v>
      </c>
      <c r="L85" s="188">
        <f>L62</f>
        <v>83.536090000000002</v>
      </c>
      <c r="M85" s="188">
        <f>M62</f>
        <v>86.951742845000012</v>
      </c>
      <c r="N85" s="188">
        <f>N62</f>
        <v>90.557659881122504</v>
      </c>
      <c r="O85" s="188">
        <f>O62</f>
        <v>93.225666734680345</v>
      </c>
      <c r="P85" s="188">
        <f>P62</f>
        <v>94.157923402027137</v>
      </c>
    </row>
    <row r="86" spans="2:16" ht="12.9" customHeight="1">
      <c r="C86" s="92" t="s">
        <v>4</v>
      </c>
      <c r="H86" s="12"/>
      <c r="I86" s="90">
        <v>8.1999999999999993</v>
      </c>
      <c r="J86" s="90">
        <v>8.6</v>
      </c>
      <c r="K86" s="90">
        <v>9.1</v>
      </c>
      <c r="L86" s="189">
        <f>L65</f>
        <v>9.5</v>
      </c>
      <c r="M86" s="189">
        <f>M65</f>
        <v>9.5950000000000006</v>
      </c>
      <c r="N86" s="189">
        <f>N65</f>
        <v>9.6909500000000008</v>
      </c>
      <c r="O86" s="189">
        <f>O65</f>
        <v>9.7878595000000015</v>
      </c>
      <c r="P86" s="189">
        <f>P65</f>
        <v>9.8857380950000024</v>
      </c>
    </row>
    <row r="87" spans="2:16" ht="12.9" customHeight="1">
      <c r="C87" s="93" t="s">
        <v>5</v>
      </c>
      <c r="H87" s="12"/>
      <c r="I87" s="132">
        <f t="shared" ref="I87:P87" si="23">SUM(I85:I86)</f>
        <v>81</v>
      </c>
      <c r="J87" s="132">
        <f t="shared" si="23"/>
        <v>86.699999999999989</v>
      </c>
      <c r="K87" s="132">
        <f t="shared" si="23"/>
        <v>89.399999999999991</v>
      </c>
      <c r="L87" s="132">
        <f t="shared" si="23"/>
        <v>93.036090000000002</v>
      </c>
      <c r="M87" s="132">
        <f t="shared" si="23"/>
        <v>96.546742845000011</v>
      </c>
      <c r="N87" s="132">
        <f t="shared" si="23"/>
        <v>100.2486098811225</v>
      </c>
      <c r="O87" s="132">
        <f t="shared" si="23"/>
        <v>103.01352623468034</v>
      </c>
      <c r="P87" s="132">
        <f t="shared" si="23"/>
        <v>104.04366149702714</v>
      </c>
    </row>
    <row r="88" spans="2:16" ht="12.9" customHeight="1">
      <c r="C88" s="93"/>
      <c r="H88" s="12"/>
      <c r="I88" s="12"/>
      <c r="J88" s="12"/>
      <c r="K88" s="12"/>
      <c r="L88" s="12"/>
      <c r="M88" s="12"/>
      <c r="N88" s="12"/>
      <c r="O88" s="12"/>
      <c r="P88" s="12"/>
    </row>
    <row r="89" spans="2:16" ht="12.9" customHeight="1">
      <c r="C89" s="1" t="s">
        <v>6</v>
      </c>
      <c r="H89" s="12"/>
      <c r="I89" s="95">
        <v>0</v>
      </c>
      <c r="J89" s="95">
        <v>1.4</v>
      </c>
      <c r="K89" s="95">
        <v>-9.8000000000000007</v>
      </c>
      <c r="L89" s="186">
        <f>Assumptions!N49</f>
        <v>0</v>
      </c>
      <c r="M89" s="186">
        <f>Assumptions!O49</f>
        <v>0</v>
      </c>
      <c r="N89" s="186">
        <f>Assumptions!P49</f>
        <v>0</v>
      </c>
      <c r="O89" s="186">
        <f>Assumptions!Q49</f>
        <v>0</v>
      </c>
      <c r="P89" s="186">
        <f>Assumptions!R49</f>
        <v>0</v>
      </c>
    </row>
    <row r="90" spans="2:16" ht="12.9" customHeight="1">
      <c r="B90" s="11"/>
      <c r="C90" s="11" t="s">
        <v>7</v>
      </c>
      <c r="I90" s="133">
        <f t="shared" ref="I90:P90" si="24">I83-I87+I89</f>
        <v>46</v>
      </c>
      <c r="J90" s="133">
        <f t="shared" si="24"/>
        <v>46.70000000000001</v>
      </c>
      <c r="K90" s="133">
        <f t="shared" si="24"/>
        <v>40.300000000000011</v>
      </c>
      <c r="L90" s="133">
        <f t="shared" si="24"/>
        <v>63.772663260363316</v>
      </c>
      <c r="M90" s="133">
        <f t="shared" si="24"/>
        <v>70.320581359296682</v>
      </c>
      <c r="N90" s="133">
        <f t="shared" si="24"/>
        <v>77.290717847262854</v>
      </c>
      <c r="O90" s="133">
        <f t="shared" si="24"/>
        <v>83.129692794244647</v>
      </c>
      <c r="P90" s="133">
        <f t="shared" si="24"/>
        <v>85.311814722187123</v>
      </c>
    </row>
    <row r="91" spans="2:16" ht="12.9" customHeight="1"/>
    <row r="92" spans="2:16" ht="12.9" customHeight="1">
      <c r="C92" s="1" t="s">
        <v>8</v>
      </c>
      <c r="I92" s="96">
        <v>6.9</v>
      </c>
      <c r="J92" s="96">
        <v>7.4</v>
      </c>
      <c r="K92" s="96">
        <v>7.6</v>
      </c>
      <c r="L92" s="187">
        <f>L237</f>
        <v>8.5126666666666644</v>
      </c>
      <c r="M92" s="187">
        <f t="shared" ref="M92:P92" si="25">M237</f>
        <v>9.3459999999999983</v>
      </c>
      <c r="N92" s="187">
        <f t="shared" si="25"/>
        <v>10.096</v>
      </c>
      <c r="O92" s="187">
        <f t="shared" si="25"/>
        <v>10.762666666666666</v>
      </c>
      <c r="P92" s="187">
        <f t="shared" si="25"/>
        <v>11.429333333333332</v>
      </c>
    </row>
    <row r="93" spans="2:16" ht="12.9" customHeight="1">
      <c r="C93" s="93" t="s">
        <v>9</v>
      </c>
      <c r="I93" s="133">
        <f t="shared" ref="I93:P93" si="26">I90-I92</f>
        <v>39.1</v>
      </c>
      <c r="J93" s="133">
        <f t="shared" si="26"/>
        <v>39.300000000000011</v>
      </c>
      <c r="K93" s="133">
        <f t="shared" si="26"/>
        <v>32.70000000000001</v>
      </c>
      <c r="L93" s="133">
        <f t="shared" si="26"/>
        <v>55.259996593696656</v>
      </c>
      <c r="M93" s="133">
        <f t="shared" si="26"/>
        <v>60.974581359296685</v>
      </c>
      <c r="N93" s="133">
        <f t="shared" si="26"/>
        <v>67.194717847262851</v>
      </c>
      <c r="O93" s="133">
        <f t="shared" si="26"/>
        <v>72.367026127577986</v>
      </c>
      <c r="P93" s="133">
        <f t="shared" si="26"/>
        <v>73.88248138885379</v>
      </c>
    </row>
    <row r="94" spans="2:16" ht="6" customHeight="1">
      <c r="C94" s="93"/>
    </row>
    <row r="95" spans="2:16" ht="12.9" customHeight="1">
      <c r="C95" s="1" t="s">
        <v>6</v>
      </c>
      <c r="I95" s="97">
        <v>0</v>
      </c>
      <c r="J95" s="97">
        <v>1.6</v>
      </c>
      <c r="K95" s="97">
        <v>0</v>
      </c>
      <c r="L95" s="185">
        <f>Assumptions!N50</f>
        <v>0</v>
      </c>
      <c r="M95" s="185">
        <f>Assumptions!O50</f>
        <v>0</v>
      </c>
      <c r="N95" s="185">
        <f>Assumptions!P50</f>
        <v>0</v>
      </c>
      <c r="O95" s="185">
        <f>Assumptions!Q50</f>
        <v>0</v>
      </c>
      <c r="P95" s="185">
        <f>Assumptions!R50</f>
        <v>0</v>
      </c>
    </row>
    <row r="96" spans="2:16" ht="12.9" customHeight="1">
      <c r="C96" s="8" t="s">
        <v>58</v>
      </c>
      <c r="I96" s="98">
        <v>5.4</v>
      </c>
      <c r="J96" s="98">
        <v>5.5</v>
      </c>
      <c r="K96" s="98">
        <v>6.4</v>
      </c>
      <c r="L96" s="258">
        <f ca="1">L431</f>
        <v>6.2341024295282113</v>
      </c>
      <c r="M96" s="258">
        <f t="shared" ref="M96:P96" ca="1" si="27">M431</f>
        <v>5.7200869101301928</v>
      </c>
      <c r="N96" s="258">
        <f t="shared" ca="1" si="27"/>
        <v>4.8085933333921504</v>
      </c>
      <c r="O96" s="258">
        <f t="shared" ca="1" si="27"/>
        <v>4.1551740322664346</v>
      </c>
      <c r="P96" s="258">
        <f t="shared" ca="1" si="27"/>
        <v>3.5051864296824808</v>
      </c>
    </row>
    <row r="97" spans="3:16" ht="12.9" customHeight="1">
      <c r="C97" s="99" t="s">
        <v>10</v>
      </c>
      <c r="I97" s="133">
        <f t="shared" ref="I97:P97" si="28">I93+I95-I96</f>
        <v>33.700000000000003</v>
      </c>
      <c r="J97" s="133">
        <f t="shared" si="28"/>
        <v>35.400000000000013</v>
      </c>
      <c r="K97" s="133">
        <f t="shared" si="28"/>
        <v>26.300000000000011</v>
      </c>
      <c r="L97" s="133">
        <f t="shared" ca="1" si="28"/>
        <v>49.025894164168442</v>
      </c>
      <c r="M97" s="133">
        <f t="shared" ca="1" si="28"/>
        <v>55.254494449166494</v>
      </c>
      <c r="N97" s="133">
        <f t="shared" ca="1" si="28"/>
        <v>62.386124513870698</v>
      </c>
      <c r="O97" s="133">
        <f t="shared" ca="1" si="28"/>
        <v>68.211852095311556</v>
      </c>
      <c r="P97" s="133">
        <f t="shared" ca="1" si="28"/>
        <v>70.377294959171309</v>
      </c>
    </row>
    <row r="98" spans="3:16" ht="6" customHeight="1">
      <c r="C98" s="93"/>
    </row>
    <row r="99" spans="3:16" ht="12.9" customHeight="1">
      <c r="C99" s="1" t="s">
        <v>11</v>
      </c>
      <c r="I99" s="100">
        <v>7.8</v>
      </c>
      <c r="J99" s="100">
        <v>6.7</v>
      </c>
      <c r="K99" s="100">
        <v>2.4</v>
      </c>
      <c r="L99" s="184">
        <f ca="1">L304</f>
        <v>10.159062957458953</v>
      </c>
      <c r="M99" s="184">
        <f t="shared" ref="M99:P99" ca="1" si="29">M304</f>
        <v>12.339073057208273</v>
      </c>
      <c r="N99" s="184">
        <f t="shared" ca="1" si="29"/>
        <v>14.835143579854742</v>
      </c>
      <c r="O99" s="184">
        <f t="shared" ca="1" si="29"/>
        <v>16.874148233359044</v>
      </c>
      <c r="P99" s="184">
        <f t="shared" ca="1" si="29"/>
        <v>17.632053235709957</v>
      </c>
    </row>
    <row r="100" spans="3:16" ht="12.9" customHeight="1">
      <c r="C100" s="1" t="s">
        <v>12</v>
      </c>
      <c r="I100" s="96">
        <v>3.1000000000000005</v>
      </c>
      <c r="J100" s="96">
        <v>4.8</v>
      </c>
      <c r="K100" s="96">
        <v>6.2999999999999989</v>
      </c>
      <c r="L100" s="184">
        <f ca="1">L305</f>
        <v>7</v>
      </c>
      <c r="M100" s="184">
        <f t="shared" ref="M100:P100" ca="1" si="30">M305</f>
        <v>6.9999999999999982</v>
      </c>
      <c r="N100" s="184">
        <f t="shared" ca="1" si="30"/>
        <v>7.0000000000000018</v>
      </c>
      <c r="O100" s="184">
        <f t="shared" ca="1" si="30"/>
        <v>7</v>
      </c>
      <c r="P100" s="184">
        <f t="shared" ca="1" si="30"/>
        <v>7</v>
      </c>
    </row>
    <row r="101" spans="3:16" ht="12.9" customHeight="1">
      <c r="C101" s="11" t="s">
        <v>13</v>
      </c>
      <c r="I101" s="133">
        <f t="shared" ref="I101:P101" si="31">SUM(I99:I100)</f>
        <v>10.9</v>
      </c>
      <c r="J101" s="133">
        <f t="shared" si="31"/>
        <v>11.5</v>
      </c>
      <c r="K101" s="133">
        <f t="shared" si="31"/>
        <v>8.6999999999999993</v>
      </c>
      <c r="L101" s="133">
        <f t="shared" ca="1" si="31"/>
        <v>17.159062957458953</v>
      </c>
      <c r="M101" s="133">
        <f t="shared" ca="1" si="31"/>
        <v>19.339073057208271</v>
      </c>
      <c r="N101" s="133">
        <f t="shared" ca="1" si="31"/>
        <v>21.835143579854744</v>
      </c>
      <c r="O101" s="133">
        <f t="shared" ca="1" si="31"/>
        <v>23.874148233359044</v>
      </c>
      <c r="P101" s="133">
        <f t="shared" ca="1" si="31"/>
        <v>24.632053235709957</v>
      </c>
    </row>
    <row r="102" spans="3:16" ht="9" customHeight="1">
      <c r="I102" s="101"/>
      <c r="J102" s="101"/>
      <c r="K102" s="101"/>
      <c r="L102" s="101"/>
      <c r="M102" s="101"/>
      <c r="N102" s="101"/>
      <c r="O102" s="101"/>
      <c r="P102" s="101"/>
    </row>
    <row r="103" spans="3:16" ht="12.9" customHeight="1">
      <c r="C103" s="102" t="s">
        <v>14</v>
      </c>
      <c r="D103" s="11"/>
      <c r="E103" s="11"/>
      <c r="F103" s="11"/>
      <c r="G103" s="221"/>
      <c r="I103" s="103">
        <f t="shared" ref="I103:P103" si="32">I97-I101</f>
        <v>22.800000000000004</v>
      </c>
      <c r="J103" s="103">
        <f t="shared" si="32"/>
        <v>23.900000000000013</v>
      </c>
      <c r="K103" s="103">
        <f>K97-K101</f>
        <v>17.600000000000012</v>
      </c>
      <c r="L103" s="103">
        <f t="shared" ca="1" si="32"/>
        <v>31.866831206709488</v>
      </c>
      <c r="M103" s="103">
        <f t="shared" ca="1" si="32"/>
        <v>35.915421391958219</v>
      </c>
      <c r="N103" s="103">
        <f t="shared" ca="1" si="32"/>
        <v>40.550980934015953</v>
      </c>
      <c r="O103" s="103">
        <f t="shared" ca="1" si="32"/>
        <v>44.337703861952512</v>
      </c>
      <c r="P103" s="103">
        <f t="shared" ca="1" si="32"/>
        <v>45.745241723461348</v>
      </c>
    </row>
    <row r="104" spans="3:16" ht="12.9" customHeight="1">
      <c r="C104" s="102"/>
      <c r="D104" s="11"/>
      <c r="E104" s="11"/>
      <c r="F104" s="11"/>
      <c r="G104" s="221"/>
      <c r="I104" s="94"/>
      <c r="J104" s="94"/>
      <c r="K104" s="94"/>
      <c r="L104" s="94"/>
      <c r="M104" s="94"/>
      <c r="N104" s="94"/>
      <c r="O104" s="94"/>
      <c r="P104" s="94"/>
    </row>
    <row r="105" spans="3:16" ht="12.9" customHeight="1">
      <c r="C105" s="105" t="s">
        <v>52</v>
      </c>
      <c r="D105" s="11"/>
      <c r="E105" s="11"/>
      <c r="F105" s="11"/>
      <c r="G105" s="221"/>
      <c r="I105" s="106">
        <v>0</v>
      </c>
      <c r="J105" s="106">
        <v>0</v>
      </c>
      <c r="K105" s="106">
        <v>0</v>
      </c>
      <c r="L105" s="259">
        <f>-L330</f>
        <v>0</v>
      </c>
      <c r="M105" s="259">
        <f t="shared" ref="M105:P105" si="33">-M330</f>
        <v>-1.2</v>
      </c>
      <c r="N105" s="259">
        <f t="shared" si="33"/>
        <v>-1.2</v>
      </c>
      <c r="O105" s="259">
        <f t="shared" si="33"/>
        <v>-1.2</v>
      </c>
      <c r="P105" s="259">
        <f t="shared" si="33"/>
        <v>-1.2</v>
      </c>
    </row>
    <row r="106" spans="3:16" ht="12.9" customHeight="1" thickBot="1">
      <c r="C106" s="102" t="s">
        <v>53</v>
      </c>
      <c r="D106" s="11"/>
      <c r="E106" s="11"/>
      <c r="F106" s="11"/>
      <c r="G106" s="221"/>
      <c r="I106" s="134">
        <f t="shared" ref="I106:K106" si="34">I103-I105</f>
        <v>22.800000000000004</v>
      </c>
      <c r="J106" s="134">
        <f t="shared" si="34"/>
        <v>23.900000000000013</v>
      </c>
      <c r="K106" s="134">
        <f t="shared" si="34"/>
        <v>17.600000000000012</v>
      </c>
      <c r="L106" s="134">
        <f ca="1">L103+L105</f>
        <v>31.866831206709488</v>
      </c>
      <c r="M106" s="134">
        <f t="shared" ref="M106:P106" ca="1" si="35">M103+M105</f>
        <v>34.715421391958216</v>
      </c>
      <c r="N106" s="134">
        <f t="shared" ca="1" si="35"/>
        <v>39.350980934015951</v>
      </c>
      <c r="O106" s="134">
        <f t="shared" ca="1" si="35"/>
        <v>43.137703861952509</v>
      </c>
      <c r="P106" s="134">
        <f t="shared" ca="1" si="35"/>
        <v>44.545241723461345</v>
      </c>
    </row>
    <row r="107" spans="3:16" ht="12.9" customHeight="1" thickTop="1">
      <c r="C107" s="102"/>
      <c r="D107" s="11"/>
      <c r="E107" s="11"/>
      <c r="F107" s="11"/>
      <c r="G107" s="221"/>
      <c r="I107" s="104"/>
      <c r="J107" s="104"/>
      <c r="K107" s="104"/>
      <c r="L107" s="104"/>
      <c r="M107" s="104"/>
      <c r="N107" s="104"/>
      <c r="O107" s="104"/>
      <c r="P107" s="104"/>
    </row>
    <row r="108" spans="3:16" ht="12.9" customHeight="1">
      <c r="I108" s="107"/>
      <c r="J108" s="107"/>
      <c r="K108" s="107"/>
      <c r="L108" s="107"/>
      <c r="M108" s="107"/>
      <c r="N108" s="107"/>
      <c r="O108" s="107"/>
      <c r="P108" s="107"/>
    </row>
    <row r="109" spans="3:16" ht="12.9" customHeight="1">
      <c r="C109" s="14" t="s">
        <v>147</v>
      </c>
      <c r="D109" s="7"/>
      <c r="E109" s="7"/>
      <c r="F109" s="7"/>
      <c r="G109" s="222"/>
      <c r="H109" s="7"/>
      <c r="I109" s="155"/>
      <c r="J109" s="155"/>
      <c r="K109" s="155"/>
      <c r="L109" s="155"/>
      <c r="M109" s="155"/>
      <c r="N109" s="155"/>
      <c r="O109" s="155"/>
      <c r="P109" s="156"/>
    </row>
    <row r="110" spans="3:16" ht="12.9" customHeight="1">
      <c r="C110" s="16"/>
      <c r="D110" s="1" t="s">
        <v>148</v>
      </c>
      <c r="I110" s="20">
        <f>I90/I83</f>
        <v>0.36220472440944884</v>
      </c>
      <c r="J110" s="20">
        <f t="shared" ref="J110:P110" si="36">J90/J83</f>
        <v>0.35378787878787887</v>
      </c>
      <c r="K110" s="20">
        <f t="shared" si="36"/>
        <v>0.28888888888888897</v>
      </c>
      <c r="L110" s="20">
        <f t="shared" si="36"/>
        <v>0.40669071039979493</v>
      </c>
      <c r="M110" s="20">
        <f t="shared" si="36"/>
        <v>0.4214161262225477</v>
      </c>
      <c r="N110" s="20">
        <f t="shared" si="36"/>
        <v>0.43534420703399707</v>
      </c>
      <c r="O110" s="20">
        <f t="shared" si="36"/>
        <v>0.44658996028927078</v>
      </c>
      <c r="P110" s="190">
        <f t="shared" si="36"/>
        <v>0.45053787947185003</v>
      </c>
    </row>
    <row r="111" spans="3:16" ht="12.9" customHeight="1">
      <c r="C111" s="16"/>
      <c r="D111" s="1" t="s">
        <v>149</v>
      </c>
      <c r="I111" s="157">
        <f>I106/I83</f>
        <v>0.17952755905511814</v>
      </c>
      <c r="J111" s="157">
        <f t="shared" ref="J111:P111" si="37">J106/J83</f>
        <v>0.18106060606060614</v>
      </c>
      <c r="K111" s="157">
        <f t="shared" si="37"/>
        <v>0.12616487455197142</v>
      </c>
      <c r="L111" s="157">
        <f t="shared" ca="1" si="37"/>
        <v>0.20322099719649064</v>
      </c>
      <c r="M111" s="157">
        <f t="shared" ca="1" si="37"/>
        <v>0.20804205711032983</v>
      </c>
      <c r="N111" s="157">
        <f t="shared" ca="1" si="37"/>
        <v>0.22164655818804496</v>
      </c>
      <c r="O111" s="157">
        <f t="shared" ca="1" si="37"/>
        <v>0.23174469683609208</v>
      </c>
      <c r="P111" s="191">
        <f t="shared" ca="1" si="37"/>
        <v>0.23524665149843316</v>
      </c>
    </row>
    <row r="112" spans="3:16" ht="12.9" customHeight="1">
      <c r="C112" s="18"/>
      <c r="D112" s="10" t="s">
        <v>150</v>
      </c>
      <c r="E112" s="10"/>
      <c r="F112" s="10"/>
      <c r="G112" s="223"/>
      <c r="H112" s="10"/>
      <c r="I112" s="158">
        <f t="shared" ref="I112:P112" si="38">I106/I204</f>
        <v>0.2055906221821461</v>
      </c>
      <c r="J112" s="158">
        <f t="shared" si="38"/>
        <v>0.18010550113036933</v>
      </c>
      <c r="K112" s="158">
        <f t="shared" si="38"/>
        <v>0.12762871646120383</v>
      </c>
      <c r="L112" s="158">
        <f t="shared" ca="1" si="38"/>
        <v>0.23889349613178529</v>
      </c>
      <c r="M112" s="158">
        <f t="shared" ca="1" si="38"/>
        <v>0.197061069641674</v>
      </c>
      <c r="N112" s="158">
        <f t="shared" ca="1" si="38"/>
        <v>0.18950940410574982</v>
      </c>
      <c r="O112" s="158">
        <f t="shared" ca="1" si="38"/>
        <v>0.17813958882817871</v>
      </c>
      <c r="P112" s="192">
        <f t="shared" ca="1" si="38"/>
        <v>0.16035411553359932</v>
      </c>
    </row>
    <row r="113" spans="2:16" ht="12.9" customHeight="1">
      <c r="I113" s="157"/>
      <c r="J113" s="157"/>
      <c r="K113" s="157"/>
      <c r="L113" s="157"/>
      <c r="M113" s="157"/>
      <c r="N113" s="157"/>
      <c r="O113" s="157"/>
      <c r="P113" s="157"/>
    </row>
    <row r="114" spans="2:16" ht="12.9" customHeight="1">
      <c r="I114" s="157"/>
      <c r="J114" s="157"/>
      <c r="K114" s="157"/>
      <c r="L114" s="157"/>
      <c r="M114" s="157"/>
      <c r="N114" s="157"/>
      <c r="O114" s="157"/>
      <c r="P114" s="157"/>
    </row>
    <row r="115" spans="2:16" ht="12.9" customHeight="1">
      <c r="B115" s="10"/>
      <c r="C115" s="10"/>
      <c r="D115" s="10"/>
      <c r="E115" s="10"/>
      <c r="F115" s="10"/>
      <c r="G115" s="223"/>
      <c r="H115" s="10"/>
      <c r="I115" s="158"/>
      <c r="J115" s="158"/>
      <c r="K115" s="158"/>
      <c r="L115" s="158"/>
      <c r="M115" s="158"/>
      <c r="N115" s="158"/>
      <c r="O115" s="158"/>
      <c r="P115" s="158"/>
    </row>
    <row r="116" spans="2:16" ht="15.6">
      <c r="C116" s="135"/>
      <c r="I116" s="108"/>
      <c r="J116" s="108"/>
      <c r="K116" s="108"/>
      <c r="L116" s="108"/>
      <c r="M116" s="108"/>
      <c r="N116" s="108"/>
      <c r="O116" s="108"/>
      <c r="P116" s="108"/>
    </row>
    <row r="117" spans="2:16" ht="15.6">
      <c r="C117" s="135"/>
      <c r="I117" s="108"/>
      <c r="J117" s="108"/>
      <c r="K117" s="108"/>
      <c r="L117" s="108"/>
      <c r="M117" s="108"/>
      <c r="N117" s="108"/>
      <c r="O117" s="108"/>
      <c r="P117" s="108"/>
    </row>
    <row r="118" spans="2:16">
      <c r="P118" s="136" t="str">
        <f>UPPER("currently running: "&amp;CHOOSE(Scenarios!$E$11,Scenarios!$D$19,Scenarios!$D$20,Scenarios!$D$21)&amp;" Scenarios")</f>
        <v>CURRENTLY RUNNING: BEST CASE SCENARIOS</v>
      </c>
    </row>
    <row r="119" spans="2:16" ht="22.8">
      <c r="B119" s="2" t="str">
        <f>$B$70</f>
        <v>ELIXIR EQUIPMENTS COMPANY</v>
      </c>
      <c r="C119" s="6"/>
      <c r="D119" s="6"/>
      <c r="E119" s="6"/>
      <c r="F119" s="6"/>
      <c r="G119" s="218"/>
      <c r="H119" s="6"/>
      <c r="I119" s="6"/>
      <c r="J119" s="6"/>
      <c r="K119" s="6"/>
      <c r="L119" s="6"/>
      <c r="M119" s="6"/>
      <c r="N119" s="6"/>
      <c r="O119" s="6"/>
      <c r="P119" s="6"/>
    </row>
    <row r="120" spans="2:16" ht="18" customHeight="1">
      <c r="B120" s="230" t="s">
        <v>15</v>
      </c>
      <c r="C120" s="257"/>
      <c r="D120" s="6"/>
      <c r="E120" s="6"/>
      <c r="F120" s="6"/>
      <c r="G120" s="218"/>
      <c r="H120" s="6"/>
      <c r="I120" s="6"/>
      <c r="J120" s="6"/>
      <c r="K120" s="6"/>
      <c r="L120" s="6"/>
      <c r="M120" s="6"/>
      <c r="N120" s="6"/>
      <c r="O120" s="6"/>
      <c r="P120" s="6"/>
    </row>
    <row r="121" spans="2:16" ht="5.0999999999999996" customHeight="1" thickBot="1">
      <c r="B121" s="129"/>
      <c r="C121" s="129"/>
      <c r="D121" s="129"/>
      <c r="E121" s="129"/>
      <c r="F121" s="129"/>
      <c r="G121" s="219"/>
      <c r="H121" s="129"/>
      <c r="I121" s="129"/>
      <c r="J121" s="129"/>
      <c r="K121" s="129"/>
      <c r="L121" s="129"/>
      <c r="M121" s="129"/>
      <c r="N121" s="129"/>
      <c r="O121" s="129"/>
      <c r="P121" s="129"/>
    </row>
    <row r="122" spans="2:16" ht="12" customHeight="1">
      <c r="B122" s="5" t="s">
        <v>59</v>
      </c>
    </row>
    <row r="123" spans="2:16">
      <c r="H123" s="6"/>
    </row>
    <row r="124" spans="2:16" ht="13.8" thickBot="1">
      <c r="H124" s="6"/>
      <c r="L124" s="129" t="s">
        <v>212</v>
      </c>
      <c r="M124" s="129"/>
      <c r="N124" s="129"/>
      <c r="O124" s="129"/>
      <c r="P124" s="129"/>
    </row>
    <row r="125" spans="2:16">
      <c r="H125" s="12"/>
      <c r="I125" s="77">
        <v>2018</v>
      </c>
      <c r="J125" s="77">
        <f>I125+1</f>
        <v>2019</v>
      </c>
      <c r="K125" s="77">
        <f>J125+1</f>
        <v>2020</v>
      </c>
      <c r="L125" s="77">
        <f>K125+1</f>
        <v>2021</v>
      </c>
      <c r="M125" s="77">
        <f t="shared" ref="M125:P125" si="39">L125+1</f>
        <v>2022</v>
      </c>
      <c r="N125" s="77">
        <f t="shared" si="39"/>
        <v>2023</v>
      </c>
      <c r="O125" s="77">
        <f t="shared" si="39"/>
        <v>2024</v>
      </c>
      <c r="P125" s="77">
        <f t="shared" si="39"/>
        <v>2025</v>
      </c>
    </row>
    <row r="126" spans="2:16" ht="12.9" customHeight="1">
      <c r="B126" s="109"/>
      <c r="H126" s="110"/>
      <c r="I126" s="110"/>
      <c r="J126" s="110"/>
      <c r="K126" s="110"/>
      <c r="L126" s="110"/>
      <c r="M126" s="110"/>
      <c r="N126" s="110"/>
      <c r="O126" s="110"/>
      <c r="P126" s="110"/>
    </row>
    <row r="127" spans="2:16" ht="12.9" customHeight="1">
      <c r="B127" s="11" t="s">
        <v>16</v>
      </c>
    </row>
    <row r="128" spans="2:16" ht="12.9" customHeight="1">
      <c r="C128" s="1" t="s">
        <v>14</v>
      </c>
      <c r="H128" s="111"/>
      <c r="I128" s="112">
        <v>22.800000000000004</v>
      </c>
      <c r="J128" s="112">
        <v>23.900000000000013</v>
      </c>
      <c r="K128" s="112">
        <v>17.600000000000012</v>
      </c>
      <c r="L128" s="248">
        <f ca="1">L103</f>
        <v>31.866831206709488</v>
      </c>
      <c r="M128" s="248">
        <f t="shared" ref="M128:P128" ca="1" si="40">M103</f>
        <v>35.915421391958219</v>
      </c>
      <c r="N128" s="248">
        <f t="shared" ca="1" si="40"/>
        <v>40.550980934015953</v>
      </c>
      <c r="O128" s="248">
        <f t="shared" ca="1" si="40"/>
        <v>44.337703861952512</v>
      </c>
      <c r="P128" s="248">
        <f t="shared" ca="1" si="40"/>
        <v>45.745241723461348</v>
      </c>
    </row>
    <row r="129" spans="2:16" ht="12.9" customHeight="1">
      <c r="C129" s="1" t="s">
        <v>8</v>
      </c>
      <c r="H129" s="111"/>
      <c r="I129" s="112">
        <v>6.9</v>
      </c>
      <c r="J129" s="112">
        <v>7.4</v>
      </c>
      <c r="K129" s="112">
        <v>7.6</v>
      </c>
      <c r="L129" s="248">
        <f>L237</f>
        <v>8.5126666666666644</v>
      </c>
      <c r="M129" s="248">
        <f t="shared" ref="M129:P129" si="41">M237</f>
        <v>9.3459999999999983</v>
      </c>
      <c r="N129" s="248">
        <f t="shared" si="41"/>
        <v>10.096</v>
      </c>
      <c r="O129" s="248">
        <f t="shared" si="41"/>
        <v>10.762666666666666</v>
      </c>
      <c r="P129" s="248">
        <f t="shared" si="41"/>
        <v>11.429333333333332</v>
      </c>
    </row>
    <row r="130" spans="2:16" ht="12.9" customHeight="1">
      <c r="C130" s="1" t="s">
        <v>12</v>
      </c>
      <c r="H130" s="111"/>
      <c r="I130" s="112">
        <v>3.1000000000000005</v>
      </c>
      <c r="J130" s="112">
        <v>4.8</v>
      </c>
      <c r="K130" s="112">
        <v>6.2999999999999989</v>
      </c>
      <c r="L130" s="248">
        <f ca="1">L100</f>
        <v>7</v>
      </c>
      <c r="M130" s="248">
        <f t="shared" ref="M130:P130" ca="1" si="42">M100</f>
        <v>6.9999999999999982</v>
      </c>
      <c r="N130" s="248">
        <f t="shared" ca="1" si="42"/>
        <v>7.0000000000000018</v>
      </c>
      <c r="O130" s="248">
        <f t="shared" ca="1" si="42"/>
        <v>7</v>
      </c>
      <c r="P130" s="248">
        <f t="shared" ca="1" si="42"/>
        <v>7</v>
      </c>
    </row>
    <row r="131" spans="2:16" ht="12.9" customHeight="1">
      <c r="C131" s="1" t="s">
        <v>17</v>
      </c>
      <c r="H131" s="113"/>
      <c r="I131" s="112">
        <v>-2.6</v>
      </c>
      <c r="J131" s="112">
        <v>-2.8000000000000007</v>
      </c>
      <c r="K131" s="112">
        <v>0.1</v>
      </c>
      <c r="L131" s="248">
        <f>L279</f>
        <v>-0.55959454020554489</v>
      </c>
      <c r="M131" s="248">
        <f t="shared" ref="M131:P131" si="43">M279</f>
        <v>-1.477379837501001</v>
      </c>
      <c r="N131" s="248">
        <f t="shared" si="43"/>
        <v>-1.5678202311745899</v>
      </c>
      <c r="O131" s="248">
        <f t="shared" si="43"/>
        <v>-1.1953604306674599</v>
      </c>
      <c r="P131" s="248">
        <f t="shared" si="43"/>
        <v>-0.54795500408213016</v>
      </c>
    </row>
    <row r="132" spans="2:16" ht="12.9" customHeight="1">
      <c r="C132" s="1" t="s">
        <v>28</v>
      </c>
      <c r="H132" s="113"/>
      <c r="I132" s="171">
        <v>-0.6</v>
      </c>
      <c r="J132" s="171">
        <v>0.2</v>
      </c>
      <c r="K132" s="95">
        <v>-0.2</v>
      </c>
      <c r="L132" s="249">
        <f>Assumptions!N46</f>
        <v>0</v>
      </c>
      <c r="M132" s="249">
        <f>Assumptions!O46</f>
        <v>0</v>
      </c>
      <c r="N132" s="249">
        <f>Assumptions!P46</f>
        <v>0</v>
      </c>
      <c r="O132" s="249">
        <f>Assumptions!Q46</f>
        <v>0</v>
      </c>
      <c r="P132" s="249">
        <f>Assumptions!R46</f>
        <v>0</v>
      </c>
    </row>
    <row r="133" spans="2:16" ht="12.9" customHeight="1">
      <c r="C133" s="93" t="s">
        <v>18</v>
      </c>
      <c r="H133" s="114"/>
      <c r="I133" s="170">
        <f t="shared" ref="I133:P133" si="44">SUM(I128:I132)</f>
        <v>29.6</v>
      </c>
      <c r="J133" s="170">
        <f t="shared" si="44"/>
        <v>33.500000000000014</v>
      </c>
      <c r="K133" s="170">
        <f t="shared" si="44"/>
        <v>31.400000000000009</v>
      </c>
      <c r="L133" s="170">
        <f t="shared" ca="1" si="44"/>
        <v>46.819903333170608</v>
      </c>
      <c r="M133" s="170">
        <f t="shared" ca="1" si="44"/>
        <v>50.784041554457218</v>
      </c>
      <c r="N133" s="170">
        <f t="shared" ca="1" si="44"/>
        <v>56.079160702841364</v>
      </c>
      <c r="O133" s="170">
        <f t="shared" ca="1" si="44"/>
        <v>60.905010097951717</v>
      </c>
      <c r="P133" s="170">
        <f t="shared" ca="1" si="44"/>
        <v>63.626620052712553</v>
      </c>
    </row>
    <row r="134" spans="2:16" ht="12.9" customHeight="1">
      <c r="B134" s="92"/>
    </row>
    <row r="135" spans="2:16" ht="12.9" customHeight="1">
      <c r="B135" s="92"/>
    </row>
    <row r="136" spans="2:16" ht="12.9" customHeight="1">
      <c r="B136" s="11" t="s">
        <v>19</v>
      </c>
    </row>
    <row r="137" spans="2:16" ht="12.9" customHeight="1">
      <c r="C137" s="1" t="s">
        <v>20</v>
      </c>
      <c r="I137" s="97">
        <v>-24.3</v>
      </c>
      <c r="J137" s="97">
        <v>-30</v>
      </c>
      <c r="K137" s="97">
        <v>-24.2</v>
      </c>
      <c r="L137" s="185">
        <f>-Assumptions!N56</f>
        <v>-25</v>
      </c>
      <c r="M137" s="185">
        <f>-Assumptions!O56</f>
        <v>-25</v>
      </c>
      <c r="N137" s="185">
        <f>-Assumptions!P56</f>
        <v>-20</v>
      </c>
      <c r="O137" s="185">
        <f>-Assumptions!Q56</f>
        <v>-20</v>
      </c>
      <c r="P137" s="185">
        <f>-Assumptions!R56</f>
        <v>-20</v>
      </c>
    </row>
    <row r="138" spans="2:16" ht="12.9" customHeight="1">
      <c r="C138" s="1" t="s">
        <v>21</v>
      </c>
      <c r="I138" s="97">
        <v>4.5</v>
      </c>
      <c r="J138" s="97">
        <v>3.7</v>
      </c>
      <c r="K138" s="97">
        <v>4.0999999999999996</v>
      </c>
      <c r="L138" s="185">
        <f>-Assumptions!N43</f>
        <v>0</v>
      </c>
      <c r="M138" s="185">
        <f>-Assumptions!O43</f>
        <v>0</v>
      </c>
      <c r="N138" s="185">
        <f>-Assumptions!P43</f>
        <v>0</v>
      </c>
      <c r="O138" s="185">
        <f>-Assumptions!Q43</f>
        <v>0</v>
      </c>
      <c r="P138" s="185">
        <f>-Assumptions!R43</f>
        <v>0</v>
      </c>
    </row>
    <row r="139" spans="2:16" ht="12.9" customHeight="1">
      <c r="C139" s="1" t="s">
        <v>28</v>
      </c>
      <c r="I139" s="116">
        <v>0</v>
      </c>
      <c r="J139" s="116">
        <v>0</v>
      </c>
      <c r="K139" s="116">
        <v>0</v>
      </c>
      <c r="L139" s="187">
        <f>-Assumptions!N44</f>
        <v>0</v>
      </c>
      <c r="M139" s="187">
        <f>-Assumptions!O44</f>
        <v>0</v>
      </c>
      <c r="N139" s="187">
        <f>-Assumptions!P44</f>
        <v>0</v>
      </c>
      <c r="O139" s="187">
        <f>-Assumptions!Q44</f>
        <v>0</v>
      </c>
      <c r="P139" s="187">
        <f>-Assumptions!R44</f>
        <v>0</v>
      </c>
    </row>
    <row r="140" spans="2:16" ht="12.9" customHeight="1">
      <c r="C140" s="11" t="s">
        <v>22</v>
      </c>
      <c r="H140" s="114"/>
      <c r="I140" s="170">
        <f t="shared" ref="I140:P140" si="45">SUM(I137:I139)</f>
        <v>-19.8</v>
      </c>
      <c r="J140" s="170">
        <f t="shared" si="45"/>
        <v>-26.3</v>
      </c>
      <c r="K140" s="170">
        <f t="shared" si="45"/>
        <v>-20.100000000000001</v>
      </c>
      <c r="L140" s="170">
        <f t="shared" si="45"/>
        <v>-25</v>
      </c>
      <c r="M140" s="170">
        <f t="shared" si="45"/>
        <v>-25</v>
      </c>
      <c r="N140" s="170">
        <f t="shared" si="45"/>
        <v>-20</v>
      </c>
      <c r="O140" s="170">
        <f t="shared" si="45"/>
        <v>-20</v>
      </c>
      <c r="P140" s="170">
        <f t="shared" si="45"/>
        <v>-20</v>
      </c>
    </row>
    <row r="141" spans="2:16" ht="12.9" customHeight="1">
      <c r="B141" s="99"/>
      <c r="H141" s="111"/>
      <c r="I141" s="111"/>
      <c r="J141" s="111"/>
      <c r="K141" s="111"/>
      <c r="L141" s="111"/>
      <c r="M141" s="111"/>
      <c r="N141" s="111"/>
      <c r="O141" s="111"/>
      <c r="P141" s="111"/>
    </row>
    <row r="142" spans="2:16" ht="12.9" customHeight="1">
      <c r="B142" s="99"/>
      <c r="H142" s="111"/>
      <c r="I142" s="117"/>
      <c r="J142" s="117"/>
      <c r="K142" s="117"/>
      <c r="L142" s="117"/>
      <c r="M142" s="117"/>
      <c r="N142" s="117"/>
      <c r="O142" s="117"/>
      <c r="P142" s="117"/>
    </row>
    <row r="143" spans="2:16" ht="12.9" customHeight="1">
      <c r="B143" s="99" t="s">
        <v>23</v>
      </c>
      <c r="H143" s="111"/>
      <c r="I143" s="111"/>
      <c r="J143" s="111"/>
      <c r="K143" s="111"/>
      <c r="L143" s="111"/>
      <c r="M143" s="111"/>
      <c r="N143" s="111"/>
      <c r="O143" s="111"/>
      <c r="P143" s="111"/>
    </row>
    <row r="144" spans="2:16" ht="12.9" customHeight="1">
      <c r="B144" s="99"/>
      <c r="C144" s="1" t="s">
        <v>24</v>
      </c>
      <c r="H144" s="114"/>
      <c r="I144" s="112">
        <v>0</v>
      </c>
      <c r="J144" s="112">
        <v>0</v>
      </c>
      <c r="K144" s="112">
        <v>0</v>
      </c>
      <c r="L144" s="185">
        <f ca="1">L424</f>
        <v>16.853462908171284</v>
      </c>
      <c r="M144" s="185">
        <f t="shared" ref="M144:P144" ca="1" si="46">M424</f>
        <v>-15.640957276065574</v>
      </c>
      <c r="N144" s="185">
        <f t="shared" ca="1" si="46"/>
        <v>-1.2125056321057102</v>
      </c>
      <c r="O144" s="185">
        <f t="shared" ca="1" si="46"/>
        <v>0</v>
      </c>
      <c r="P144" s="185">
        <f t="shared" ca="1" si="46"/>
        <v>0</v>
      </c>
    </row>
    <row r="145" spans="2:16" ht="12.9" customHeight="1">
      <c r="B145" s="99"/>
      <c r="C145" s="8" t="s">
        <v>50</v>
      </c>
      <c r="H145" s="114"/>
      <c r="I145" s="100">
        <v>-4.8</v>
      </c>
      <c r="J145" s="100">
        <v>-10</v>
      </c>
      <c r="K145" s="100">
        <v>6</v>
      </c>
      <c r="L145" s="184">
        <f>L372</f>
        <v>-5</v>
      </c>
      <c r="M145" s="184">
        <f t="shared" ref="M145:P145" si="47">M372</f>
        <v>-5</v>
      </c>
      <c r="N145" s="184">
        <f t="shared" si="47"/>
        <v>-5</v>
      </c>
      <c r="O145" s="184">
        <f t="shared" si="47"/>
        <v>-5</v>
      </c>
      <c r="P145" s="184">
        <f t="shared" si="47"/>
        <v>-5</v>
      </c>
    </row>
    <row r="146" spans="2:16" ht="12.9" customHeight="1">
      <c r="B146" s="99"/>
      <c r="C146" s="8" t="s">
        <v>51</v>
      </c>
      <c r="H146" s="114"/>
      <c r="I146" s="100">
        <v>-8</v>
      </c>
      <c r="J146" s="100">
        <v>12.8</v>
      </c>
      <c r="K146" s="100">
        <v>10.3</v>
      </c>
      <c r="L146" s="184">
        <f>L382</f>
        <v>-12</v>
      </c>
      <c r="M146" s="184">
        <f t="shared" ref="M146:P146" si="48">M382</f>
        <v>-12</v>
      </c>
      <c r="N146" s="184">
        <f t="shared" si="48"/>
        <v>-12</v>
      </c>
      <c r="O146" s="184">
        <f t="shared" si="48"/>
        <v>-12</v>
      </c>
      <c r="P146" s="184">
        <f t="shared" si="48"/>
        <v>-12</v>
      </c>
    </row>
    <row r="147" spans="2:16" ht="12.9" customHeight="1">
      <c r="C147" s="1" t="s">
        <v>60</v>
      </c>
      <c r="I147" s="100">
        <v>0</v>
      </c>
      <c r="J147" s="100">
        <v>0</v>
      </c>
      <c r="K147" s="100">
        <v>0</v>
      </c>
      <c r="L147" s="184">
        <f>L326</f>
        <v>0</v>
      </c>
      <c r="M147" s="184">
        <f t="shared" ref="M147:P147" si="49">M326</f>
        <v>15</v>
      </c>
      <c r="N147" s="184">
        <f t="shared" si="49"/>
        <v>0</v>
      </c>
      <c r="O147" s="184">
        <f t="shared" si="49"/>
        <v>0</v>
      </c>
      <c r="P147" s="184">
        <f t="shared" si="49"/>
        <v>0</v>
      </c>
    </row>
    <row r="148" spans="2:16" ht="12.9" customHeight="1">
      <c r="C148" s="1" t="s">
        <v>61</v>
      </c>
      <c r="I148" s="100">
        <v>-2.2999999999999998</v>
      </c>
      <c r="J148" s="100">
        <v>5.7</v>
      </c>
      <c r="K148" s="100">
        <v>-4.8</v>
      </c>
      <c r="L148" s="184">
        <f>L335</f>
        <v>-30</v>
      </c>
      <c r="M148" s="184">
        <f t="shared" ref="M148:P148" si="50">M335</f>
        <v>0</v>
      </c>
      <c r="N148" s="184">
        <f t="shared" si="50"/>
        <v>0</v>
      </c>
      <c r="O148" s="184">
        <f t="shared" si="50"/>
        <v>0</v>
      </c>
      <c r="P148" s="184">
        <f t="shared" si="50"/>
        <v>0</v>
      </c>
    </row>
    <row r="149" spans="2:16" ht="12.9" customHeight="1">
      <c r="C149" s="1" t="s">
        <v>56</v>
      </c>
      <c r="I149" s="100">
        <v>0</v>
      </c>
      <c r="J149" s="100">
        <v>0</v>
      </c>
      <c r="K149" s="100">
        <v>0</v>
      </c>
      <c r="L149" s="184">
        <f>-L330</f>
        <v>0</v>
      </c>
      <c r="M149" s="184">
        <f t="shared" ref="M149:P149" si="51">-M330</f>
        <v>-1.2</v>
      </c>
      <c r="N149" s="184">
        <f t="shared" si="51"/>
        <v>-1.2</v>
      </c>
      <c r="O149" s="184">
        <f t="shared" si="51"/>
        <v>-1.2</v>
      </c>
      <c r="P149" s="184">
        <f t="shared" si="51"/>
        <v>-1.2</v>
      </c>
    </row>
    <row r="150" spans="2:16" ht="12.9" customHeight="1">
      <c r="B150" s="99"/>
      <c r="C150" s="1" t="s">
        <v>57</v>
      </c>
      <c r="H150" s="114"/>
      <c r="I150" s="100">
        <v>-8</v>
      </c>
      <c r="J150" s="100">
        <v>-8.1</v>
      </c>
      <c r="K150" s="100">
        <v>-7.8</v>
      </c>
      <c r="L150" s="184">
        <f ca="1">-L340</f>
        <v>-6.3733662413418983</v>
      </c>
      <c r="M150" s="184">
        <f t="shared" ref="M150:P150" ca="1" si="52">-M340</f>
        <v>-6.9430842783916438</v>
      </c>
      <c r="N150" s="184">
        <f t="shared" ca="1" si="52"/>
        <v>-7.8701961868031907</v>
      </c>
      <c r="O150" s="184">
        <f t="shared" ca="1" si="52"/>
        <v>-8.6275407723905015</v>
      </c>
      <c r="P150" s="184">
        <f t="shared" ca="1" si="52"/>
        <v>-8.9090483446922697</v>
      </c>
    </row>
    <row r="151" spans="2:16" ht="12.9" customHeight="1">
      <c r="B151" s="99"/>
      <c r="C151" s="1" t="s">
        <v>28</v>
      </c>
      <c r="H151" s="114"/>
      <c r="I151" s="116">
        <v>-0.2</v>
      </c>
      <c r="J151" s="116">
        <v>0.1</v>
      </c>
      <c r="K151" s="116">
        <v>-0.3</v>
      </c>
      <c r="L151" s="187">
        <f>Assumptions!N46</f>
        <v>0</v>
      </c>
      <c r="M151" s="187">
        <f>Assumptions!O46</f>
        <v>0</v>
      </c>
      <c r="N151" s="187">
        <f>Assumptions!P46</f>
        <v>0</v>
      </c>
      <c r="O151" s="187">
        <f>Assumptions!Q46</f>
        <v>0</v>
      </c>
      <c r="P151" s="187">
        <f>Assumptions!R46</f>
        <v>0</v>
      </c>
    </row>
    <row r="152" spans="2:16" ht="12.9" customHeight="1">
      <c r="B152" s="99"/>
      <c r="C152" s="11" t="s">
        <v>25</v>
      </c>
      <c r="H152" s="114"/>
      <c r="I152" s="170">
        <f>SUM(I144:I151)</f>
        <v>-23.3</v>
      </c>
      <c r="J152" s="170">
        <f t="shared" ref="J152:P152" si="53">SUM(J144:J151)</f>
        <v>0.50000000000000033</v>
      </c>
      <c r="K152" s="170">
        <f t="shared" si="53"/>
        <v>3.4000000000000004</v>
      </c>
      <c r="L152" s="170">
        <f t="shared" ca="1" si="53"/>
        <v>-36.519903333170618</v>
      </c>
      <c r="M152" s="170">
        <f t="shared" ca="1" si="53"/>
        <v>-25.784041554457222</v>
      </c>
      <c r="N152" s="170">
        <f t="shared" ca="1" si="53"/>
        <v>-27.282701818908901</v>
      </c>
      <c r="O152" s="170">
        <f t="shared" ca="1" si="53"/>
        <v>-26.827540772390499</v>
      </c>
      <c r="P152" s="170">
        <f t="shared" ca="1" si="53"/>
        <v>-27.109048344692269</v>
      </c>
    </row>
    <row r="153" spans="2:16" ht="12.9" customHeight="1">
      <c r="B153" s="99"/>
      <c r="C153" s="11"/>
      <c r="H153" s="114"/>
    </row>
    <row r="154" spans="2:16" ht="12.9" customHeight="1">
      <c r="B154" s="159" t="s">
        <v>44</v>
      </c>
      <c r="C154" s="7"/>
      <c r="D154" s="7"/>
      <c r="E154" s="7"/>
      <c r="F154" s="7"/>
      <c r="G154" s="222"/>
      <c r="H154" s="160"/>
      <c r="I154" s="122">
        <f>I152+I140+I133</f>
        <v>-13.5</v>
      </c>
      <c r="J154" s="122">
        <f t="shared" ref="J154:P154" si="54">J152+J140+J133</f>
        <v>7.7000000000000135</v>
      </c>
      <c r="K154" s="122">
        <f t="shared" si="54"/>
        <v>14.700000000000006</v>
      </c>
      <c r="L154" s="122">
        <f t="shared" ca="1" si="54"/>
        <v>-14.70000000000001</v>
      </c>
      <c r="M154" s="122">
        <f t="shared" ca="1" si="54"/>
        <v>0</v>
      </c>
      <c r="N154" s="122">
        <f t="shared" ca="1" si="54"/>
        <v>8.7964588839324591</v>
      </c>
      <c r="O154" s="122">
        <f t="shared" ca="1" si="54"/>
        <v>14.077469325561218</v>
      </c>
      <c r="P154" s="122">
        <f t="shared" ca="1" si="54"/>
        <v>16.517571708020284</v>
      </c>
    </row>
    <row r="155" spans="2:16" ht="12.9" customHeight="1">
      <c r="B155" s="161" t="s">
        <v>45</v>
      </c>
      <c r="H155" s="162"/>
      <c r="I155" s="115">
        <v>16.3</v>
      </c>
      <c r="J155" s="118">
        <f>I156</f>
        <v>2.8000000000000007</v>
      </c>
      <c r="K155" s="118">
        <f t="shared" ref="K155:P155" si="55">J156</f>
        <v>10.500000000000014</v>
      </c>
      <c r="L155" s="118">
        <f t="shared" si="55"/>
        <v>25.200000000000021</v>
      </c>
      <c r="M155" s="118">
        <f t="shared" ca="1" si="55"/>
        <v>10.500000000000011</v>
      </c>
      <c r="N155" s="118">
        <f t="shared" ca="1" si="55"/>
        <v>10.500000000000011</v>
      </c>
      <c r="O155" s="118">
        <f t="shared" ca="1" si="55"/>
        <v>19.29645888393247</v>
      </c>
      <c r="P155" s="118">
        <f t="shared" ca="1" si="55"/>
        <v>33.373928209493684</v>
      </c>
    </row>
    <row r="156" spans="2:16" ht="12.9" customHeight="1">
      <c r="B156" s="163" t="s">
        <v>46</v>
      </c>
      <c r="C156" s="10"/>
      <c r="D156" s="10"/>
      <c r="E156" s="10"/>
      <c r="F156" s="10"/>
      <c r="G156" s="223"/>
      <c r="H156" s="164"/>
      <c r="I156" s="165">
        <f>I155+I154</f>
        <v>2.8000000000000007</v>
      </c>
      <c r="J156" s="165">
        <f t="shared" ref="J156:P156" si="56">J155+J154</f>
        <v>10.500000000000014</v>
      </c>
      <c r="K156" s="165">
        <f t="shared" si="56"/>
        <v>25.200000000000021</v>
      </c>
      <c r="L156" s="165">
        <f t="shared" ca="1" si="56"/>
        <v>10.500000000000011</v>
      </c>
      <c r="M156" s="165">
        <f t="shared" ca="1" si="56"/>
        <v>10.500000000000011</v>
      </c>
      <c r="N156" s="165">
        <f t="shared" ca="1" si="56"/>
        <v>19.29645888393247</v>
      </c>
      <c r="O156" s="165">
        <f t="shared" ca="1" si="56"/>
        <v>33.373928209493684</v>
      </c>
      <c r="P156" s="165">
        <f t="shared" ca="1" si="56"/>
        <v>49.891499917513968</v>
      </c>
    </row>
    <row r="157" spans="2:16" ht="12.9" customHeight="1">
      <c r="B157" s="93"/>
      <c r="H157" s="162"/>
      <c r="I157" s="125"/>
      <c r="J157" s="125"/>
      <c r="K157" s="125"/>
      <c r="L157" s="125"/>
      <c r="M157" s="125"/>
      <c r="N157" s="125"/>
      <c r="O157" s="125"/>
      <c r="P157" s="125"/>
    </row>
    <row r="158" spans="2:16">
      <c r="B158" s="10"/>
      <c r="C158" s="10"/>
      <c r="D158" s="10"/>
      <c r="E158" s="10"/>
      <c r="F158" s="10"/>
      <c r="G158" s="223"/>
      <c r="H158" s="10"/>
      <c r="I158" s="10"/>
      <c r="J158" s="10"/>
      <c r="K158" s="10"/>
      <c r="L158" s="10"/>
      <c r="M158" s="10"/>
      <c r="N158" s="10"/>
      <c r="O158" s="10"/>
      <c r="P158" s="10"/>
    </row>
    <row r="160" spans="2:16" ht="15.6">
      <c r="C160" s="135"/>
      <c r="I160" s="108"/>
      <c r="J160" s="108"/>
      <c r="K160" s="108"/>
      <c r="L160" s="108"/>
      <c r="M160" s="108"/>
      <c r="N160" s="108"/>
      <c r="O160" s="108"/>
      <c r="P160" s="108"/>
    </row>
    <row r="161" spans="2:16">
      <c r="P161" s="136" t="str">
        <f>UPPER("currently running: "&amp;CHOOSE(Scenarios!$E$11,Scenarios!$D$19,Scenarios!$D$20,Scenarios!$D$21)&amp;" Scenarios")</f>
        <v>CURRENTLY RUNNING: BEST CASE SCENARIOS</v>
      </c>
    </row>
    <row r="162" spans="2:16" ht="22.8">
      <c r="B162" s="2" t="str">
        <f>$B$70</f>
        <v>ELIXIR EQUIPMENTS COMPANY</v>
      </c>
      <c r="C162" s="6"/>
      <c r="D162" s="6"/>
      <c r="E162" s="6"/>
      <c r="F162" s="6"/>
      <c r="G162" s="218"/>
      <c r="H162" s="6"/>
      <c r="I162" s="6"/>
      <c r="J162" s="6"/>
      <c r="K162" s="6"/>
      <c r="L162" s="6"/>
      <c r="M162" s="6"/>
      <c r="N162" s="6"/>
      <c r="O162" s="6"/>
      <c r="P162" s="6"/>
    </row>
    <row r="163" spans="2:16" ht="17.25" customHeight="1">
      <c r="B163" s="230" t="s">
        <v>152</v>
      </c>
      <c r="C163" s="130"/>
      <c r="D163" s="6"/>
      <c r="E163" s="6"/>
      <c r="F163" s="6"/>
      <c r="G163" s="218"/>
      <c r="H163" s="6"/>
      <c r="I163" s="6"/>
      <c r="J163" s="6"/>
      <c r="K163" s="6"/>
      <c r="L163" s="6"/>
      <c r="M163" s="6"/>
      <c r="N163" s="6"/>
      <c r="O163" s="6"/>
      <c r="P163" s="6"/>
    </row>
    <row r="164" spans="2:16" ht="5.0999999999999996" customHeight="1" thickBot="1">
      <c r="B164" s="129"/>
      <c r="C164" s="129"/>
      <c r="D164" s="129"/>
      <c r="E164" s="129"/>
      <c r="F164" s="129"/>
      <c r="G164" s="219"/>
      <c r="H164" s="129"/>
      <c r="I164" s="129"/>
      <c r="J164" s="129"/>
      <c r="K164" s="129"/>
      <c r="L164" s="129"/>
      <c r="M164" s="129"/>
      <c r="N164" s="129"/>
      <c r="O164" s="129"/>
      <c r="P164" s="129"/>
    </row>
    <row r="165" spans="2:16" ht="12" customHeight="1">
      <c r="B165" s="5" t="s">
        <v>59</v>
      </c>
    </row>
    <row r="166" spans="2:16">
      <c r="H166" s="6"/>
    </row>
    <row r="167" spans="2:16" ht="13.8" thickBot="1">
      <c r="H167" s="6"/>
      <c r="L167" s="129" t="s">
        <v>212</v>
      </c>
      <c r="M167" s="129"/>
      <c r="N167" s="129"/>
      <c r="O167" s="129"/>
      <c r="P167" s="129"/>
    </row>
    <row r="168" spans="2:16">
      <c r="H168" s="12"/>
      <c r="I168" s="77">
        <v>2018</v>
      </c>
      <c r="J168" s="77">
        <f>I168+1</f>
        <v>2019</v>
      </c>
      <c r="K168" s="77">
        <f>J168+1</f>
        <v>2020</v>
      </c>
      <c r="L168" s="77">
        <f>K168+1</f>
        <v>2021</v>
      </c>
      <c r="M168" s="77">
        <f t="shared" ref="M168:P168" si="57">L168+1</f>
        <v>2022</v>
      </c>
      <c r="N168" s="77">
        <f t="shared" si="57"/>
        <v>2023</v>
      </c>
      <c r="O168" s="77">
        <f t="shared" si="57"/>
        <v>2024</v>
      </c>
      <c r="P168" s="77">
        <f t="shared" si="57"/>
        <v>2025</v>
      </c>
    </row>
    <row r="169" spans="2:16" ht="12.9" customHeight="1">
      <c r="B169" s="109"/>
      <c r="H169" s="110"/>
      <c r="I169" s="110"/>
      <c r="J169" s="110"/>
      <c r="K169" s="110"/>
      <c r="L169" s="110"/>
      <c r="M169" s="110"/>
      <c r="N169" s="110"/>
      <c r="O169" s="110"/>
      <c r="P169" s="110"/>
    </row>
    <row r="170" spans="2:16" ht="12.9" customHeight="1">
      <c r="B170" s="11" t="s">
        <v>26</v>
      </c>
    </row>
    <row r="171" spans="2:16" ht="12.9" customHeight="1">
      <c r="C171" s="1" t="s">
        <v>47</v>
      </c>
      <c r="H171" s="113"/>
      <c r="I171" s="119">
        <v>2.8000000000000007</v>
      </c>
      <c r="J171" s="119">
        <v>10.500000000000014</v>
      </c>
      <c r="K171" s="119">
        <v>25.200000000000024</v>
      </c>
      <c r="L171" s="101">
        <f ca="1">L156</f>
        <v>10.500000000000011</v>
      </c>
      <c r="M171" s="101">
        <f t="shared" ref="M171:P171" ca="1" si="58">M156</f>
        <v>10.500000000000011</v>
      </c>
      <c r="N171" s="101">
        <f t="shared" ca="1" si="58"/>
        <v>19.29645888393247</v>
      </c>
      <c r="O171" s="101">
        <f t="shared" ca="1" si="58"/>
        <v>33.373928209493684</v>
      </c>
      <c r="P171" s="101">
        <f t="shared" ca="1" si="58"/>
        <v>49.891499917513968</v>
      </c>
    </row>
    <row r="172" spans="2:16" ht="12.9" customHeight="1">
      <c r="C172" s="1" t="s">
        <v>27</v>
      </c>
      <c r="H172" s="113"/>
      <c r="I172" s="120">
        <v>19.5</v>
      </c>
      <c r="J172" s="120">
        <v>22.1</v>
      </c>
      <c r="K172" s="120">
        <v>22.5</v>
      </c>
      <c r="L172" s="199">
        <f>L271</f>
        <v>24.037546789867893</v>
      </c>
      <c r="M172" s="199">
        <f t="shared" ref="M172:P172" si="59">M271</f>
        <v>25.579446490470382</v>
      </c>
      <c r="N172" s="199">
        <f t="shared" si="59"/>
        <v>27.215380573984071</v>
      </c>
      <c r="O172" s="199">
        <f t="shared" si="59"/>
        <v>28.456326803672262</v>
      </c>
      <c r="P172" s="199">
        <f t="shared" si="59"/>
        <v>29.026703069181291</v>
      </c>
    </row>
    <row r="173" spans="2:16" ht="12.9" customHeight="1">
      <c r="C173" s="1" t="s">
        <v>63</v>
      </c>
      <c r="H173" s="113"/>
      <c r="I173" s="120">
        <v>13.6</v>
      </c>
      <c r="J173" s="120">
        <v>15</v>
      </c>
      <c r="K173" s="120">
        <v>16.3</v>
      </c>
      <c r="L173" s="199">
        <f t="shared" ref="L173:P174" si="60">L272</f>
        <v>15.096934759791626</v>
      </c>
      <c r="M173" s="199">
        <f t="shared" si="60"/>
        <v>15.714223504848546</v>
      </c>
      <c r="N173" s="199">
        <f t="shared" si="60"/>
        <v>16.3658974609023</v>
      </c>
      <c r="O173" s="199">
        <f t="shared" si="60"/>
        <v>16.802036028426322</v>
      </c>
      <c r="P173" s="199">
        <f t="shared" si="60"/>
        <v>17.016549693885132</v>
      </c>
    </row>
    <row r="174" spans="2:16" ht="12.9" customHeight="1">
      <c r="C174" s="8" t="s">
        <v>28</v>
      </c>
      <c r="H174" s="113"/>
      <c r="I174" s="106">
        <v>5.5</v>
      </c>
      <c r="J174" s="106">
        <v>4.7</v>
      </c>
      <c r="K174" s="106">
        <v>4.8</v>
      </c>
      <c r="L174" s="199">
        <f t="shared" si="60"/>
        <v>5.3928144416361183</v>
      </c>
      <c r="M174" s="199">
        <f t="shared" si="60"/>
        <v>5.6133177233929201</v>
      </c>
      <c r="N174" s="199">
        <f t="shared" si="60"/>
        <v>5.846103833776386</v>
      </c>
      <c r="O174" s="199">
        <f t="shared" si="60"/>
        <v>6.001898000136717</v>
      </c>
      <c r="P174" s="199">
        <f t="shared" si="60"/>
        <v>6.0785249718644883</v>
      </c>
    </row>
    <row r="175" spans="2:16" ht="12.9" customHeight="1">
      <c r="C175" s="93" t="s">
        <v>29</v>
      </c>
      <c r="H175" s="111"/>
      <c r="I175" s="122">
        <f>SUM(I171:I174)</f>
        <v>41.4</v>
      </c>
      <c r="J175" s="122">
        <f t="shared" ref="J175:P175" si="61">SUM(J171:J174)</f>
        <v>52.300000000000018</v>
      </c>
      <c r="K175" s="122">
        <f t="shared" si="61"/>
        <v>68.800000000000026</v>
      </c>
      <c r="L175" s="122">
        <f t="shared" ca="1" si="61"/>
        <v>55.027295991295645</v>
      </c>
      <c r="M175" s="122">
        <f t="shared" ca="1" si="61"/>
        <v>57.406987718711854</v>
      </c>
      <c r="N175" s="122">
        <f t="shared" ca="1" si="61"/>
        <v>68.723840752595223</v>
      </c>
      <c r="O175" s="122">
        <f t="shared" ca="1" si="61"/>
        <v>84.634189041728987</v>
      </c>
      <c r="P175" s="122">
        <f t="shared" ca="1" si="61"/>
        <v>102.01327765244488</v>
      </c>
    </row>
    <row r="176" spans="2:16" ht="12.9" customHeight="1">
      <c r="H176" s="111"/>
      <c r="I176" s="120"/>
      <c r="J176" s="120"/>
      <c r="K176" s="120"/>
      <c r="L176" s="199"/>
      <c r="M176" s="199"/>
      <c r="N176" s="199"/>
      <c r="O176" s="199"/>
      <c r="P176" s="199"/>
    </row>
    <row r="177" spans="2:16" ht="12.9" customHeight="1">
      <c r="C177" s="1" t="s">
        <v>30</v>
      </c>
      <c r="H177" s="113"/>
      <c r="I177" s="112">
        <v>163.19999999999999</v>
      </c>
      <c r="J177" s="121">
        <v>185.79999999999998</v>
      </c>
      <c r="K177" s="121">
        <v>202.39999999999998</v>
      </c>
      <c r="L177" s="198">
        <f>L243</f>
        <v>218.88733333333332</v>
      </c>
      <c r="M177" s="198">
        <f t="shared" ref="M177:P177" si="62">M243</f>
        <v>234.54133333333331</v>
      </c>
      <c r="N177" s="198">
        <f t="shared" si="62"/>
        <v>244.44533333333331</v>
      </c>
      <c r="O177" s="198">
        <f t="shared" si="62"/>
        <v>253.68266666666668</v>
      </c>
      <c r="P177" s="198">
        <f t="shared" si="62"/>
        <v>262.25333333333339</v>
      </c>
    </row>
    <row r="178" spans="2:16" ht="12.9" customHeight="1">
      <c r="C178" s="1" t="s">
        <v>31</v>
      </c>
      <c r="H178" s="113"/>
      <c r="I178" s="112">
        <v>60.2</v>
      </c>
      <c r="J178" s="112">
        <v>60.2</v>
      </c>
      <c r="K178" s="112">
        <v>60.2</v>
      </c>
      <c r="L178" s="185">
        <f>K178+Assumptions!N50</f>
        <v>60.2</v>
      </c>
      <c r="M178" s="185">
        <f>L178+Assumptions!O50</f>
        <v>60.2</v>
      </c>
      <c r="N178" s="185">
        <f>M178+Assumptions!P50</f>
        <v>60.2</v>
      </c>
      <c r="O178" s="185">
        <f>N178+Assumptions!Q50</f>
        <v>60.2</v>
      </c>
      <c r="P178" s="185">
        <f>O178+Assumptions!R50</f>
        <v>60.2</v>
      </c>
    </row>
    <row r="179" spans="2:16" ht="12.9" customHeight="1">
      <c r="C179" s="1" t="s">
        <v>32</v>
      </c>
      <c r="H179" s="113"/>
      <c r="I179" s="112">
        <v>48.9</v>
      </c>
      <c r="J179" s="112">
        <v>45.9</v>
      </c>
      <c r="K179" s="112">
        <v>42.7</v>
      </c>
      <c r="L179" s="185">
        <f>K179+Assumptions!N53</f>
        <v>42.7</v>
      </c>
      <c r="M179" s="185">
        <f>L179+Assumptions!O53</f>
        <v>42.7</v>
      </c>
      <c r="N179" s="185">
        <f>M179+Assumptions!P53</f>
        <v>42.7</v>
      </c>
      <c r="O179" s="185">
        <f>N179+Assumptions!Q53</f>
        <v>42.7</v>
      </c>
      <c r="P179" s="185">
        <f>O179+Assumptions!R53</f>
        <v>42.7</v>
      </c>
    </row>
    <row r="180" spans="2:16" ht="12.9" customHeight="1">
      <c r="C180" s="8" t="s">
        <v>28</v>
      </c>
      <c r="H180" s="113"/>
      <c r="I180" s="112">
        <v>3.2</v>
      </c>
      <c r="J180" s="112">
        <v>3.5</v>
      </c>
      <c r="K180" s="112">
        <v>2.7</v>
      </c>
      <c r="L180" s="185">
        <f>K180+Assumptions!N44</f>
        <v>2.7</v>
      </c>
      <c r="M180" s="185">
        <f>L180+Assumptions!O44</f>
        <v>2.7</v>
      </c>
      <c r="N180" s="185">
        <f>M180+Assumptions!P44</f>
        <v>2.7</v>
      </c>
      <c r="O180" s="185">
        <f>N180+Assumptions!Q44</f>
        <v>2.7</v>
      </c>
      <c r="P180" s="185">
        <f>O180+Assumptions!R44</f>
        <v>2.7</v>
      </c>
    </row>
    <row r="181" spans="2:16" ht="12.9" customHeight="1">
      <c r="C181" s="99" t="s">
        <v>33</v>
      </c>
      <c r="H181" s="113"/>
      <c r="I181" s="122">
        <f>SUM(I177:I180)</f>
        <v>275.49999999999994</v>
      </c>
      <c r="J181" s="122">
        <f t="shared" ref="J181:P181" si="63">SUM(J177:J180)</f>
        <v>295.39999999999998</v>
      </c>
      <c r="K181" s="122">
        <f t="shared" si="63"/>
        <v>307.99999999999994</v>
      </c>
      <c r="L181" s="122">
        <f t="shared" si="63"/>
        <v>324.48733333333331</v>
      </c>
      <c r="M181" s="122">
        <f t="shared" si="63"/>
        <v>340.14133333333331</v>
      </c>
      <c r="N181" s="122">
        <f t="shared" si="63"/>
        <v>350.0453333333333</v>
      </c>
      <c r="O181" s="122">
        <f t="shared" si="63"/>
        <v>359.28266666666667</v>
      </c>
      <c r="P181" s="122">
        <f t="shared" si="63"/>
        <v>367.85333333333335</v>
      </c>
    </row>
    <row r="182" spans="2:16" ht="12.9" customHeight="1">
      <c r="C182" s="8"/>
      <c r="H182" s="111"/>
      <c r="I182" s="123"/>
      <c r="J182" s="123"/>
      <c r="K182" s="123"/>
      <c r="L182" s="123"/>
      <c r="M182" s="123"/>
      <c r="N182" s="123"/>
      <c r="O182" s="123"/>
      <c r="P182" s="123"/>
    </row>
    <row r="183" spans="2:16" ht="12.9" customHeight="1" thickBot="1">
      <c r="C183" s="11" t="s">
        <v>34</v>
      </c>
      <c r="H183" s="114"/>
      <c r="I183" s="124">
        <f>I175+I181</f>
        <v>316.89999999999992</v>
      </c>
      <c r="J183" s="124">
        <f t="shared" ref="J183:P183" si="64">J175+J181</f>
        <v>347.7</v>
      </c>
      <c r="K183" s="124">
        <f t="shared" si="64"/>
        <v>376.79999999999995</v>
      </c>
      <c r="L183" s="124">
        <f t="shared" ca="1" si="64"/>
        <v>379.51462932462897</v>
      </c>
      <c r="M183" s="124">
        <f t="shared" ca="1" si="64"/>
        <v>397.54832105204514</v>
      </c>
      <c r="N183" s="124">
        <f t="shared" ca="1" si="64"/>
        <v>418.76917408592851</v>
      </c>
      <c r="O183" s="124">
        <f t="shared" ca="1" si="64"/>
        <v>443.91685570839564</v>
      </c>
      <c r="P183" s="124">
        <f t="shared" ca="1" si="64"/>
        <v>469.86661098577827</v>
      </c>
    </row>
    <row r="184" spans="2:16" ht="12.9" customHeight="1" thickTop="1">
      <c r="H184" s="111"/>
      <c r="I184" s="111"/>
      <c r="J184" s="111"/>
      <c r="K184" s="111"/>
      <c r="L184" s="111"/>
      <c r="M184" s="111"/>
      <c r="N184" s="111"/>
      <c r="O184" s="111"/>
      <c r="P184" s="111"/>
    </row>
    <row r="185" spans="2:16" ht="12.9" customHeight="1">
      <c r="H185" s="111"/>
      <c r="I185" s="111"/>
      <c r="J185" s="111"/>
      <c r="K185" s="111"/>
      <c r="L185" s="111"/>
      <c r="M185" s="111"/>
      <c r="N185" s="111"/>
      <c r="O185" s="111"/>
      <c r="P185" s="111"/>
    </row>
    <row r="186" spans="2:16" ht="12.9" customHeight="1">
      <c r="B186" s="93" t="s">
        <v>35</v>
      </c>
      <c r="H186" s="111"/>
      <c r="I186" s="111"/>
      <c r="J186" s="111"/>
      <c r="K186" s="111"/>
      <c r="L186" s="111"/>
      <c r="M186" s="111"/>
      <c r="N186" s="111"/>
      <c r="O186" s="111"/>
      <c r="P186" s="111"/>
    </row>
    <row r="187" spans="2:16" ht="12.9" customHeight="1">
      <c r="C187" s="8" t="s">
        <v>36</v>
      </c>
      <c r="H187" s="113"/>
      <c r="I187" s="112">
        <v>0</v>
      </c>
      <c r="J187" s="121">
        <v>0</v>
      </c>
      <c r="K187" s="121">
        <v>0</v>
      </c>
      <c r="L187" s="198">
        <f ca="1">L425</f>
        <v>16.853462908171284</v>
      </c>
      <c r="M187" s="198">
        <f t="shared" ref="M187:P187" ca="1" si="65">M425</f>
        <v>1.2125056321057102</v>
      </c>
      <c r="N187" s="198">
        <f t="shared" ca="1" si="65"/>
        <v>0</v>
      </c>
      <c r="O187" s="198">
        <f t="shared" ca="1" si="65"/>
        <v>0</v>
      </c>
      <c r="P187" s="198">
        <f t="shared" ca="1" si="65"/>
        <v>0</v>
      </c>
    </row>
    <row r="188" spans="2:16" ht="12.9" customHeight="1">
      <c r="C188" s="8" t="s">
        <v>37</v>
      </c>
      <c r="H188" s="113"/>
      <c r="I188" s="121">
        <v>18.100000000000001</v>
      </c>
      <c r="J188" s="121">
        <v>19.3</v>
      </c>
      <c r="K188" s="121">
        <v>21.1</v>
      </c>
      <c r="L188" s="198">
        <f>L274</f>
        <v>21.326914719853367</v>
      </c>
      <c r="M188" s="198">
        <f t="shared" ref="M188:P188" si="66">M274</f>
        <v>22.198937062986015</v>
      </c>
      <c r="N188" s="198">
        <f t="shared" si="66"/>
        <v>23.119534197903999</v>
      </c>
      <c r="O188" s="198">
        <f t="shared" si="66"/>
        <v>23.735651984966108</v>
      </c>
      <c r="P188" s="198">
        <f t="shared" si="66"/>
        <v>24.038687980171424</v>
      </c>
    </row>
    <row r="189" spans="2:16" ht="12.9" customHeight="1">
      <c r="C189" s="8" t="s">
        <v>28</v>
      </c>
      <c r="H189" s="113"/>
      <c r="I189" s="96">
        <v>1.1000000000000001</v>
      </c>
      <c r="J189" s="96">
        <v>0.8</v>
      </c>
      <c r="K189" s="96">
        <v>0.6</v>
      </c>
      <c r="L189" s="198">
        <f>L275</f>
        <v>0.74078673123673555</v>
      </c>
      <c r="M189" s="198">
        <f t="shared" ref="M189:P189" si="67">M275</f>
        <v>0.77107627801929401</v>
      </c>
      <c r="N189" s="198">
        <f t="shared" si="67"/>
        <v>0.80305306187762449</v>
      </c>
      <c r="O189" s="198">
        <f t="shared" si="67"/>
        <v>0.82445380772060728</v>
      </c>
      <c r="P189" s="198">
        <f t="shared" si="67"/>
        <v>0.83497971112876612</v>
      </c>
    </row>
    <row r="190" spans="2:16" ht="12.9" customHeight="1">
      <c r="C190" s="93" t="s">
        <v>38</v>
      </c>
      <c r="H190" s="111"/>
      <c r="I190" s="122">
        <f>SUM(I187:I189)</f>
        <v>19.200000000000003</v>
      </c>
      <c r="J190" s="122">
        <f t="shared" ref="J190:P190" si="68">SUM(J187:J189)</f>
        <v>20.100000000000001</v>
      </c>
      <c r="K190" s="122">
        <f t="shared" si="68"/>
        <v>21.700000000000003</v>
      </c>
      <c r="L190" s="122">
        <f t="shared" ca="1" si="68"/>
        <v>38.92116435926139</v>
      </c>
      <c r="M190" s="122">
        <f t="shared" ca="1" si="68"/>
        <v>24.182518973111019</v>
      </c>
      <c r="N190" s="122">
        <f t="shared" ca="1" si="68"/>
        <v>23.922587259781622</v>
      </c>
      <c r="O190" s="122">
        <f t="shared" ca="1" si="68"/>
        <v>24.560105792686716</v>
      </c>
      <c r="P190" s="122">
        <f t="shared" ca="1" si="68"/>
        <v>24.873667691300192</v>
      </c>
    </row>
    <row r="191" spans="2:16" ht="12.9" customHeight="1">
      <c r="H191" s="111"/>
      <c r="I191" s="111"/>
      <c r="J191" s="111"/>
      <c r="K191" s="111"/>
      <c r="L191" s="111"/>
      <c r="M191" s="111"/>
      <c r="N191" s="111"/>
      <c r="O191" s="111"/>
      <c r="P191" s="111"/>
    </row>
    <row r="192" spans="2:16" ht="12.9" customHeight="1">
      <c r="C192" s="8" t="s">
        <v>48</v>
      </c>
      <c r="H192" s="126"/>
      <c r="I192" s="112">
        <v>64.400000000000006</v>
      </c>
      <c r="J192" s="121">
        <v>54.400000000000006</v>
      </c>
      <c r="K192" s="121">
        <v>60.400000000000006</v>
      </c>
      <c r="L192" s="198">
        <f>L373</f>
        <v>55.400000000000006</v>
      </c>
      <c r="M192" s="198">
        <f t="shared" ref="M192:P192" si="69">M373</f>
        <v>50.400000000000006</v>
      </c>
      <c r="N192" s="198">
        <f t="shared" si="69"/>
        <v>45.400000000000006</v>
      </c>
      <c r="O192" s="198">
        <f t="shared" si="69"/>
        <v>40.400000000000006</v>
      </c>
      <c r="P192" s="198">
        <f t="shared" si="69"/>
        <v>35.400000000000006</v>
      </c>
    </row>
    <row r="193" spans="2:16" ht="12.9" customHeight="1">
      <c r="C193" s="8" t="s">
        <v>49</v>
      </c>
      <c r="H193" s="126"/>
      <c r="I193" s="112">
        <v>103.8</v>
      </c>
      <c r="J193" s="121">
        <v>116.6</v>
      </c>
      <c r="K193" s="121">
        <v>126.89999999999999</v>
      </c>
      <c r="L193" s="198">
        <f>L383</f>
        <v>114.89999999999999</v>
      </c>
      <c r="M193" s="198">
        <f t="shared" ref="M193:P193" si="70">M383</f>
        <v>102.89999999999999</v>
      </c>
      <c r="N193" s="198">
        <f t="shared" si="70"/>
        <v>90.899999999999991</v>
      </c>
      <c r="O193" s="198">
        <f t="shared" si="70"/>
        <v>78.899999999999991</v>
      </c>
      <c r="P193" s="198">
        <f t="shared" si="70"/>
        <v>66.899999999999991</v>
      </c>
    </row>
    <row r="194" spans="2:16" ht="12.9" customHeight="1">
      <c r="C194" s="1" t="s">
        <v>12</v>
      </c>
      <c r="H194" s="126"/>
      <c r="I194" s="112">
        <v>18</v>
      </c>
      <c r="J194" s="112">
        <v>22.8</v>
      </c>
      <c r="K194" s="112">
        <v>29.1</v>
      </c>
      <c r="L194" s="185">
        <f ca="1">K194+L305</f>
        <v>36.1</v>
      </c>
      <c r="M194" s="185">
        <f ca="1">L194+M305</f>
        <v>43.1</v>
      </c>
      <c r="N194" s="185">
        <f ca="1">M194+N305</f>
        <v>50.1</v>
      </c>
      <c r="O194" s="185">
        <f ca="1">N194+O305</f>
        <v>57.1</v>
      </c>
      <c r="P194" s="185">
        <f ca="1">O194+P305</f>
        <v>64.099999999999994</v>
      </c>
    </row>
    <row r="195" spans="2:16" ht="12.9" customHeight="1">
      <c r="C195" s="8" t="s">
        <v>28</v>
      </c>
      <c r="H195" s="126"/>
      <c r="I195" s="96">
        <v>0.6</v>
      </c>
      <c r="J195" s="96">
        <v>1.1000000000000001</v>
      </c>
      <c r="K195" s="96">
        <v>0.8</v>
      </c>
      <c r="L195" s="187">
        <f>Assumptions!N46+Model!K195</f>
        <v>0.8</v>
      </c>
      <c r="M195" s="187">
        <f>Assumptions!O46+Model!L195</f>
        <v>0.8</v>
      </c>
      <c r="N195" s="187">
        <f>Assumptions!P46+Model!M195</f>
        <v>0.8</v>
      </c>
      <c r="O195" s="187">
        <f>Assumptions!Q46+Model!N195</f>
        <v>0.8</v>
      </c>
      <c r="P195" s="187">
        <f>Assumptions!R46+Model!O195</f>
        <v>0.8</v>
      </c>
    </row>
    <row r="196" spans="2:16" ht="12.9" customHeight="1">
      <c r="C196" s="99" t="s">
        <v>39</v>
      </c>
      <c r="H196" s="113"/>
      <c r="I196" s="122">
        <f>SUM(I192:I195)</f>
        <v>186.79999999999998</v>
      </c>
      <c r="J196" s="122">
        <f t="shared" ref="J196:P196" si="71">SUM(J192:J195)</f>
        <v>194.9</v>
      </c>
      <c r="K196" s="122">
        <f t="shared" si="71"/>
        <v>217.20000000000002</v>
      </c>
      <c r="L196" s="122">
        <f ca="1">SUM(L192:L195)</f>
        <v>207.20000000000002</v>
      </c>
      <c r="M196" s="122">
        <f t="shared" ca="1" si="71"/>
        <v>197.20000000000002</v>
      </c>
      <c r="N196" s="122">
        <f t="shared" ca="1" si="71"/>
        <v>187.20000000000002</v>
      </c>
      <c r="O196" s="122">
        <f t="shared" ca="1" si="71"/>
        <v>177.20000000000002</v>
      </c>
      <c r="P196" s="122">
        <f t="shared" ca="1" si="71"/>
        <v>167.2</v>
      </c>
    </row>
    <row r="197" spans="2:16" ht="12.9" customHeight="1">
      <c r="C197" s="93"/>
      <c r="H197" s="111"/>
      <c r="I197" s="123"/>
      <c r="J197" s="123"/>
      <c r="K197" s="123"/>
      <c r="L197" s="123"/>
      <c r="M197" s="123"/>
      <c r="N197" s="123"/>
      <c r="O197" s="123"/>
      <c r="P197" s="123"/>
    </row>
    <row r="198" spans="2:16" ht="12.9" customHeight="1">
      <c r="C198" s="99" t="s">
        <v>40</v>
      </c>
      <c r="H198" s="114"/>
      <c r="I198" s="166">
        <f>I190+I196</f>
        <v>206</v>
      </c>
      <c r="J198" s="166">
        <f t="shared" ref="J198:P198" si="72">J190+J196</f>
        <v>215</v>
      </c>
      <c r="K198" s="166">
        <f t="shared" si="72"/>
        <v>238.90000000000003</v>
      </c>
      <c r="L198" s="166">
        <f t="shared" ca="1" si="72"/>
        <v>246.1211643592614</v>
      </c>
      <c r="M198" s="166">
        <f t="shared" ca="1" si="72"/>
        <v>221.38251897311105</v>
      </c>
      <c r="N198" s="166">
        <f t="shared" ca="1" si="72"/>
        <v>211.12258725978165</v>
      </c>
      <c r="O198" s="166">
        <f t="shared" ca="1" si="72"/>
        <v>201.76010579268674</v>
      </c>
      <c r="P198" s="166">
        <f t="shared" ca="1" si="72"/>
        <v>192.07366769130019</v>
      </c>
    </row>
    <row r="199" spans="2:16" ht="12.9" customHeight="1">
      <c r="H199" s="111"/>
      <c r="I199" s="111"/>
      <c r="J199" s="111"/>
      <c r="K199" s="111"/>
      <c r="L199" s="111"/>
      <c r="M199" s="111"/>
      <c r="N199" s="111"/>
      <c r="O199" s="111"/>
      <c r="P199" s="111"/>
    </row>
    <row r="200" spans="2:16" ht="12.9" customHeight="1">
      <c r="C200" s="1" t="s">
        <v>54</v>
      </c>
      <c r="H200" s="111"/>
      <c r="I200" s="112">
        <v>0</v>
      </c>
      <c r="J200" s="121">
        <v>0</v>
      </c>
      <c r="K200" s="121">
        <v>0</v>
      </c>
      <c r="L200" s="198">
        <f>L327</f>
        <v>0</v>
      </c>
      <c r="M200" s="198">
        <f t="shared" ref="M200:P200" si="73">M327</f>
        <v>15</v>
      </c>
      <c r="N200" s="198">
        <f t="shared" si="73"/>
        <v>15</v>
      </c>
      <c r="O200" s="198">
        <f t="shared" si="73"/>
        <v>15</v>
      </c>
      <c r="P200" s="198">
        <f t="shared" si="73"/>
        <v>15</v>
      </c>
    </row>
    <row r="201" spans="2:16" ht="12.9" customHeight="1">
      <c r="C201" s="1" t="s">
        <v>55</v>
      </c>
      <c r="H201" s="111"/>
      <c r="I201" s="112">
        <v>62.8</v>
      </c>
      <c r="J201" s="121">
        <v>68.5</v>
      </c>
      <c r="K201" s="121">
        <v>63.7</v>
      </c>
      <c r="L201" s="198">
        <f>L336</f>
        <v>33.700000000000003</v>
      </c>
      <c r="M201" s="198">
        <f t="shared" ref="M201:P201" si="74">M336</f>
        <v>33.700000000000003</v>
      </c>
      <c r="N201" s="198">
        <f t="shared" si="74"/>
        <v>33.700000000000003</v>
      </c>
      <c r="O201" s="198">
        <f t="shared" si="74"/>
        <v>33.700000000000003</v>
      </c>
      <c r="P201" s="198">
        <f t="shared" si="74"/>
        <v>33.700000000000003</v>
      </c>
    </row>
    <row r="202" spans="2:16" ht="12.9" customHeight="1">
      <c r="C202" s="1" t="s">
        <v>41</v>
      </c>
      <c r="H202" s="111"/>
      <c r="I202" s="112">
        <v>47.6</v>
      </c>
      <c r="J202" s="121">
        <v>63.400000000000013</v>
      </c>
      <c r="K202" s="121">
        <v>73.200000000000031</v>
      </c>
      <c r="L202" s="198">
        <f ca="1">L348</f>
        <v>98.693464965367625</v>
      </c>
      <c r="M202" s="198">
        <f t="shared" ref="M202:P202" ca="1" si="75">M348</f>
        <v>126.46580207893422</v>
      </c>
      <c r="N202" s="198">
        <f t="shared" ca="1" si="75"/>
        <v>157.94658682614698</v>
      </c>
      <c r="O202" s="198">
        <f t="shared" ca="1" si="75"/>
        <v>192.45674991570903</v>
      </c>
      <c r="P202" s="198">
        <f t="shared" ca="1" si="75"/>
        <v>228.09294329447812</v>
      </c>
    </row>
    <row r="203" spans="2:16" ht="12.9" customHeight="1">
      <c r="C203" s="1" t="s">
        <v>28</v>
      </c>
      <c r="H203" s="111"/>
      <c r="I203" s="96">
        <v>0.5</v>
      </c>
      <c r="J203" s="96">
        <v>0.8</v>
      </c>
      <c r="K203" s="96">
        <v>1</v>
      </c>
      <c r="L203" s="183">
        <f>K203+Assumptions!N46</f>
        <v>1</v>
      </c>
      <c r="M203" s="183">
        <f>L203+Assumptions!O46</f>
        <v>1</v>
      </c>
      <c r="N203" s="183">
        <f>M203+Assumptions!P46</f>
        <v>1</v>
      </c>
      <c r="O203" s="183">
        <f>N203+Assumptions!Q46</f>
        <v>1</v>
      </c>
      <c r="P203" s="183">
        <f>O203+Assumptions!R46</f>
        <v>1</v>
      </c>
    </row>
    <row r="204" spans="2:16" ht="12.9" customHeight="1">
      <c r="C204" s="93" t="s">
        <v>42</v>
      </c>
      <c r="H204" s="113"/>
      <c r="I204" s="166">
        <f>SUM(I200:I203)</f>
        <v>110.9</v>
      </c>
      <c r="J204" s="166">
        <f t="shared" ref="J204:P204" si="76">SUM(J200:J203)</f>
        <v>132.70000000000002</v>
      </c>
      <c r="K204" s="166">
        <f t="shared" si="76"/>
        <v>137.90000000000003</v>
      </c>
      <c r="L204" s="166">
        <f t="shared" ca="1" si="76"/>
        <v>133.39346496536763</v>
      </c>
      <c r="M204" s="166">
        <f t="shared" ca="1" si="76"/>
        <v>176.16580207893423</v>
      </c>
      <c r="N204" s="166">
        <f t="shared" ca="1" si="76"/>
        <v>207.64658682614697</v>
      </c>
      <c r="O204" s="166">
        <f t="shared" ca="1" si="76"/>
        <v>242.15674991570904</v>
      </c>
      <c r="P204" s="166">
        <f t="shared" ca="1" si="76"/>
        <v>277.79294329447811</v>
      </c>
    </row>
    <row r="205" spans="2:16" ht="12.9" customHeight="1">
      <c r="H205" s="111"/>
      <c r="I205" s="111"/>
      <c r="J205" s="111"/>
      <c r="K205" s="111"/>
      <c r="L205" s="111"/>
      <c r="M205" s="111"/>
      <c r="N205" s="111"/>
      <c r="O205" s="111"/>
      <c r="P205" s="111"/>
    </row>
    <row r="206" spans="2:16" ht="12.9" customHeight="1" thickBot="1">
      <c r="B206" s="93" t="s">
        <v>43</v>
      </c>
      <c r="H206" s="114"/>
      <c r="I206" s="124">
        <f>I204+I198</f>
        <v>316.89999999999998</v>
      </c>
      <c r="J206" s="124">
        <f t="shared" ref="J206:P206" si="77">J204+J198</f>
        <v>347.70000000000005</v>
      </c>
      <c r="K206" s="124">
        <f t="shared" si="77"/>
        <v>376.80000000000007</v>
      </c>
      <c r="L206" s="124">
        <f t="shared" ca="1" si="77"/>
        <v>379.51462932462903</v>
      </c>
      <c r="M206" s="124">
        <f t="shared" ca="1" si="77"/>
        <v>397.54832105204525</v>
      </c>
      <c r="N206" s="124">
        <f t="shared" ca="1" si="77"/>
        <v>418.76917408592863</v>
      </c>
      <c r="O206" s="124">
        <f t="shared" ca="1" si="77"/>
        <v>443.91685570839581</v>
      </c>
      <c r="P206" s="124">
        <f t="shared" ca="1" si="77"/>
        <v>469.86661098577827</v>
      </c>
    </row>
    <row r="207" spans="2:16" ht="6" customHeight="1" thickTop="1">
      <c r="H207" s="127"/>
      <c r="I207" s="127"/>
      <c r="J207" s="127"/>
      <c r="K207" s="127"/>
      <c r="L207" s="127"/>
      <c r="M207" s="127"/>
      <c r="N207" s="127"/>
      <c r="O207" s="127"/>
      <c r="P207" s="127"/>
    </row>
    <row r="208" spans="2:16" ht="6" customHeight="1">
      <c r="B208" s="128"/>
      <c r="C208" s="10"/>
      <c r="D208" s="10"/>
      <c r="E208" s="10"/>
      <c r="F208" s="10"/>
      <c r="G208" s="223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2:16">
      <c r="B209" s="109"/>
    </row>
    <row r="210" spans="2:16" s="167" customFormat="1">
      <c r="B210" s="167" t="s">
        <v>151</v>
      </c>
      <c r="G210" s="227"/>
      <c r="I210" s="200">
        <f>I206-I183</f>
        <v>0</v>
      </c>
      <c r="J210" s="200">
        <f t="shared" ref="J210:P210" si="78">J206-J183</f>
        <v>0</v>
      </c>
      <c r="K210" s="200">
        <f t="shared" si="78"/>
        <v>0</v>
      </c>
      <c r="L210" s="200">
        <f ca="1">L206-L183</f>
        <v>0</v>
      </c>
      <c r="M210" s="200">
        <f t="shared" ca="1" si="78"/>
        <v>0</v>
      </c>
      <c r="N210" s="200">
        <f t="shared" ca="1" si="78"/>
        <v>0</v>
      </c>
      <c r="O210" s="200">
        <f t="shared" ca="1" si="78"/>
        <v>0</v>
      </c>
      <c r="P210" s="200">
        <f t="shared" ca="1" si="78"/>
        <v>0</v>
      </c>
    </row>
    <row r="212" spans="2:16">
      <c r="B212" s="10"/>
      <c r="C212" s="10"/>
      <c r="D212" s="10"/>
      <c r="E212" s="10"/>
      <c r="F212" s="10"/>
      <c r="G212" s="223"/>
      <c r="H212" s="10"/>
      <c r="I212" s="10"/>
      <c r="J212" s="10"/>
      <c r="K212" s="10"/>
      <c r="L212" s="10"/>
      <c r="M212" s="10"/>
      <c r="N212" s="10"/>
      <c r="O212" s="10"/>
      <c r="P212" s="10"/>
    </row>
    <row r="215" spans="2:16">
      <c r="P215" s="136" t="str">
        <f>UPPER("currently running: "&amp;CHOOSE(Scenarios!$E$11,Scenarios!$D$19,Scenarios!$D$20,Scenarios!$D$21)&amp;" Scenarios")</f>
        <v>CURRENTLY RUNNING: BEST CASE SCENARIOS</v>
      </c>
    </row>
    <row r="216" spans="2:16" ht="22.8">
      <c r="B216" s="2" t="str">
        <f>$B$70</f>
        <v>ELIXIR EQUIPMENTS COMPANY</v>
      </c>
      <c r="C216" s="6"/>
      <c r="D216" s="6"/>
      <c r="E216" s="6"/>
      <c r="F216" s="6"/>
      <c r="G216" s="218"/>
      <c r="H216" s="6"/>
      <c r="I216" s="6"/>
      <c r="J216" s="6"/>
      <c r="K216" s="6"/>
      <c r="L216" s="6"/>
      <c r="M216" s="6"/>
      <c r="N216" s="6"/>
      <c r="O216" s="6"/>
      <c r="P216" s="6"/>
    </row>
    <row r="217" spans="2:16" ht="18.75" customHeight="1">
      <c r="B217" s="230" t="s">
        <v>153</v>
      </c>
      <c r="C217" s="130"/>
      <c r="D217" s="6"/>
      <c r="E217" s="6"/>
      <c r="F217" s="6"/>
      <c r="G217" s="218"/>
      <c r="H217" s="6"/>
      <c r="I217" s="6"/>
      <c r="J217" s="6"/>
      <c r="K217" s="6"/>
      <c r="L217" s="6"/>
      <c r="M217" s="6"/>
      <c r="N217" s="6"/>
      <c r="O217" s="6"/>
      <c r="P217" s="6"/>
    </row>
    <row r="218" spans="2:16" ht="5.0999999999999996" customHeight="1" thickBot="1">
      <c r="B218" s="129"/>
      <c r="C218" s="129"/>
      <c r="D218" s="129"/>
      <c r="E218" s="129"/>
      <c r="F218" s="129"/>
      <c r="G218" s="219"/>
      <c r="H218" s="129"/>
      <c r="I218" s="129"/>
      <c r="J218" s="129"/>
      <c r="K218" s="129"/>
      <c r="L218" s="129"/>
      <c r="M218" s="129"/>
      <c r="N218" s="129"/>
      <c r="O218" s="129"/>
      <c r="P218" s="129"/>
    </row>
    <row r="219" spans="2:16" ht="12" customHeight="1">
      <c r="B219" s="5" t="s">
        <v>59</v>
      </c>
    </row>
    <row r="220" spans="2:16" ht="12" customHeight="1">
      <c r="B220" s="5"/>
    </row>
    <row r="221" spans="2:16" ht="13.8" thickBot="1">
      <c r="H221" s="6"/>
      <c r="L221" s="129" t="s">
        <v>212</v>
      </c>
      <c r="M221" s="129"/>
      <c r="N221" s="129"/>
      <c r="O221" s="129"/>
      <c r="P221" s="129"/>
    </row>
    <row r="222" spans="2:16">
      <c r="H222" s="12"/>
      <c r="I222" s="77">
        <v>2018</v>
      </c>
      <c r="J222" s="77">
        <f>I222+1</f>
        <v>2019</v>
      </c>
      <c r="K222" s="77">
        <f>J222+1</f>
        <v>2020</v>
      </c>
      <c r="L222" s="77">
        <f>K222+1</f>
        <v>2021</v>
      </c>
      <c r="M222" s="77">
        <f t="shared" ref="M222" si="79">L222+1</f>
        <v>2022</v>
      </c>
      <c r="N222" s="77">
        <f t="shared" ref="N222" si="80">M222+1</f>
        <v>2023</v>
      </c>
      <c r="O222" s="77">
        <f t="shared" ref="O222" si="81">N222+1</f>
        <v>2024</v>
      </c>
      <c r="P222" s="77">
        <f t="shared" ref="P222" si="82">O222+1</f>
        <v>2025</v>
      </c>
    </row>
    <row r="224" spans="2:16">
      <c r="B224" s="14" t="s">
        <v>154</v>
      </c>
      <c r="C224" s="7"/>
      <c r="D224" s="7"/>
      <c r="E224" s="7"/>
      <c r="F224" s="168">
        <f>Assumptions!K29</f>
        <v>25</v>
      </c>
      <c r="G224" s="232" t="s">
        <v>215</v>
      </c>
    </row>
    <row r="225" spans="2:16">
      <c r="B225" s="18" t="s">
        <v>155</v>
      </c>
      <c r="C225" s="10"/>
      <c r="D225" s="10"/>
      <c r="E225" s="10"/>
      <c r="F225" s="56">
        <f>Assumptions!K30</f>
        <v>30</v>
      </c>
      <c r="G225" s="232" t="s">
        <v>215</v>
      </c>
    </row>
    <row r="226" spans="2:16">
      <c r="G226" s="232"/>
    </row>
    <row r="228" spans="2:16">
      <c r="B228" s="1" t="s">
        <v>156</v>
      </c>
      <c r="G228" s="232" t="s">
        <v>216</v>
      </c>
      <c r="L228" s="26">
        <f>$K$177/$F$224</f>
        <v>8.0959999999999983</v>
      </c>
      <c r="M228" s="26">
        <f>$K$177/$F$224</f>
        <v>8.0959999999999983</v>
      </c>
      <c r="N228" s="26">
        <f>$K$177/$F$224</f>
        <v>8.0959999999999983</v>
      </c>
      <c r="O228" s="26">
        <f>$K$177/$F$224</f>
        <v>8.0959999999999983</v>
      </c>
      <c r="P228" s="26">
        <f>$K$177/$F$224</f>
        <v>8.0959999999999983</v>
      </c>
    </row>
    <row r="229" spans="2:16">
      <c r="G229" s="232"/>
    </row>
    <row r="230" spans="2:16">
      <c r="B230" s="1" t="s">
        <v>217</v>
      </c>
      <c r="G230" s="232" t="s">
        <v>216</v>
      </c>
    </row>
    <row r="231" spans="2:16">
      <c r="D231" s="144">
        <f>L222</f>
        <v>2021</v>
      </c>
      <c r="E231" s="172">
        <f t="array" ref="E231:E235">TRANSPOSE(Assumptions!N56:R56)</f>
        <v>25</v>
      </c>
      <c r="G231" s="232" t="s">
        <v>216</v>
      </c>
      <c r="L231" s="75">
        <f>IF(L$222&lt;$D231, 0, IF(L$222=$D231, $E231/$F$225/2, $E231/$F$225))</f>
        <v>0.41666666666666669</v>
      </c>
      <c r="M231" s="75">
        <f>IF(M$222&lt;$D231, 0, IF(M$222=$D231, $E231/$F$225/2, $E231/$F$225))</f>
        <v>0.83333333333333337</v>
      </c>
      <c r="N231" s="75">
        <f>IF(N$222&lt;$D231, 0, IF(N$222=$D231, $E231/$F$225/2, $E231/$F$225))</f>
        <v>0.83333333333333337</v>
      </c>
      <c r="O231" s="75">
        <f>IF(O$222&lt;$D231, 0, IF(O$222=$D231, $E231/$F$225/2, $E231/$F$225))</f>
        <v>0.83333333333333337</v>
      </c>
      <c r="P231" s="75">
        <f>IF(P$222&lt;$D231, 0, IF(P$222=$D231, $E231/$F$225/2, $E231/$F$225))</f>
        <v>0.83333333333333337</v>
      </c>
    </row>
    <row r="232" spans="2:16">
      <c r="D232" s="144">
        <f>D231+1</f>
        <v>2022</v>
      </c>
      <c r="E232" s="173">
        <v>25</v>
      </c>
      <c r="G232" s="232" t="s">
        <v>216</v>
      </c>
      <c r="L232" s="75"/>
      <c r="M232" s="75">
        <f>IF(M$222&lt;$D232, 0, IF(M$222=$D232, $E232/$F$225/2, $E232/$F$225))</f>
        <v>0.41666666666666669</v>
      </c>
      <c r="N232" s="75">
        <f>IF(N$222&lt;$D232, 0, IF(N$222=$D232, $E232/$F$225/2, $E232/$F$225))</f>
        <v>0.83333333333333337</v>
      </c>
      <c r="O232" s="75">
        <f>IF(O$222&lt;$D232, 0, IF(O$222=$D232, $E232/$F$225/2, $E232/$F$225))</f>
        <v>0.83333333333333337</v>
      </c>
      <c r="P232" s="75">
        <f>IF(P$222&lt;$D232, 0, IF(P$222=$D232, $E232/$F$225/2, $E232/$F$225))</f>
        <v>0.83333333333333337</v>
      </c>
    </row>
    <row r="233" spans="2:16">
      <c r="D233" s="144">
        <f t="shared" ref="D233:D235" si="83">D232+1</f>
        <v>2023</v>
      </c>
      <c r="E233" s="173">
        <v>20</v>
      </c>
      <c r="G233" s="232" t="s">
        <v>216</v>
      </c>
      <c r="L233" s="75"/>
      <c r="M233" s="75"/>
      <c r="N233" s="75">
        <f>IF(N$222&lt;$D233, 0, IF(N$222=$D233, $E233/$F$225/2, $E233/$F$225))</f>
        <v>0.33333333333333331</v>
      </c>
      <c r="O233" s="75">
        <f>IF(O$222&lt;$D233, 0, IF(O$222=$D233, $E233/$F$225/2, $E233/$F$225))</f>
        <v>0.66666666666666663</v>
      </c>
      <c r="P233" s="75">
        <f>IF(P$222&lt;$D233, 0, IF(P$222=$D233, $E233/$F$225/2, $E233/$F$225))</f>
        <v>0.66666666666666663</v>
      </c>
    </row>
    <row r="234" spans="2:16">
      <c r="D234" s="144">
        <f t="shared" si="83"/>
        <v>2024</v>
      </c>
      <c r="E234" s="173">
        <v>20</v>
      </c>
      <c r="G234" s="232" t="s">
        <v>216</v>
      </c>
      <c r="L234" s="75"/>
      <c r="M234" s="75"/>
      <c r="N234" s="75"/>
      <c r="O234" s="75">
        <f>IF(O$222&lt;$D234, 0, IF(O$222=$D234, $E234/$F$225/2, $E234/$F$225))</f>
        <v>0.33333333333333331</v>
      </c>
      <c r="P234" s="75">
        <f>IF(P$222&lt;$D234, 0, IF(P$222=$D234, $E234/$F$225/2, $E234/$F$225))</f>
        <v>0.66666666666666663</v>
      </c>
    </row>
    <row r="235" spans="2:16">
      <c r="D235" s="144">
        <f t="shared" si="83"/>
        <v>2025</v>
      </c>
      <c r="E235" s="174">
        <v>20</v>
      </c>
      <c r="G235" s="232" t="s">
        <v>216</v>
      </c>
      <c r="L235" s="75"/>
      <c r="M235" s="75"/>
      <c r="N235" s="75"/>
      <c r="O235" s="75"/>
      <c r="P235" s="75">
        <f>IF(P$222&lt;$D235, 0, IF(P$222=$D235, $E235/$F$225/2, $E235/$F$225))</f>
        <v>0.33333333333333331</v>
      </c>
    </row>
    <row r="236" spans="2:16">
      <c r="G236" s="232"/>
    </row>
    <row r="237" spans="2:16" s="11" customFormat="1" ht="13.8" thickBot="1">
      <c r="B237" s="11" t="s">
        <v>158</v>
      </c>
      <c r="G237" s="233"/>
      <c r="L237" s="154">
        <f>SUM(L228:L236)</f>
        <v>8.5126666666666644</v>
      </c>
      <c r="M237" s="154">
        <f t="shared" ref="M237:P237" si="84">SUM(M228:M236)</f>
        <v>9.3459999999999983</v>
      </c>
      <c r="N237" s="154">
        <f t="shared" si="84"/>
        <v>10.096</v>
      </c>
      <c r="O237" s="154">
        <f t="shared" si="84"/>
        <v>10.762666666666666</v>
      </c>
      <c r="P237" s="154">
        <f t="shared" si="84"/>
        <v>11.429333333333332</v>
      </c>
    </row>
    <row r="238" spans="2:16" ht="13.8" thickTop="1"/>
    <row r="239" spans="2:16">
      <c r="B239" s="1" t="s">
        <v>218</v>
      </c>
    </row>
    <row r="240" spans="2:16">
      <c r="C240" s="1" t="s">
        <v>219</v>
      </c>
      <c r="K240" s="151"/>
      <c r="L240" s="151">
        <f>K243</f>
        <v>202.39999999999998</v>
      </c>
      <c r="M240" s="151">
        <f t="shared" ref="M240:P240" si="85">L243</f>
        <v>218.88733333333332</v>
      </c>
      <c r="N240" s="151">
        <f t="shared" si="85"/>
        <v>234.54133333333331</v>
      </c>
      <c r="O240" s="151">
        <f t="shared" si="85"/>
        <v>244.44533333333331</v>
      </c>
      <c r="P240" s="151">
        <f t="shared" si="85"/>
        <v>253.68266666666668</v>
      </c>
    </row>
    <row r="241" spans="2:16">
      <c r="C241" s="1" t="s">
        <v>201</v>
      </c>
      <c r="K241" s="151"/>
      <c r="L241" s="151">
        <f>Assumptions!N56</f>
        <v>25</v>
      </c>
      <c r="M241" s="151">
        <f>Assumptions!O56</f>
        <v>25</v>
      </c>
      <c r="N241" s="151">
        <f>Assumptions!P56</f>
        <v>20</v>
      </c>
      <c r="O241" s="151">
        <f>Assumptions!Q56</f>
        <v>20</v>
      </c>
      <c r="P241" s="151">
        <f>Assumptions!R56</f>
        <v>20</v>
      </c>
    </row>
    <row r="242" spans="2:16">
      <c r="C242" s="1" t="s">
        <v>220</v>
      </c>
      <c r="K242" s="151"/>
      <c r="L242" s="151">
        <f>-L237</f>
        <v>-8.5126666666666644</v>
      </c>
      <c r="M242" s="151">
        <f t="shared" ref="M242:P242" si="86">-M237</f>
        <v>-9.3459999999999983</v>
      </c>
      <c r="N242" s="151">
        <f t="shared" si="86"/>
        <v>-10.096</v>
      </c>
      <c r="O242" s="151">
        <f t="shared" si="86"/>
        <v>-10.762666666666666</v>
      </c>
      <c r="P242" s="151">
        <f t="shared" si="86"/>
        <v>-11.429333333333332</v>
      </c>
    </row>
    <row r="243" spans="2:16" ht="13.8" thickBot="1">
      <c r="C243" s="1" t="s">
        <v>196</v>
      </c>
      <c r="K243" s="260">
        <f>K177</f>
        <v>202.39999999999998</v>
      </c>
      <c r="L243" s="243">
        <f>SUM(L240:L242)</f>
        <v>218.88733333333332</v>
      </c>
      <c r="M243" s="243">
        <f t="shared" ref="M243:P243" si="87">SUM(M240:M242)</f>
        <v>234.54133333333331</v>
      </c>
      <c r="N243" s="243">
        <f t="shared" si="87"/>
        <v>244.44533333333331</v>
      </c>
      <c r="O243" s="243">
        <f t="shared" si="87"/>
        <v>253.68266666666668</v>
      </c>
      <c r="P243" s="243">
        <f t="shared" si="87"/>
        <v>262.25333333333339</v>
      </c>
    </row>
    <row r="244" spans="2:16" ht="13.8" thickTop="1">
      <c r="B244" s="10"/>
      <c r="C244" s="10"/>
      <c r="D244" s="10"/>
      <c r="E244" s="10"/>
      <c r="F244" s="10"/>
      <c r="G244" s="223"/>
      <c r="H244" s="10"/>
      <c r="I244" s="10"/>
      <c r="J244" s="10"/>
      <c r="K244" s="10"/>
      <c r="L244" s="10"/>
      <c r="M244" s="10"/>
      <c r="N244" s="10"/>
      <c r="O244" s="10"/>
      <c r="P244" s="10"/>
    </row>
    <row r="248" spans="2:16">
      <c r="P248" s="136" t="str">
        <f>UPPER("currently running: "&amp;CHOOSE(Scenarios!$E$11,Scenarios!$D$19,Scenarios!$D$20,Scenarios!$D$21)&amp;" Scenarios")</f>
        <v>CURRENTLY RUNNING: BEST CASE SCENARIOS</v>
      </c>
    </row>
    <row r="249" spans="2:16" ht="22.8">
      <c r="B249" s="2" t="str">
        <f>Cover!$C$11</f>
        <v>ELIXIR EQUIPMENTS COMPANY</v>
      </c>
      <c r="C249" s="6"/>
      <c r="D249" s="6"/>
      <c r="E249" s="6"/>
      <c r="F249" s="6"/>
      <c r="G249" s="218"/>
      <c r="H249" s="6"/>
      <c r="I249" s="6"/>
      <c r="J249" s="6"/>
      <c r="K249" s="6"/>
      <c r="L249" s="6"/>
      <c r="M249" s="6"/>
      <c r="N249" s="6"/>
      <c r="O249" s="6"/>
      <c r="P249" s="6"/>
    </row>
    <row r="250" spans="2:16" ht="19.5" customHeight="1">
      <c r="B250" s="230" t="s">
        <v>138</v>
      </c>
      <c r="C250" s="130"/>
      <c r="D250" s="6"/>
      <c r="E250" s="6"/>
      <c r="F250" s="6"/>
      <c r="G250" s="218"/>
      <c r="H250" s="6"/>
      <c r="I250" s="6"/>
      <c r="J250" s="6"/>
      <c r="K250" s="6"/>
      <c r="L250" s="6"/>
      <c r="M250" s="6"/>
      <c r="N250" s="6"/>
      <c r="O250" s="6"/>
      <c r="P250" s="6"/>
    </row>
    <row r="251" spans="2:16" ht="6" customHeight="1" thickBot="1">
      <c r="B251" s="129"/>
      <c r="C251" s="129"/>
      <c r="D251" s="129"/>
      <c r="E251" s="129"/>
      <c r="F251" s="129"/>
      <c r="G251" s="219"/>
      <c r="H251" s="129"/>
      <c r="I251" s="129"/>
      <c r="J251" s="129"/>
      <c r="K251" s="129"/>
      <c r="L251" s="129"/>
      <c r="M251" s="129"/>
      <c r="N251" s="129"/>
      <c r="O251" s="129"/>
      <c r="P251" s="129"/>
    </row>
    <row r="252" spans="2:16">
      <c r="B252" s="5" t="s">
        <v>59</v>
      </c>
    </row>
    <row r="253" spans="2:16">
      <c r="B253" s="5"/>
    </row>
    <row r="254" spans="2:16" ht="13.8" thickBot="1">
      <c r="H254" s="6"/>
      <c r="L254" s="129" t="s">
        <v>212</v>
      </c>
      <c r="M254" s="129"/>
      <c r="N254" s="129"/>
      <c r="O254" s="129"/>
      <c r="P254" s="129"/>
    </row>
    <row r="255" spans="2:16">
      <c r="G255" s="220" t="s">
        <v>76</v>
      </c>
      <c r="H255" s="12"/>
      <c r="I255" s="77">
        <v>2018</v>
      </c>
      <c r="J255" s="77">
        <f>I255+1</f>
        <v>2019</v>
      </c>
      <c r="K255" s="77">
        <f>J255+1</f>
        <v>2020</v>
      </c>
      <c r="L255" s="77">
        <f>K255+1</f>
        <v>2021</v>
      </c>
      <c r="M255" s="77">
        <f t="shared" ref="M255" si="88">L255+1</f>
        <v>2022</v>
      </c>
      <c r="N255" s="77">
        <f t="shared" ref="N255" si="89">M255+1</f>
        <v>2023</v>
      </c>
      <c r="O255" s="77">
        <f t="shared" ref="O255" si="90">N255+1</f>
        <v>2024</v>
      </c>
      <c r="P255" s="77">
        <f t="shared" ref="P255" si="91">O255+1</f>
        <v>2025</v>
      </c>
    </row>
    <row r="256" spans="2:16">
      <c r="H256" s="12"/>
      <c r="I256" s="77"/>
      <c r="J256" s="77"/>
      <c r="K256" s="77"/>
      <c r="L256" s="77"/>
      <c r="M256" s="77"/>
      <c r="N256" s="77"/>
      <c r="O256" s="77"/>
      <c r="P256" s="77"/>
    </row>
    <row r="257" spans="2:16">
      <c r="H257" s="12"/>
      <c r="I257" s="77"/>
      <c r="J257" s="77"/>
      <c r="K257" s="77"/>
      <c r="L257" s="77"/>
      <c r="M257" s="77"/>
      <c r="N257" s="77"/>
      <c r="O257" s="77"/>
      <c r="P257" s="77"/>
    </row>
    <row r="258" spans="2:16" s="11" customFormat="1">
      <c r="B258" s="11" t="s">
        <v>139</v>
      </c>
      <c r="G258" s="221"/>
      <c r="J258" s="145">
        <f>DATE(J255,12,31)-DATE(I255,12,31)</f>
        <v>365</v>
      </c>
      <c r="K258" s="145">
        <f t="shared" ref="K258:P258" si="92">DATE(K255,12,31)-DATE(J255,12,31)</f>
        <v>366</v>
      </c>
      <c r="L258" s="145">
        <f t="shared" si="92"/>
        <v>365</v>
      </c>
      <c r="M258" s="145">
        <f t="shared" si="92"/>
        <v>365</v>
      </c>
      <c r="N258" s="145">
        <f t="shared" si="92"/>
        <v>365</v>
      </c>
      <c r="O258" s="145">
        <f t="shared" si="92"/>
        <v>366</v>
      </c>
      <c r="P258" s="145">
        <f t="shared" si="92"/>
        <v>365</v>
      </c>
    </row>
    <row r="259" spans="2:16" s="11" customFormat="1">
      <c r="G259" s="221"/>
      <c r="J259" s="145"/>
      <c r="K259" s="145"/>
      <c r="L259" s="145"/>
      <c r="M259" s="145"/>
      <c r="N259" s="145"/>
      <c r="O259" s="145"/>
      <c r="P259" s="145"/>
    </row>
    <row r="260" spans="2:16" s="11" customFormat="1">
      <c r="B260" s="141" t="s">
        <v>131</v>
      </c>
      <c r="C260" s="138"/>
      <c r="D260" s="138"/>
      <c r="E260" s="138"/>
      <c r="F260" s="138"/>
      <c r="G260" s="228"/>
      <c r="H260" s="138"/>
      <c r="I260" s="138"/>
      <c r="J260" s="146">
        <f>J83</f>
        <v>132</v>
      </c>
      <c r="K260" s="146">
        <f>K83</f>
        <v>139.5</v>
      </c>
      <c r="L260" s="146">
        <f>L83</f>
        <v>156.80875326036332</v>
      </c>
      <c r="M260" s="146">
        <f>M83</f>
        <v>166.86732420429669</v>
      </c>
      <c r="N260" s="146">
        <f>N83</f>
        <v>177.53932772838536</v>
      </c>
      <c r="O260" s="146">
        <f>O83</f>
        <v>186.14321902892499</v>
      </c>
      <c r="P260" s="147">
        <f>P83</f>
        <v>189.35547621921427</v>
      </c>
    </row>
    <row r="261" spans="2:16">
      <c r="B261" s="142" t="s">
        <v>144</v>
      </c>
      <c r="C261" s="10"/>
      <c r="D261" s="10"/>
      <c r="E261" s="10"/>
      <c r="F261" s="10"/>
      <c r="G261" s="223"/>
      <c r="H261" s="10"/>
      <c r="I261" s="10"/>
      <c r="J261" s="148">
        <f>J85</f>
        <v>78.099999999999994</v>
      </c>
      <c r="K261" s="148">
        <f>K85</f>
        <v>80.3</v>
      </c>
      <c r="L261" s="148">
        <f>L85</f>
        <v>83.536090000000002</v>
      </c>
      <c r="M261" s="148">
        <f>M85</f>
        <v>86.951742845000012</v>
      </c>
      <c r="N261" s="148">
        <f>N85</f>
        <v>90.557659881122504</v>
      </c>
      <c r="O261" s="148">
        <f>O85</f>
        <v>93.225666734680345</v>
      </c>
      <c r="P261" s="149">
        <f>P85</f>
        <v>94.157923402027137</v>
      </c>
    </row>
    <row r="263" spans="2:16">
      <c r="B263" s="11" t="s">
        <v>143</v>
      </c>
    </row>
    <row r="264" spans="2:16">
      <c r="D264" s="1" t="s">
        <v>27</v>
      </c>
      <c r="J264" s="26">
        <f>J271/J$260*J$258</f>
        <v>61.109848484848492</v>
      </c>
      <c r="K264" s="26">
        <f>K271/K$260*K$258</f>
        <v>59.032258064516128</v>
      </c>
      <c r="L264" s="153">
        <f>Assumptions!N63</f>
        <v>55.95162512218964</v>
      </c>
      <c r="M264" s="153">
        <f>Assumptions!O63</f>
        <v>55.95162512218964</v>
      </c>
      <c r="N264" s="153">
        <f>Assumptions!P63</f>
        <v>55.95162512218964</v>
      </c>
      <c r="O264" s="153">
        <f>Assumptions!Q63</f>
        <v>55.95162512218964</v>
      </c>
      <c r="P264" s="153">
        <f>Assumptions!R63</f>
        <v>55.95162512218964</v>
      </c>
    </row>
    <row r="265" spans="2:16">
      <c r="D265" s="1" t="s">
        <v>63</v>
      </c>
      <c r="J265" s="75">
        <f>J272/J$261*J$258</f>
        <v>70.102432778489117</v>
      </c>
      <c r="K265" s="75">
        <f>K272/K$261*K$258</f>
        <v>74.293897882938978</v>
      </c>
      <c r="L265" s="153">
        <f>Assumptions!N64</f>
        <v>65.964078368091492</v>
      </c>
      <c r="M265" s="153">
        <f>Assumptions!O64</f>
        <v>65.964078368091492</v>
      </c>
      <c r="N265" s="153">
        <f>Assumptions!P64</f>
        <v>65.964078368091492</v>
      </c>
      <c r="O265" s="153">
        <f>Assumptions!Q64</f>
        <v>65.964078368091492</v>
      </c>
      <c r="P265" s="153">
        <f>Assumptions!R64</f>
        <v>65.964078368091492</v>
      </c>
    </row>
    <row r="266" spans="2:16">
      <c r="D266" s="1" t="s">
        <v>142</v>
      </c>
      <c r="J266" s="75">
        <f t="shared" ref="J266:K268" si="93">J273/J$261*J$258</f>
        <v>21.965428937259926</v>
      </c>
      <c r="K266" s="75">
        <f t="shared" si="93"/>
        <v>21.877957658779579</v>
      </c>
      <c r="L266" s="153">
        <f>Assumptions!N65</f>
        <v>23.563196113167173</v>
      </c>
      <c r="M266" s="153">
        <f>Assumptions!O65</f>
        <v>23.563196113167173</v>
      </c>
      <c r="N266" s="153">
        <f>Assumptions!P65</f>
        <v>23.563196113167173</v>
      </c>
      <c r="O266" s="153">
        <f>Assumptions!Q65</f>
        <v>23.563196113167173</v>
      </c>
      <c r="P266" s="153">
        <f>Assumptions!R65</f>
        <v>23.563196113167173</v>
      </c>
    </row>
    <row r="267" spans="2:16">
      <c r="D267" s="1" t="s">
        <v>37</v>
      </c>
      <c r="J267" s="75">
        <f t="shared" si="93"/>
        <v>90.198463508322675</v>
      </c>
      <c r="K267" s="75">
        <f t="shared" si="93"/>
        <v>96.171855541718571</v>
      </c>
      <c r="L267" s="153">
        <f>Assumptions!N66</f>
        <v>93.185159525020623</v>
      </c>
      <c r="M267" s="153">
        <f>Assumptions!O66</f>
        <v>93.185159525020623</v>
      </c>
      <c r="N267" s="153">
        <f>Assumptions!P66</f>
        <v>93.185159525020623</v>
      </c>
      <c r="O267" s="153">
        <f>Assumptions!Q66</f>
        <v>93.185159525020623</v>
      </c>
      <c r="P267" s="153">
        <f>Assumptions!R66</f>
        <v>93.185159525020623</v>
      </c>
    </row>
    <row r="268" spans="2:16">
      <c r="D268" s="1" t="s">
        <v>141</v>
      </c>
      <c r="J268" s="75">
        <f t="shared" si="93"/>
        <v>3.7387964148527533</v>
      </c>
      <c r="K268" s="75">
        <f t="shared" si="93"/>
        <v>2.7347447073474473</v>
      </c>
      <c r="L268" s="153">
        <f>Assumptions!N67</f>
        <v>3.2367705611001005</v>
      </c>
      <c r="M268" s="153">
        <f>Assumptions!O67</f>
        <v>3.2367705611001005</v>
      </c>
      <c r="N268" s="153">
        <f>Assumptions!P67</f>
        <v>3.2367705611001005</v>
      </c>
      <c r="O268" s="153">
        <f>Assumptions!Q67</f>
        <v>3.2367705611001005</v>
      </c>
      <c r="P268" s="153">
        <f>Assumptions!R67</f>
        <v>3.2367705611001005</v>
      </c>
    </row>
    <row r="270" spans="2:16">
      <c r="B270" s="11" t="s">
        <v>140</v>
      </c>
    </row>
    <row r="271" spans="2:16">
      <c r="D271" s="1" t="s">
        <v>27</v>
      </c>
      <c r="J271" s="101">
        <f>J172</f>
        <v>22.1</v>
      </c>
      <c r="K271" s="101">
        <f>K172</f>
        <v>22.5</v>
      </c>
      <c r="L271" s="75">
        <f>L264*L260/L258</f>
        <v>24.037546789867893</v>
      </c>
      <c r="M271" s="75">
        <f t="shared" ref="M271:P271" si="94">M264*M260/M258</f>
        <v>25.579446490470382</v>
      </c>
      <c r="N271" s="75">
        <f t="shared" si="94"/>
        <v>27.215380573984071</v>
      </c>
      <c r="O271" s="75">
        <f t="shared" si="94"/>
        <v>28.456326803672262</v>
      </c>
      <c r="P271" s="75">
        <f t="shared" si="94"/>
        <v>29.026703069181291</v>
      </c>
    </row>
    <row r="272" spans="2:16">
      <c r="D272" s="1" t="s">
        <v>63</v>
      </c>
      <c r="J272" s="101">
        <f>J173</f>
        <v>15</v>
      </c>
      <c r="K272" s="101">
        <f>K173</f>
        <v>16.3</v>
      </c>
      <c r="L272" s="75">
        <f>L265/L$258*L$261</f>
        <v>15.096934759791626</v>
      </c>
      <c r="M272" s="75">
        <f t="shared" ref="M272:P272" si="95">M265/M$258*M$261</f>
        <v>15.714223504848546</v>
      </c>
      <c r="N272" s="75">
        <f t="shared" si="95"/>
        <v>16.3658974609023</v>
      </c>
      <c r="O272" s="75">
        <f t="shared" si="95"/>
        <v>16.802036028426322</v>
      </c>
      <c r="P272" s="75">
        <f t="shared" si="95"/>
        <v>17.016549693885132</v>
      </c>
    </row>
    <row r="273" spans="2:16">
      <c r="D273" s="1" t="s">
        <v>142</v>
      </c>
      <c r="J273" s="101">
        <f>J174</f>
        <v>4.7</v>
      </c>
      <c r="K273" s="101">
        <f>K174</f>
        <v>4.8</v>
      </c>
      <c r="L273" s="75">
        <f>L266/L$258*L$261</f>
        <v>5.3928144416361183</v>
      </c>
      <c r="M273" s="75">
        <f t="shared" ref="L273:P275" si="96">M266/M$258*M$261</f>
        <v>5.6133177233929201</v>
      </c>
      <c r="N273" s="75">
        <f t="shared" si="96"/>
        <v>5.846103833776386</v>
      </c>
      <c r="O273" s="75">
        <f t="shared" si="96"/>
        <v>6.001898000136717</v>
      </c>
      <c r="P273" s="75">
        <f t="shared" si="96"/>
        <v>6.0785249718644883</v>
      </c>
    </row>
    <row r="274" spans="2:16">
      <c r="D274" s="1" t="s">
        <v>37</v>
      </c>
      <c r="J274" s="101">
        <f>J188</f>
        <v>19.3</v>
      </c>
      <c r="K274" s="101">
        <f>K188</f>
        <v>21.1</v>
      </c>
      <c r="L274" s="75">
        <f t="shared" si="96"/>
        <v>21.326914719853367</v>
      </c>
      <c r="M274" s="75">
        <f t="shared" si="96"/>
        <v>22.198937062986015</v>
      </c>
      <c r="N274" s="75">
        <f t="shared" si="96"/>
        <v>23.119534197903999</v>
      </c>
      <c r="O274" s="75">
        <f t="shared" si="96"/>
        <v>23.735651984966108</v>
      </c>
      <c r="P274" s="75">
        <f t="shared" si="96"/>
        <v>24.038687980171424</v>
      </c>
    </row>
    <row r="275" spans="2:16">
      <c r="D275" s="1" t="s">
        <v>141</v>
      </c>
      <c r="J275" s="101">
        <f>J189</f>
        <v>0.8</v>
      </c>
      <c r="K275" s="101">
        <f>K189</f>
        <v>0.6</v>
      </c>
      <c r="L275" s="75">
        <f t="shared" si="96"/>
        <v>0.74078673123673555</v>
      </c>
      <c r="M275" s="75">
        <f t="shared" si="96"/>
        <v>0.77107627801929401</v>
      </c>
      <c r="N275" s="75">
        <f t="shared" si="96"/>
        <v>0.80305306187762449</v>
      </c>
      <c r="O275" s="75">
        <f t="shared" si="96"/>
        <v>0.82445380772060728</v>
      </c>
      <c r="P275" s="75">
        <f>P268/P$258*P$261</f>
        <v>0.83497971112876612</v>
      </c>
    </row>
    <row r="277" spans="2:16" s="11" customFormat="1">
      <c r="B277" s="11" t="s">
        <v>159</v>
      </c>
      <c r="G277" s="221"/>
      <c r="J277" s="50">
        <f>SUM(J271:J273)-SUM(J274:J275)</f>
        <v>21.700000000000003</v>
      </c>
      <c r="K277" s="50">
        <f t="shared" ref="K277:P277" si="97">SUM(K271:K273)-SUM(K274:K275)</f>
        <v>21.899999999999991</v>
      </c>
      <c r="L277" s="50">
        <f t="shared" si="97"/>
        <v>22.459594540205536</v>
      </c>
      <c r="M277" s="50">
        <f t="shared" si="97"/>
        <v>23.936974377706537</v>
      </c>
      <c r="N277" s="50">
        <f t="shared" si="97"/>
        <v>25.504794608881127</v>
      </c>
      <c r="O277" s="50">
        <f t="shared" si="97"/>
        <v>26.700155039548587</v>
      </c>
      <c r="P277" s="50">
        <f t="shared" si="97"/>
        <v>27.248110043630717</v>
      </c>
    </row>
    <row r="279" spans="2:16" s="11" customFormat="1" ht="13.8" thickBot="1">
      <c r="B279" s="11" t="s">
        <v>160</v>
      </c>
      <c r="G279" s="221"/>
      <c r="J279" s="175"/>
      <c r="K279" s="247">
        <f>J277-K277</f>
        <v>-0.19999999999998863</v>
      </c>
      <c r="L279" s="247">
        <f t="shared" ref="L279:P279" si="98">K277-L277</f>
        <v>-0.55959454020554489</v>
      </c>
      <c r="M279" s="247">
        <f t="shared" si="98"/>
        <v>-1.477379837501001</v>
      </c>
      <c r="N279" s="247">
        <f t="shared" si="98"/>
        <v>-1.5678202311745899</v>
      </c>
      <c r="O279" s="247">
        <f t="shared" si="98"/>
        <v>-1.1953604306674599</v>
      </c>
      <c r="P279" s="247">
        <f t="shared" si="98"/>
        <v>-0.54795500408213016</v>
      </c>
    </row>
    <row r="280" spans="2:16" ht="13.8" thickTop="1">
      <c r="B280" s="10"/>
      <c r="C280" s="10"/>
      <c r="D280" s="10"/>
      <c r="E280" s="10"/>
      <c r="F280" s="10"/>
      <c r="G280" s="223"/>
      <c r="H280" s="10"/>
      <c r="I280" s="10"/>
      <c r="J280" s="10"/>
      <c r="K280" s="10"/>
      <c r="L280" s="10"/>
      <c r="M280" s="10"/>
      <c r="N280" s="10"/>
      <c r="O280" s="10"/>
      <c r="P280" s="10"/>
    </row>
    <row r="284" spans="2:16">
      <c r="P284" s="136" t="str">
        <f>UPPER("currently running: "&amp;CHOOSE(Scenarios!$E$11,Scenarios!$D$19,Scenarios!$D$20,Scenarios!$D$21)&amp;" Scenarios")</f>
        <v>CURRENTLY RUNNING: BEST CASE SCENARIOS</v>
      </c>
    </row>
    <row r="285" spans="2:16" ht="22.8">
      <c r="B285" s="2" t="str">
        <f>Cover!$C$11</f>
        <v>ELIXIR EQUIPMENTS COMPANY</v>
      </c>
      <c r="C285" s="6"/>
      <c r="D285" s="6"/>
      <c r="E285" s="6"/>
      <c r="F285" s="6"/>
      <c r="G285" s="218"/>
      <c r="H285" s="6"/>
      <c r="I285" s="6"/>
      <c r="J285" s="6"/>
      <c r="K285" s="6"/>
      <c r="L285" s="6"/>
      <c r="M285" s="6"/>
      <c r="N285" s="6"/>
      <c r="O285" s="6"/>
      <c r="P285" s="6"/>
    </row>
    <row r="286" spans="2:16" ht="16.5" customHeight="1">
      <c r="B286" s="230" t="s">
        <v>161</v>
      </c>
      <c r="C286" s="130"/>
      <c r="D286" s="6"/>
      <c r="E286" s="6"/>
      <c r="F286" s="6"/>
      <c r="G286" s="218"/>
      <c r="H286" s="6"/>
      <c r="I286" s="6"/>
      <c r="J286" s="6"/>
      <c r="K286" s="6"/>
      <c r="L286" s="6"/>
      <c r="M286" s="6"/>
      <c r="N286" s="6"/>
      <c r="O286" s="6"/>
      <c r="P286" s="6"/>
    </row>
    <row r="287" spans="2:16" ht="3.9" customHeight="1" thickBot="1">
      <c r="B287" s="129"/>
      <c r="C287" s="129"/>
      <c r="D287" s="129"/>
      <c r="E287" s="129"/>
      <c r="F287" s="129"/>
      <c r="G287" s="219"/>
      <c r="H287" s="129"/>
      <c r="I287" s="129"/>
      <c r="J287" s="129"/>
      <c r="K287" s="129"/>
      <c r="L287" s="129"/>
      <c r="M287" s="129"/>
      <c r="N287" s="129"/>
      <c r="O287" s="129"/>
      <c r="P287" s="129"/>
    </row>
    <row r="288" spans="2:16">
      <c r="B288" s="5" t="s">
        <v>59</v>
      </c>
    </row>
    <row r="289" spans="2:16">
      <c r="H289" s="6"/>
    </row>
    <row r="290" spans="2:16" ht="13.8" thickBot="1">
      <c r="H290" s="6"/>
      <c r="L290" s="129" t="s">
        <v>212</v>
      </c>
      <c r="M290" s="129"/>
      <c r="N290" s="129"/>
      <c r="O290" s="129"/>
      <c r="P290" s="129"/>
    </row>
    <row r="291" spans="2:16">
      <c r="G291" s="220" t="s">
        <v>76</v>
      </c>
      <c r="H291" s="12"/>
      <c r="I291" s="77">
        <v>2018</v>
      </c>
      <c r="J291" s="77">
        <f>I291+1</f>
        <v>2019</v>
      </c>
      <c r="K291" s="77">
        <f>J291+1</f>
        <v>2020</v>
      </c>
      <c r="L291" s="77">
        <f>K291+1</f>
        <v>2021</v>
      </c>
      <c r="M291" s="77">
        <f t="shared" ref="M291:P291" si="99">L291+1</f>
        <v>2022</v>
      </c>
      <c r="N291" s="77">
        <f t="shared" si="99"/>
        <v>2023</v>
      </c>
      <c r="O291" s="77">
        <f t="shared" si="99"/>
        <v>2024</v>
      </c>
      <c r="P291" s="77">
        <f t="shared" si="99"/>
        <v>2025</v>
      </c>
    </row>
    <row r="292" spans="2:16">
      <c r="H292" s="12"/>
      <c r="I292" s="77"/>
      <c r="J292" s="77"/>
      <c r="K292" s="77"/>
      <c r="L292" s="77"/>
      <c r="M292" s="77"/>
      <c r="N292" s="77"/>
      <c r="O292" s="77"/>
      <c r="P292" s="77"/>
    </row>
    <row r="293" spans="2:16">
      <c r="H293" s="12"/>
      <c r="I293" s="77"/>
      <c r="J293" s="77"/>
      <c r="K293" s="77"/>
      <c r="L293" s="77"/>
      <c r="M293" s="77"/>
      <c r="N293" s="77"/>
      <c r="O293" s="77"/>
      <c r="P293" s="77"/>
    </row>
    <row r="294" spans="2:16">
      <c r="D294" s="13" t="s">
        <v>162</v>
      </c>
      <c r="E294" s="178">
        <f>Assumptions!R7</f>
        <v>0.35</v>
      </c>
    </row>
    <row r="297" spans="2:16">
      <c r="D297" s="11" t="s">
        <v>163</v>
      </c>
      <c r="F297" s="11" t="s">
        <v>164</v>
      </c>
      <c r="L297" s="30">
        <f ca="1">L97</f>
        <v>49.025894164168442</v>
      </c>
      <c r="M297" s="30">
        <f ca="1">M97</f>
        <v>55.254494449166494</v>
      </c>
      <c r="N297" s="30">
        <f ca="1">N97</f>
        <v>62.386124513870698</v>
      </c>
      <c r="O297" s="30">
        <f ca="1">O97</f>
        <v>68.211852095311556</v>
      </c>
      <c r="P297" s="30">
        <f ca="1">P97</f>
        <v>70.377294959171309</v>
      </c>
    </row>
    <row r="298" spans="2:16">
      <c r="E298" s="1" t="s">
        <v>165</v>
      </c>
      <c r="L298" s="26">
        <f>Assumptions!N60</f>
        <v>20</v>
      </c>
      <c r="M298" s="26">
        <f>Assumptions!O60</f>
        <v>20</v>
      </c>
      <c r="N298" s="26">
        <f>Assumptions!P60</f>
        <v>20</v>
      </c>
      <c r="O298" s="26">
        <f>Assumptions!Q60</f>
        <v>20</v>
      </c>
      <c r="P298" s="26">
        <f>Assumptions!R60</f>
        <v>20</v>
      </c>
    </row>
    <row r="299" spans="2:16" s="11" customFormat="1">
      <c r="D299" s="11" t="s">
        <v>167</v>
      </c>
      <c r="F299" s="11" t="s">
        <v>168</v>
      </c>
      <c r="G299" s="221"/>
      <c r="L299" s="30">
        <f ca="1">L297-L298</f>
        <v>29.025894164168442</v>
      </c>
      <c r="M299" s="30">
        <f t="shared" ref="M299:P299" ca="1" si="100">M297-M298</f>
        <v>35.254494449166494</v>
      </c>
      <c r="N299" s="30">
        <f t="shared" ca="1" si="100"/>
        <v>42.386124513870698</v>
      </c>
      <c r="O299" s="30">
        <f t="shared" ca="1" si="100"/>
        <v>48.211852095311556</v>
      </c>
      <c r="P299" s="30">
        <f t="shared" ca="1" si="100"/>
        <v>50.377294959171309</v>
      </c>
    </row>
    <row r="300" spans="2:16">
      <c r="L300" s="26"/>
      <c r="M300" s="26"/>
      <c r="N300" s="26"/>
      <c r="O300" s="26"/>
      <c r="P300" s="26"/>
    </row>
    <row r="301" spans="2:16" s="11" customFormat="1">
      <c r="D301" s="11" t="s">
        <v>169</v>
      </c>
      <c r="G301" s="221"/>
      <c r="L301" s="30">
        <f ca="1">L297*$E$294</f>
        <v>17.159062957458953</v>
      </c>
      <c r="M301" s="30">
        <f t="shared" ref="M301:P301" ca="1" si="101">M297*$E$294</f>
        <v>19.339073057208271</v>
      </c>
      <c r="N301" s="30">
        <f t="shared" ca="1" si="101"/>
        <v>21.835143579854744</v>
      </c>
      <c r="O301" s="30">
        <f t="shared" ca="1" si="101"/>
        <v>23.874148233359044</v>
      </c>
      <c r="P301" s="30">
        <f t="shared" ca="1" si="101"/>
        <v>24.632053235709957</v>
      </c>
    </row>
    <row r="302" spans="2:16">
      <c r="L302" s="26"/>
      <c r="M302" s="26"/>
      <c r="N302" s="26"/>
      <c r="O302" s="26"/>
      <c r="P302" s="26"/>
    </row>
    <row r="303" spans="2:16">
      <c r="B303" s="14" t="s">
        <v>170</v>
      </c>
      <c r="C303" s="7"/>
      <c r="D303" s="7"/>
      <c r="E303" s="7"/>
      <c r="F303" s="7"/>
      <c r="G303" s="222"/>
      <c r="H303" s="7"/>
      <c r="I303" s="7"/>
      <c r="J303" s="7"/>
      <c r="K303" s="7"/>
      <c r="L303" s="201"/>
      <c r="M303" s="201"/>
      <c r="N303" s="201"/>
      <c r="O303" s="201"/>
      <c r="P303" s="244"/>
    </row>
    <row r="304" spans="2:16">
      <c r="B304" s="16"/>
      <c r="C304" s="1" t="s">
        <v>171</v>
      </c>
      <c r="L304" s="26">
        <f ca="1">L299*$E$294</f>
        <v>10.159062957458953</v>
      </c>
      <c r="M304" s="26">
        <f t="shared" ref="M304:P304" ca="1" si="102">M299*$E$294</f>
        <v>12.339073057208273</v>
      </c>
      <c r="N304" s="26">
        <f t="shared" ca="1" si="102"/>
        <v>14.835143579854742</v>
      </c>
      <c r="O304" s="26">
        <f t="shared" ca="1" si="102"/>
        <v>16.874148233359044</v>
      </c>
      <c r="P304" s="245">
        <f t="shared" ca="1" si="102"/>
        <v>17.632053235709957</v>
      </c>
    </row>
    <row r="305" spans="2:16">
      <c r="B305" s="16"/>
      <c r="C305" s="1" t="s">
        <v>12</v>
      </c>
      <c r="L305" s="26">
        <f ca="1">L301-L304</f>
        <v>7</v>
      </c>
      <c r="M305" s="26">
        <f t="shared" ref="M305:P305" ca="1" si="103">M301-M304</f>
        <v>6.9999999999999982</v>
      </c>
      <c r="N305" s="26">
        <f t="shared" ca="1" si="103"/>
        <v>7.0000000000000018</v>
      </c>
      <c r="O305" s="26">
        <f t="shared" ca="1" si="103"/>
        <v>7</v>
      </c>
      <c r="P305" s="245">
        <f t="shared" ca="1" si="103"/>
        <v>7</v>
      </c>
    </row>
    <row r="306" spans="2:16" s="11" customFormat="1" ht="13.8" thickBot="1">
      <c r="B306" s="179"/>
      <c r="C306" s="11" t="s">
        <v>13</v>
      </c>
      <c r="G306" s="221"/>
      <c r="L306" s="140">
        <f ca="1">L304+L305</f>
        <v>17.159062957458953</v>
      </c>
      <c r="M306" s="140">
        <f t="shared" ref="M306:P306" ca="1" si="104">M304+M305</f>
        <v>19.339073057208271</v>
      </c>
      <c r="N306" s="140">
        <f t="shared" ca="1" si="104"/>
        <v>21.835143579854744</v>
      </c>
      <c r="O306" s="140">
        <f t="shared" ca="1" si="104"/>
        <v>23.874148233359044</v>
      </c>
      <c r="P306" s="246">
        <f t="shared" ca="1" si="104"/>
        <v>24.632053235709957</v>
      </c>
    </row>
    <row r="307" spans="2:16" ht="13.8" thickTop="1">
      <c r="B307" s="18"/>
      <c r="C307" s="10"/>
      <c r="D307" s="10"/>
      <c r="E307" s="10"/>
      <c r="F307" s="10"/>
      <c r="G307" s="223"/>
      <c r="H307" s="10"/>
      <c r="I307" s="10"/>
      <c r="J307" s="10"/>
      <c r="K307" s="10"/>
      <c r="L307" s="215"/>
      <c r="M307" s="215"/>
      <c r="N307" s="215"/>
      <c r="O307" s="215"/>
      <c r="P307" s="216"/>
    </row>
    <row r="309" spans="2:16">
      <c r="B309" s="10"/>
      <c r="C309" s="10"/>
      <c r="D309" s="10"/>
      <c r="E309" s="10"/>
      <c r="F309" s="10"/>
      <c r="G309" s="223"/>
      <c r="H309" s="10"/>
      <c r="I309" s="10"/>
      <c r="J309" s="10"/>
      <c r="K309" s="10"/>
      <c r="L309" s="10"/>
      <c r="M309" s="10"/>
      <c r="N309" s="10"/>
      <c r="O309" s="10"/>
      <c r="P309" s="10"/>
    </row>
    <row r="313" spans="2:16">
      <c r="P313" s="136" t="str">
        <f>UPPER("currently running: "&amp;CHOOSE(Scenarios!$E$11,Scenarios!$D$19,Scenarios!$D$20,Scenarios!$D$21)&amp;" Scenarios")</f>
        <v>CURRENTLY RUNNING: BEST CASE SCENARIOS</v>
      </c>
    </row>
    <row r="314" spans="2:16" ht="22.8">
      <c r="B314" s="2" t="str">
        <f>$B$70</f>
        <v>ELIXIR EQUIPMENTS COMPANY</v>
      </c>
      <c r="C314" s="6"/>
      <c r="D314" s="6"/>
      <c r="E314" s="6"/>
      <c r="F314" s="6"/>
      <c r="G314" s="218"/>
      <c r="H314" s="6"/>
      <c r="I314" s="6"/>
      <c r="J314" s="6"/>
      <c r="K314" s="6"/>
      <c r="L314" s="6"/>
      <c r="M314" s="6"/>
      <c r="N314" s="6"/>
      <c r="O314" s="6"/>
      <c r="P314" s="6"/>
    </row>
    <row r="315" spans="2:16" ht="18.75" customHeight="1">
      <c r="B315" s="230" t="s">
        <v>173</v>
      </c>
      <c r="C315" s="130"/>
      <c r="D315" s="6"/>
      <c r="E315" s="6"/>
      <c r="F315" s="6"/>
      <c r="G315" s="218"/>
      <c r="H315" s="6"/>
      <c r="I315" s="6"/>
      <c r="J315" s="6"/>
      <c r="K315" s="6"/>
      <c r="L315" s="6"/>
      <c r="M315" s="6"/>
      <c r="N315" s="6"/>
      <c r="O315" s="6"/>
      <c r="P315" s="6"/>
    </row>
    <row r="316" spans="2:16" ht="5.0999999999999996" customHeight="1" thickBot="1">
      <c r="B316" s="129"/>
      <c r="C316" s="129"/>
      <c r="D316" s="129"/>
      <c r="E316" s="129"/>
      <c r="F316" s="129"/>
      <c r="G316" s="219"/>
      <c r="H316" s="129"/>
      <c r="I316" s="129"/>
      <c r="J316" s="129"/>
      <c r="K316" s="129"/>
      <c r="L316" s="129"/>
      <c r="M316" s="129"/>
      <c r="N316" s="129"/>
      <c r="O316" s="129"/>
      <c r="P316" s="129"/>
    </row>
    <row r="317" spans="2:16" ht="12" customHeight="1">
      <c r="B317" s="5" t="s">
        <v>59</v>
      </c>
    </row>
    <row r="318" spans="2:16" ht="12" customHeight="1">
      <c r="B318" s="5"/>
    </row>
    <row r="319" spans="2:16" ht="13.8" thickBot="1">
      <c r="H319" s="6"/>
      <c r="L319" s="129" t="s">
        <v>212</v>
      </c>
      <c r="M319" s="129"/>
      <c r="N319" s="129"/>
      <c r="O319" s="129"/>
      <c r="P319" s="129"/>
    </row>
    <row r="320" spans="2:16">
      <c r="H320" s="12"/>
      <c r="I320" s="77">
        <v>2018</v>
      </c>
      <c r="J320" s="77">
        <f>I320+1</f>
        <v>2019</v>
      </c>
      <c r="K320" s="77">
        <f>J320+1</f>
        <v>2020</v>
      </c>
      <c r="L320" s="77">
        <f>K320+1</f>
        <v>2021</v>
      </c>
      <c r="M320" s="77">
        <f t="shared" ref="M320:P320" si="105">L320+1</f>
        <v>2022</v>
      </c>
      <c r="N320" s="77">
        <f t="shared" si="105"/>
        <v>2023</v>
      </c>
      <c r="O320" s="77">
        <f t="shared" si="105"/>
        <v>2024</v>
      </c>
      <c r="P320" s="77">
        <f t="shared" si="105"/>
        <v>2025</v>
      </c>
    </row>
    <row r="322" spans="2:16">
      <c r="J322" s="26"/>
      <c r="K322" s="26"/>
      <c r="L322" s="26"/>
      <c r="M322" s="26"/>
      <c r="N322" s="26"/>
      <c r="O322" s="26"/>
      <c r="P322" s="26"/>
    </row>
    <row r="323" spans="2:16">
      <c r="J323" s="26"/>
      <c r="K323" s="26"/>
      <c r="L323" s="26"/>
      <c r="M323" s="26"/>
      <c r="N323" s="26"/>
      <c r="O323" s="26"/>
      <c r="P323" s="26"/>
    </row>
    <row r="324" spans="2:16">
      <c r="B324" s="11" t="s">
        <v>54</v>
      </c>
      <c r="J324" s="26"/>
      <c r="K324" s="26"/>
      <c r="L324" s="26"/>
      <c r="M324" s="26"/>
      <c r="N324" s="26"/>
      <c r="O324" s="26"/>
      <c r="P324" s="26"/>
    </row>
    <row r="325" spans="2:16">
      <c r="B325" s="11"/>
      <c r="C325" s="1" t="s">
        <v>183</v>
      </c>
      <c r="J325" s="26"/>
      <c r="K325" s="26"/>
      <c r="L325" s="26">
        <f>K327</f>
        <v>0</v>
      </c>
      <c r="M325" s="26">
        <f t="shared" ref="M325:P325" si="106">L327</f>
        <v>0</v>
      </c>
      <c r="N325" s="26">
        <f t="shared" si="106"/>
        <v>15</v>
      </c>
      <c r="O325" s="26">
        <f t="shared" si="106"/>
        <v>15</v>
      </c>
      <c r="P325" s="26">
        <f t="shared" si="106"/>
        <v>15</v>
      </c>
    </row>
    <row r="326" spans="2:16">
      <c r="C326" s="1" t="s">
        <v>184</v>
      </c>
      <c r="J326" s="26"/>
      <c r="K326" s="26"/>
      <c r="L326" s="210">
        <f>Assumptions!N70</f>
        <v>0</v>
      </c>
      <c r="M326" s="210">
        <f>Assumptions!O70</f>
        <v>15</v>
      </c>
      <c r="N326" s="210">
        <f>Assumptions!P70</f>
        <v>0</v>
      </c>
      <c r="O326" s="210">
        <f>Assumptions!Q70</f>
        <v>0</v>
      </c>
      <c r="P326" s="210">
        <f>Assumptions!R70</f>
        <v>0</v>
      </c>
    </row>
    <row r="327" spans="2:16">
      <c r="C327" s="1" t="s">
        <v>179</v>
      </c>
      <c r="J327" s="26"/>
      <c r="K327" s="33">
        <f>K200</f>
        <v>0</v>
      </c>
      <c r="L327" s="33">
        <f>L326+L325</f>
        <v>0</v>
      </c>
      <c r="M327" s="33">
        <f t="shared" ref="M327:P327" si="107">M326+M325</f>
        <v>15</v>
      </c>
      <c r="N327" s="33">
        <f t="shared" si="107"/>
        <v>15</v>
      </c>
      <c r="O327" s="33">
        <f t="shared" si="107"/>
        <v>15</v>
      </c>
      <c r="P327" s="33">
        <f t="shared" si="107"/>
        <v>15</v>
      </c>
    </row>
    <row r="328" spans="2:16">
      <c r="J328" s="26"/>
      <c r="K328" s="26"/>
      <c r="L328" s="26"/>
      <c r="M328" s="26"/>
      <c r="N328" s="26"/>
      <c r="O328" s="26"/>
      <c r="P328" s="26"/>
    </row>
    <row r="329" spans="2:16">
      <c r="C329" s="1" t="s">
        <v>180</v>
      </c>
      <c r="J329" s="26"/>
      <c r="K329" s="26"/>
      <c r="L329" s="26"/>
      <c r="M329" s="261">
        <f>Assumptions!R23</f>
        <v>0.08</v>
      </c>
      <c r="N329" s="262">
        <f>M329</f>
        <v>0.08</v>
      </c>
      <c r="O329" s="262">
        <f t="shared" ref="O329:P329" si="108">N329</f>
        <v>0.08</v>
      </c>
      <c r="P329" s="262">
        <f t="shared" si="108"/>
        <v>0.08</v>
      </c>
    </row>
    <row r="330" spans="2:16" ht="13.8" thickBot="1">
      <c r="C330" s="11" t="s">
        <v>52</v>
      </c>
      <c r="J330" s="26"/>
      <c r="K330" s="26"/>
      <c r="L330" s="140">
        <f>L327</f>
        <v>0</v>
      </c>
      <c r="M330" s="140">
        <f>M329*M327</f>
        <v>1.2</v>
      </c>
      <c r="N330" s="140">
        <f t="shared" ref="N330:P330" si="109">N329*N327</f>
        <v>1.2</v>
      </c>
      <c r="O330" s="140">
        <f t="shared" si="109"/>
        <v>1.2</v>
      </c>
      <c r="P330" s="140">
        <f t="shared" si="109"/>
        <v>1.2</v>
      </c>
    </row>
    <row r="331" spans="2:16" ht="13.8" thickTop="1">
      <c r="C331" s="11"/>
      <c r="J331" s="26"/>
      <c r="K331" s="26"/>
      <c r="L331" s="26"/>
      <c r="M331" s="26"/>
      <c r="N331" s="26"/>
      <c r="O331" s="26"/>
      <c r="P331" s="26"/>
    </row>
    <row r="332" spans="2:16">
      <c r="J332" s="26"/>
      <c r="K332" s="26"/>
      <c r="L332" s="26"/>
      <c r="M332" s="26"/>
      <c r="N332" s="26"/>
      <c r="O332" s="26"/>
      <c r="P332" s="26"/>
    </row>
    <row r="333" spans="2:16">
      <c r="B333" s="11" t="s">
        <v>174</v>
      </c>
      <c r="J333" s="26"/>
      <c r="K333" s="26"/>
      <c r="L333" s="26"/>
      <c r="M333" s="26"/>
      <c r="N333" s="26"/>
      <c r="O333" s="26"/>
      <c r="P333" s="26"/>
    </row>
    <row r="334" spans="2:16">
      <c r="B334" s="11"/>
      <c r="C334" s="1" t="s">
        <v>183</v>
      </c>
      <c r="J334" s="26"/>
      <c r="K334" s="26"/>
      <c r="L334" s="26">
        <f>K336</f>
        <v>63.7</v>
      </c>
      <c r="M334" s="26">
        <f t="shared" ref="M334:P334" si="110">L336</f>
        <v>33.700000000000003</v>
      </c>
      <c r="N334" s="26">
        <f t="shared" si="110"/>
        <v>33.700000000000003</v>
      </c>
      <c r="O334" s="26">
        <f t="shared" si="110"/>
        <v>33.700000000000003</v>
      </c>
      <c r="P334" s="26">
        <f t="shared" si="110"/>
        <v>33.700000000000003</v>
      </c>
    </row>
    <row r="335" spans="2:16">
      <c r="C335" s="1" t="s">
        <v>221</v>
      </c>
      <c r="J335" s="26"/>
      <c r="K335" s="26"/>
      <c r="L335" s="151">
        <f>-Assumptions!N71</f>
        <v>-30</v>
      </c>
      <c r="M335" s="151">
        <f>-Assumptions!O71</f>
        <v>0</v>
      </c>
      <c r="N335" s="151">
        <f>-Assumptions!P71</f>
        <v>0</v>
      </c>
      <c r="O335" s="151">
        <f>-Assumptions!Q71</f>
        <v>0</v>
      </c>
      <c r="P335" s="151">
        <f>-Assumptions!R71</f>
        <v>0</v>
      </c>
    </row>
    <row r="336" spans="2:16" s="11" customFormat="1">
      <c r="C336" s="11" t="s">
        <v>179</v>
      </c>
      <c r="G336" s="221"/>
      <c r="J336" s="30"/>
      <c r="K336" s="33">
        <f>K201</f>
        <v>63.7</v>
      </c>
      <c r="L336" s="33">
        <f>L334+L335</f>
        <v>33.700000000000003</v>
      </c>
      <c r="M336" s="33">
        <f t="shared" ref="M336:P336" si="111">M334+M335</f>
        <v>33.700000000000003</v>
      </c>
      <c r="N336" s="33">
        <f t="shared" si="111"/>
        <v>33.700000000000003</v>
      </c>
      <c r="O336" s="33">
        <f t="shared" si="111"/>
        <v>33.700000000000003</v>
      </c>
      <c r="P336" s="33">
        <f t="shared" si="111"/>
        <v>33.700000000000003</v>
      </c>
    </row>
    <row r="337" spans="2:16" s="11" customFormat="1">
      <c r="G337" s="221"/>
      <c r="J337" s="30"/>
      <c r="K337" s="30"/>
      <c r="L337" s="30"/>
      <c r="M337" s="30"/>
      <c r="N337" s="30"/>
      <c r="O337" s="30"/>
      <c r="P337" s="30"/>
    </row>
    <row r="338" spans="2:16" s="11" customFormat="1">
      <c r="C338" s="1" t="s">
        <v>185</v>
      </c>
      <c r="G338" s="221"/>
      <c r="J338" s="30"/>
      <c r="K338" s="30"/>
      <c r="L338" s="26">
        <f>Assumptions!R26</f>
        <v>0.2</v>
      </c>
      <c r="M338" s="26">
        <f>L338</f>
        <v>0.2</v>
      </c>
      <c r="N338" s="26">
        <f t="shared" ref="N338:P338" si="112">M338</f>
        <v>0.2</v>
      </c>
      <c r="O338" s="26">
        <f t="shared" si="112"/>
        <v>0.2</v>
      </c>
      <c r="P338" s="26">
        <f t="shared" si="112"/>
        <v>0.2</v>
      </c>
    </row>
    <row r="339" spans="2:16" s="11" customFormat="1">
      <c r="C339" s="1" t="s">
        <v>14</v>
      </c>
      <c r="G339" s="221"/>
      <c r="J339" s="30"/>
      <c r="K339" s="30"/>
      <c r="L339" s="26">
        <f ca="1">L106</f>
        <v>31.866831206709488</v>
      </c>
      <c r="M339" s="26">
        <f ca="1">M106</f>
        <v>34.715421391958216</v>
      </c>
      <c r="N339" s="26">
        <f ca="1">N106</f>
        <v>39.350980934015951</v>
      </c>
      <c r="O339" s="26">
        <f ca="1">O106</f>
        <v>43.137703861952509</v>
      </c>
      <c r="P339" s="26">
        <f ca="1">P106</f>
        <v>44.545241723461345</v>
      </c>
    </row>
    <row r="340" spans="2:16" s="11" customFormat="1" ht="13.8" thickBot="1">
      <c r="C340" s="11" t="s">
        <v>186</v>
      </c>
      <c r="G340" s="221"/>
      <c r="J340" s="30"/>
      <c r="K340" s="30"/>
      <c r="L340" s="140">
        <f ca="1">L338*L339</f>
        <v>6.3733662413418983</v>
      </c>
      <c r="M340" s="140">
        <f t="shared" ref="M340:P340" ca="1" si="113">M338*M339</f>
        <v>6.9430842783916438</v>
      </c>
      <c r="N340" s="140">
        <f t="shared" ca="1" si="113"/>
        <v>7.8701961868031907</v>
      </c>
      <c r="O340" s="140">
        <f t="shared" ca="1" si="113"/>
        <v>8.6275407723905015</v>
      </c>
      <c r="P340" s="140">
        <f t="shared" ca="1" si="113"/>
        <v>8.9090483446922697</v>
      </c>
    </row>
    <row r="341" spans="2:16" s="11" customFormat="1" ht="13.8" thickTop="1">
      <c r="G341" s="221"/>
      <c r="J341" s="30"/>
      <c r="K341" s="30"/>
      <c r="L341" s="30"/>
      <c r="M341" s="30"/>
      <c r="N341" s="30"/>
      <c r="O341" s="30"/>
      <c r="P341" s="30"/>
    </row>
    <row r="342" spans="2:16">
      <c r="J342" s="26"/>
      <c r="K342" s="26"/>
      <c r="L342" s="26"/>
      <c r="M342" s="26"/>
      <c r="N342" s="26"/>
      <c r="O342" s="26"/>
      <c r="P342" s="26"/>
    </row>
    <row r="343" spans="2:16">
      <c r="B343" s="1" t="s">
        <v>175</v>
      </c>
      <c r="J343" s="26"/>
      <c r="K343" s="26"/>
      <c r="L343" s="26"/>
      <c r="M343" s="26"/>
      <c r="N343" s="26"/>
      <c r="O343" s="26"/>
      <c r="P343" s="26"/>
    </row>
    <row r="344" spans="2:16">
      <c r="C344" s="1" t="s">
        <v>183</v>
      </c>
      <c r="J344" s="26"/>
      <c r="K344" s="26"/>
      <c r="L344" s="26">
        <f>K348</f>
        <v>73.200000000000031</v>
      </c>
      <c r="M344" s="26">
        <f t="shared" ref="M344:P344" ca="1" si="114">L348</f>
        <v>98.693464965367625</v>
      </c>
      <c r="N344" s="26">
        <f t="shared" ca="1" si="114"/>
        <v>126.46580207893422</v>
      </c>
      <c r="O344" s="26">
        <f t="shared" ca="1" si="114"/>
        <v>157.94658682614698</v>
      </c>
      <c r="P344" s="26">
        <f t="shared" ca="1" si="114"/>
        <v>192.45674991570903</v>
      </c>
    </row>
    <row r="345" spans="2:16">
      <c r="C345" s="1" t="s">
        <v>14</v>
      </c>
      <c r="J345" s="26"/>
      <c r="K345" s="26"/>
      <c r="L345" s="26">
        <f ca="1">L103</f>
        <v>31.866831206709488</v>
      </c>
      <c r="M345" s="26">
        <f ca="1">M103</f>
        <v>35.915421391958219</v>
      </c>
      <c r="N345" s="26">
        <f ca="1">N103</f>
        <v>40.550980934015953</v>
      </c>
      <c r="O345" s="26">
        <f ca="1">O103</f>
        <v>44.337703861952512</v>
      </c>
      <c r="P345" s="26">
        <f ca="1">P103</f>
        <v>45.745241723461348</v>
      </c>
    </row>
    <row r="346" spans="2:16">
      <c r="C346" s="1" t="s">
        <v>176</v>
      </c>
      <c r="J346" s="26"/>
      <c r="K346" s="26"/>
      <c r="L346" s="26">
        <f>L330</f>
        <v>0</v>
      </c>
      <c r="M346" s="26">
        <f t="shared" ref="M346:P346" si="115">M330</f>
        <v>1.2</v>
      </c>
      <c r="N346" s="26">
        <f t="shared" si="115"/>
        <v>1.2</v>
      </c>
      <c r="O346" s="26">
        <f t="shared" si="115"/>
        <v>1.2</v>
      </c>
      <c r="P346" s="26">
        <f t="shared" si="115"/>
        <v>1.2</v>
      </c>
    </row>
    <row r="347" spans="2:16">
      <c r="C347" s="1" t="s">
        <v>177</v>
      </c>
      <c r="J347" s="26"/>
      <c r="K347" s="26"/>
      <c r="L347" s="26">
        <f ca="1">L340</f>
        <v>6.3733662413418983</v>
      </c>
      <c r="M347" s="26">
        <f t="shared" ref="M347:P347" ca="1" si="116">M340</f>
        <v>6.9430842783916438</v>
      </c>
      <c r="N347" s="26">
        <f t="shared" ca="1" si="116"/>
        <v>7.8701961868031907</v>
      </c>
      <c r="O347" s="26">
        <f t="shared" ca="1" si="116"/>
        <v>8.6275407723905015</v>
      </c>
      <c r="P347" s="26">
        <f t="shared" ca="1" si="116"/>
        <v>8.9090483446922697</v>
      </c>
    </row>
    <row r="348" spans="2:16" s="11" customFormat="1" ht="13.8" thickBot="1">
      <c r="C348" s="11" t="s">
        <v>178</v>
      </c>
      <c r="G348" s="221"/>
      <c r="J348" s="30"/>
      <c r="K348" s="140">
        <f>K202</f>
        <v>73.200000000000031</v>
      </c>
      <c r="L348" s="140">
        <f ca="1">L344+L345-L346-L347</f>
        <v>98.693464965367625</v>
      </c>
      <c r="M348" s="140">
        <f t="shared" ref="M348:P348" ca="1" si="117">M344+M345-M346-M347</f>
        <v>126.46580207893422</v>
      </c>
      <c r="N348" s="140">
        <f t="shared" ca="1" si="117"/>
        <v>157.94658682614698</v>
      </c>
      <c r="O348" s="140">
        <f t="shared" ca="1" si="117"/>
        <v>192.45674991570903</v>
      </c>
      <c r="P348" s="140">
        <f t="shared" ca="1" si="117"/>
        <v>228.09294329447812</v>
      </c>
    </row>
    <row r="349" spans="2:16" ht="13.8" thickTop="1">
      <c r="B349" s="10"/>
      <c r="C349" s="10"/>
      <c r="D349" s="10"/>
      <c r="E349" s="10"/>
      <c r="F349" s="10"/>
      <c r="G349" s="223"/>
      <c r="H349" s="10"/>
      <c r="I349" s="10"/>
      <c r="J349" s="215"/>
      <c r="K349" s="215"/>
      <c r="L349" s="215"/>
      <c r="M349" s="215"/>
      <c r="N349" s="215"/>
      <c r="O349" s="215"/>
      <c r="P349" s="215"/>
    </row>
    <row r="351" spans="2:16">
      <c r="P351" s="136" t="str">
        <f>UPPER("currently running: "&amp;CHOOSE(Scenarios!$E$11,Scenarios!$D$19,Scenarios!$D$20,Scenarios!$D$21)&amp;" Scenarios")</f>
        <v>CURRENTLY RUNNING: BEST CASE SCENARIOS</v>
      </c>
    </row>
    <row r="352" spans="2:16" ht="22.8">
      <c r="B352" s="2" t="str">
        <f>$B$70</f>
        <v>ELIXIR EQUIPMENTS COMPANY</v>
      </c>
      <c r="C352" s="6"/>
      <c r="D352" s="6"/>
      <c r="E352" s="6"/>
      <c r="F352" s="6"/>
      <c r="G352" s="218"/>
      <c r="H352" s="6"/>
      <c r="I352" s="6"/>
      <c r="J352" s="6"/>
      <c r="K352" s="6"/>
      <c r="L352" s="6"/>
      <c r="M352" s="6"/>
      <c r="N352" s="6"/>
      <c r="O352" s="6"/>
      <c r="P352" s="6"/>
    </row>
    <row r="353" spans="2:16" ht="18.75" customHeight="1">
      <c r="B353" s="230" t="s">
        <v>191</v>
      </c>
      <c r="C353" s="130"/>
      <c r="D353" s="6"/>
      <c r="E353" s="6"/>
      <c r="F353" s="6"/>
      <c r="G353" s="218"/>
      <c r="H353" s="6"/>
      <c r="I353" s="6"/>
      <c r="J353" s="6"/>
      <c r="K353" s="6"/>
      <c r="L353" s="6"/>
      <c r="M353" s="6"/>
      <c r="N353" s="6"/>
      <c r="O353" s="6"/>
      <c r="P353" s="6"/>
    </row>
    <row r="354" spans="2:16" ht="3.9" customHeight="1" thickBot="1">
      <c r="B354" s="129"/>
      <c r="C354" s="129"/>
      <c r="D354" s="129"/>
      <c r="E354" s="129"/>
      <c r="F354" s="129"/>
      <c r="G354" s="219"/>
      <c r="H354" s="129"/>
      <c r="I354" s="129"/>
      <c r="J354" s="129"/>
      <c r="K354" s="129"/>
      <c r="L354" s="129"/>
      <c r="M354" s="129"/>
      <c r="N354" s="129"/>
      <c r="O354" s="129"/>
      <c r="P354" s="129"/>
    </row>
    <row r="355" spans="2:16">
      <c r="B355" s="5" t="s">
        <v>59</v>
      </c>
    </row>
    <row r="356" spans="2:16">
      <c r="B356" s="5"/>
    </row>
    <row r="357" spans="2:16" ht="13.8" thickBot="1">
      <c r="H357" s="6"/>
      <c r="L357" s="129" t="s">
        <v>212</v>
      </c>
      <c r="M357" s="129"/>
      <c r="N357" s="129"/>
      <c r="O357" s="129"/>
      <c r="P357" s="129"/>
    </row>
    <row r="358" spans="2:16">
      <c r="H358" s="12"/>
      <c r="I358" s="77">
        <v>2018</v>
      </c>
      <c r="J358" s="77">
        <f>I358+1</f>
        <v>2019</v>
      </c>
      <c r="K358" s="77">
        <f>J358+1</f>
        <v>2020</v>
      </c>
      <c r="L358" s="77">
        <f>K358+1</f>
        <v>2021</v>
      </c>
      <c r="M358" s="77">
        <f t="shared" ref="M358:P358" si="118">L358+1</f>
        <v>2022</v>
      </c>
      <c r="N358" s="77">
        <f t="shared" si="118"/>
        <v>2023</v>
      </c>
      <c r="O358" s="77">
        <f t="shared" si="118"/>
        <v>2024</v>
      </c>
      <c r="P358" s="77">
        <f t="shared" si="118"/>
        <v>2025</v>
      </c>
    </row>
    <row r="360" spans="2:16">
      <c r="B360" s="11" t="s">
        <v>192</v>
      </c>
    </row>
    <row r="361" spans="2:16">
      <c r="C361" s="1" t="s">
        <v>194</v>
      </c>
      <c r="L361" s="101">
        <f>K363</f>
        <v>14.700000000000006</v>
      </c>
      <c r="M361" s="101">
        <f t="shared" ref="M361:P361" ca="1" si="119">L363</f>
        <v>0</v>
      </c>
      <c r="N361" s="101">
        <f t="shared" ca="1" si="119"/>
        <v>0</v>
      </c>
      <c r="O361" s="101">
        <f t="shared" ca="1" si="119"/>
        <v>8.7964588839324591</v>
      </c>
      <c r="P361" s="101">
        <f t="shared" ca="1" si="119"/>
        <v>22.873928209493677</v>
      </c>
    </row>
    <row r="362" spans="2:16">
      <c r="C362" s="1" t="s">
        <v>195</v>
      </c>
      <c r="L362" s="101">
        <f ca="1">L154</f>
        <v>-14.70000000000001</v>
      </c>
      <c r="M362" s="101">
        <f ca="1">M154</f>
        <v>0</v>
      </c>
      <c r="N362" s="101">
        <f ca="1">N154</f>
        <v>8.7964588839324591</v>
      </c>
      <c r="O362" s="101">
        <f ca="1">O154</f>
        <v>14.077469325561218</v>
      </c>
      <c r="P362" s="101">
        <f ca="1">P154</f>
        <v>16.517571708020284</v>
      </c>
    </row>
    <row r="363" spans="2:16" s="11" customFormat="1">
      <c r="C363" s="11" t="s">
        <v>196</v>
      </c>
      <c r="G363" s="221"/>
      <c r="K363" s="181">
        <f>K154</f>
        <v>14.700000000000006</v>
      </c>
      <c r="L363" s="33">
        <f ca="1">L361+L362</f>
        <v>0</v>
      </c>
      <c r="M363" s="33">
        <f t="shared" ref="M363:P363" ca="1" si="120">M361+M362</f>
        <v>0</v>
      </c>
      <c r="N363" s="33">
        <f t="shared" ca="1" si="120"/>
        <v>8.7964588839324591</v>
      </c>
      <c r="O363" s="33">
        <f t="shared" ca="1" si="120"/>
        <v>22.873928209493677</v>
      </c>
      <c r="P363" s="33">
        <f t="shared" ca="1" si="120"/>
        <v>39.391499917513961</v>
      </c>
    </row>
    <row r="365" spans="2:16">
      <c r="C365" s="1" t="s">
        <v>197</v>
      </c>
      <c r="L365" s="137">
        <f>Assumptions!R16</f>
        <v>5.0000000000000001E-3</v>
      </c>
      <c r="M365" s="27">
        <f>L365</f>
        <v>5.0000000000000001E-3</v>
      </c>
      <c r="N365" s="27">
        <f t="shared" ref="N365:P365" si="121">M365</f>
        <v>5.0000000000000001E-3</v>
      </c>
      <c r="O365" s="27">
        <f t="shared" si="121"/>
        <v>5.0000000000000001E-3</v>
      </c>
      <c r="P365" s="27">
        <f t="shared" si="121"/>
        <v>5.0000000000000001E-3</v>
      </c>
    </row>
    <row r="366" spans="2:16" s="11" customFormat="1" ht="13.8" thickBot="1">
      <c r="C366" s="11" t="s">
        <v>198</v>
      </c>
      <c r="G366" s="221"/>
      <c r="L366" s="176">
        <f ca="1">L365*AVERAGE(K363:L363)</f>
        <v>3.6750000000000019E-2</v>
      </c>
      <c r="M366" s="176">
        <f t="shared" ref="M366:P366" ca="1" si="122">M365*AVERAGE(L363:M363)</f>
        <v>0</v>
      </c>
      <c r="N366" s="176">
        <f t="shared" ca="1" si="122"/>
        <v>2.1991147209831148E-2</v>
      </c>
      <c r="O366" s="176">
        <f t="shared" ca="1" si="122"/>
        <v>7.9175967733565347E-2</v>
      </c>
      <c r="P366" s="176">
        <f t="shared" ca="1" si="122"/>
        <v>0.1556635703175191</v>
      </c>
    </row>
    <row r="367" spans="2:16" ht="13.8" thickTop="1"/>
    <row r="370" spans="2:16">
      <c r="B370" s="11" t="s">
        <v>115</v>
      </c>
    </row>
    <row r="371" spans="2:16">
      <c r="C371" s="1" t="s">
        <v>194</v>
      </c>
      <c r="L371" s="101">
        <f>K373</f>
        <v>60.400000000000006</v>
      </c>
      <c r="M371" s="101">
        <f t="shared" ref="M371" si="123">L373</f>
        <v>55.400000000000006</v>
      </c>
      <c r="N371" s="101">
        <f t="shared" ref="N371" si="124">M373</f>
        <v>50.400000000000006</v>
      </c>
      <c r="O371" s="101">
        <f t="shared" ref="O371" si="125">N373</f>
        <v>45.400000000000006</v>
      </c>
      <c r="P371" s="101">
        <f t="shared" ref="P371" si="126">O373</f>
        <v>40.400000000000006</v>
      </c>
    </row>
    <row r="372" spans="2:16">
      <c r="C372" s="1" t="s">
        <v>222</v>
      </c>
      <c r="L372" s="101">
        <f>Assumptions!N74</f>
        <v>-5</v>
      </c>
      <c r="M372" s="101">
        <f>Assumptions!O74</f>
        <v>-5</v>
      </c>
      <c r="N372" s="101">
        <f>Assumptions!P74</f>
        <v>-5</v>
      </c>
      <c r="O372" s="101">
        <f>Assumptions!Q74</f>
        <v>-5</v>
      </c>
      <c r="P372" s="101">
        <f>Assumptions!R74</f>
        <v>-5</v>
      </c>
    </row>
    <row r="373" spans="2:16">
      <c r="B373" s="11"/>
      <c r="C373" s="11" t="s">
        <v>196</v>
      </c>
      <c r="D373" s="11"/>
      <c r="E373" s="11"/>
      <c r="F373" s="11"/>
      <c r="G373" s="221"/>
      <c r="H373" s="11"/>
      <c r="I373" s="11"/>
      <c r="J373" s="11"/>
      <c r="K373" s="181">
        <f>K192</f>
        <v>60.400000000000006</v>
      </c>
      <c r="L373" s="33">
        <f>L371+L372</f>
        <v>55.400000000000006</v>
      </c>
      <c r="M373" s="33">
        <f t="shared" ref="M373:P373" si="127">M371+M372</f>
        <v>50.400000000000006</v>
      </c>
      <c r="N373" s="33">
        <f t="shared" si="127"/>
        <v>45.400000000000006</v>
      </c>
      <c r="O373" s="33">
        <f t="shared" si="127"/>
        <v>40.400000000000006</v>
      </c>
      <c r="P373" s="33">
        <f t="shared" si="127"/>
        <v>35.400000000000006</v>
      </c>
    </row>
    <row r="375" spans="2:16">
      <c r="C375" s="1" t="s">
        <v>232</v>
      </c>
      <c r="L375" s="137">
        <f>SUM(Assumptions!R14:R15)</f>
        <v>2.35E-2</v>
      </c>
      <c r="M375" s="27">
        <f>L375</f>
        <v>2.35E-2</v>
      </c>
      <c r="N375" s="27">
        <f t="shared" ref="N375" si="128">M375</f>
        <v>2.35E-2</v>
      </c>
      <c r="O375" s="27">
        <f t="shared" ref="O375" si="129">N375</f>
        <v>2.35E-2</v>
      </c>
      <c r="P375" s="27">
        <f t="shared" ref="P375" si="130">O375</f>
        <v>2.35E-2</v>
      </c>
    </row>
    <row r="376" spans="2:16" ht="13.8" thickBot="1">
      <c r="B376" s="11"/>
      <c r="C376" s="11" t="s">
        <v>230</v>
      </c>
      <c r="D376" s="11"/>
      <c r="E376" s="11"/>
      <c r="F376" s="11"/>
      <c r="G376" s="221"/>
      <c r="H376" s="11"/>
      <c r="I376" s="11"/>
      <c r="J376" s="11"/>
      <c r="K376" s="11"/>
      <c r="L376" s="176">
        <f>AVERAGE(K373:L373)*L375</f>
        <v>1.3606500000000001</v>
      </c>
      <c r="M376" s="176">
        <f t="shared" ref="M376:P376" si="131">AVERAGE(L373:M373)*M375</f>
        <v>1.2431500000000002</v>
      </c>
      <c r="N376" s="176">
        <f t="shared" si="131"/>
        <v>1.12565</v>
      </c>
      <c r="O376" s="176">
        <f t="shared" si="131"/>
        <v>1.0081500000000001</v>
      </c>
      <c r="P376" s="176">
        <f t="shared" si="131"/>
        <v>0.89065000000000016</v>
      </c>
    </row>
    <row r="377" spans="2:16" ht="13.8" thickTop="1"/>
    <row r="380" spans="2:16">
      <c r="B380" s="11" t="s">
        <v>223</v>
      </c>
    </row>
    <row r="381" spans="2:16">
      <c r="C381" s="1" t="s">
        <v>183</v>
      </c>
      <c r="L381" s="101">
        <f>K383</f>
        <v>126.89999999999999</v>
      </c>
      <c r="M381" s="101">
        <f t="shared" ref="M381" si="132">L383</f>
        <v>114.89999999999999</v>
      </c>
      <c r="N381" s="101">
        <f t="shared" ref="N381" si="133">M383</f>
        <v>102.89999999999999</v>
      </c>
      <c r="O381" s="101">
        <f t="shared" ref="O381" si="134">N383</f>
        <v>90.899999999999991</v>
      </c>
      <c r="P381" s="101">
        <f t="shared" ref="P381" si="135">O383</f>
        <v>78.899999999999991</v>
      </c>
    </row>
    <row r="382" spans="2:16">
      <c r="C382" s="1" t="s">
        <v>222</v>
      </c>
      <c r="L382" s="101">
        <f>Assumptions!N73</f>
        <v>-12</v>
      </c>
      <c r="M382" s="101">
        <f>Assumptions!O73</f>
        <v>-12</v>
      </c>
      <c r="N382" s="101">
        <f>Assumptions!P73</f>
        <v>-12</v>
      </c>
      <c r="O382" s="101">
        <f>Assumptions!Q73</f>
        <v>-12</v>
      </c>
      <c r="P382" s="101">
        <f>Assumptions!R73</f>
        <v>-12</v>
      </c>
    </row>
    <row r="383" spans="2:16">
      <c r="B383" s="11"/>
      <c r="C383" s="11" t="s">
        <v>196</v>
      </c>
      <c r="D383" s="11"/>
      <c r="E383" s="11"/>
      <c r="F383" s="11"/>
      <c r="G383" s="221"/>
      <c r="H383" s="11"/>
      <c r="I383" s="11"/>
      <c r="J383" s="11"/>
      <c r="K383" s="181">
        <f>K193</f>
        <v>126.89999999999999</v>
      </c>
      <c r="L383" s="33">
        <f>L381+L382</f>
        <v>114.89999999999999</v>
      </c>
      <c r="M383" s="33">
        <f t="shared" ref="M383:P383" si="136">M381+M382</f>
        <v>102.89999999999999</v>
      </c>
      <c r="N383" s="33">
        <f t="shared" si="136"/>
        <v>90.899999999999991</v>
      </c>
      <c r="O383" s="33">
        <f t="shared" si="136"/>
        <v>78.899999999999991</v>
      </c>
      <c r="P383" s="33">
        <f t="shared" si="136"/>
        <v>66.899999999999991</v>
      </c>
    </row>
    <row r="385" spans="2:16">
      <c r="C385" s="1" t="s">
        <v>231</v>
      </c>
      <c r="L385" s="137">
        <f>Assumptions!R11</f>
        <v>3.7999999999999999E-2</v>
      </c>
      <c r="M385" s="27">
        <f>L385</f>
        <v>3.7999999999999999E-2</v>
      </c>
      <c r="N385" s="27">
        <f t="shared" ref="N385" si="137">M385</f>
        <v>3.7999999999999999E-2</v>
      </c>
      <c r="O385" s="27">
        <f t="shared" ref="O385" si="138">N385</f>
        <v>3.7999999999999999E-2</v>
      </c>
      <c r="P385" s="27">
        <f t="shared" ref="P385" si="139">O385</f>
        <v>3.7999999999999999E-2</v>
      </c>
    </row>
    <row r="386" spans="2:16" ht="13.8" thickBot="1">
      <c r="B386" s="11"/>
      <c r="C386" s="11" t="s">
        <v>229</v>
      </c>
      <c r="D386" s="11"/>
      <c r="E386" s="11"/>
      <c r="F386" s="11"/>
      <c r="G386" s="221"/>
      <c r="H386" s="11"/>
      <c r="I386" s="11"/>
      <c r="J386" s="11"/>
      <c r="K386" s="11"/>
      <c r="L386" s="176">
        <f>AVERAGE(K383:L383)*L385</f>
        <v>4.5941999999999998</v>
      </c>
      <c r="M386" s="176">
        <f t="shared" ref="M386:P386" si="140">AVERAGE(L383:M383)*M385</f>
        <v>4.1381999999999994</v>
      </c>
      <c r="N386" s="176">
        <f t="shared" si="140"/>
        <v>3.6821999999999995</v>
      </c>
      <c r="O386" s="176">
        <f t="shared" si="140"/>
        <v>3.2261999999999995</v>
      </c>
      <c r="P386" s="176">
        <f t="shared" si="140"/>
        <v>2.7701999999999996</v>
      </c>
    </row>
    <row r="387" spans="2:16" ht="13.8" thickTop="1"/>
    <row r="404" spans="2:16">
      <c r="P404" s="136" t="str">
        <f>UPPER("currently running: "&amp;CHOOSE(Scenarios!$E$11,Scenarios!$D$19,Scenarios!$D$20,Scenarios!$D$21)&amp;" Scenarios")</f>
        <v>CURRENTLY RUNNING: BEST CASE SCENARIOS</v>
      </c>
    </row>
    <row r="405" spans="2:16" ht="22.8">
      <c r="B405" s="2" t="str">
        <f>$B$70</f>
        <v>ELIXIR EQUIPMENTS COMPANY</v>
      </c>
      <c r="C405" s="6"/>
      <c r="D405" s="6"/>
      <c r="E405" s="6"/>
      <c r="F405" s="6"/>
      <c r="G405" s="218"/>
      <c r="H405" s="6"/>
      <c r="I405" s="6"/>
      <c r="J405" s="6"/>
      <c r="K405" s="6"/>
      <c r="L405" s="6"/>
      <c r="M405" s="6"/>
      <c r="N405" s="6"/>
      <c r="O405" s="6"/>
      <c r="P405" s="6"/>
    </row>
    <row r="406" spans="2:16" ht="18.75" customHeight="1">
      <c r="B406" s="230" t="s">
        <v>226</v>
      </c>
      <c r="C406" s="130"/>
      <c r="D406" s="6"/>
      <c r="E406" s="6"/>
      <c r="F406" s="6"/>
      <c r="G406" s="218"/>
      <c r="H406" s="6"/>
      <c r="I406" s="6"/>
      <c r="J406" s="6"/>
      <c r="K406" s="6"/>
      <c r="L406" s="6"/>
      <c r="M406" s="6"/>
      <c r="N406" s="6"/>
      <c r="O406" s="6"/>
      <c r="P406" s="6"/>
    </row>
    <row r="407" spans="2:16" ht="3.9" customHeight="1" thickBot="1">
      <c r="B407" s="129"/>
      <c r="C407" s="129"/>
      <c r="D407" s="129"/>
      <c r="E407" s="129"/>
      <c r="F407" s="129"/>
      <c r="G407" s="219"/>
      <c r="H407" s="129"/>
      <c r="I407" s="129"/>
      <c r="J407" s="129"/>
      <c r="K407" s="129"/>
      <c r="L407" s="129"/>
      <c r="M407" s="129"/>
      <c r="N407" s="129"/>
      <c r="O407" s="129"/>
      <c r="P407" s="129"/>
    </row>
    <row r="408" spans="2:16">
      <c r="B408" s="5" t="s">
        <v>59</v>
      </c>
    </row>
    <row r="410" spans="2:16">
      <c r="B410" s="11" t="s">
        <v>193</v>
      </c>
    </row>
    <row r="411" spans="2:16">
      <c r="D411" s="1" t="s">
        <v>199</v>
      </c>
      <c r="L411" s="101">
        <f ca="1">L133</f>
        <v>46.819903333170608</v>
      </c>
      <c r="M411" s="101">
        <f ca="1">M133</f>
        <v>50.784041554457218</v>
      </c>
      <c r="N411" s="101">
        <f ca="1">N133</f>
        <v>56.079160702841364</v>
      </c>
      <c r="O411" s="101">
        <f ca="1">O133</f>
        <v>60.905010097951717</v>
      </c>
      <c r="P411" s="101">
        <f ca="1">P133</f>
        <v>63.626620052712553</v>
      </c>
    </row>
    <row r="412" spans="2:16">
      <c r="D412" s="1" t="s">
        <v>227</v>
      </c>
      <c r="L412" s="101">
        <f>L140</f>
        <v>-25</v>
      </c>
      <c r="M412" s="101">
        <f>M140</f>
        <v>-25</v>
      </c>
      <c r="N412" s="101">
        <f>N140</f>
        <v>-20</v>
      </c>
      <c r="O412" s="101">
        <f>O140</f>
        <v>-20</v>
      </c>
      <c r="P412" s="101">
        <f>P140</f>
        <v>-20</v>
      </c>
    </row>
    <row r="413" spans="2:16">
      <c r="D413" s="1" t="str">
        <f>C145</f>
        <v>Variable Rate Long Term Debt Issuance / (Repayment)</v>
      </c>
      <c r="L413" s="101">
        <f>L372</f>
        <v>-5</v>
      </c>
      <c r="M413" s="101">
        <f>M372</f>
        <v>-5</v>
      </c>
      <c r="N413" s="101">
        <f>N372</f>
        <v>-5</v>
      </c>
      <c r="O413" s="101">
        <f>O372</f>
        <v>-5</v>
      </c>
      <c r="P413" s="101">
        <f>P372</f>
        <v>-5</v>
      </c>
    </row>
    <row r="414" spans="2:16">
      <c r="D414" s="1" t="str">
        <f>C146</f>
        <v>Fixed Rate Long Term Debt Issuance / (Repayment)</v>
      </c>
      <c r="L414" s="101">
        <f>L382</f>
        <v>-12</v>
      </c>
      <c r="M414" s="101">
        <f>M382</f>
        <v>-12</v>
      </c>
      <c r="N414" s="101">
        <f>N382</f>
        <v>-12</v>
      </c>
      <c r="O414" s="101">
        <f>O382</f>
        <v>-12</v>
      </c>
      <c r="P414" s="101">
        <f>P382</f>
        <v>-12</v>
      </c>
    </row>
    <row r="415" spans="2:16">
      <c r="D415" s="1" t="str">
        <f>C147</f>
        <v>Preferred Share Issuance / (Buy-Back)</v>
      </c>
      <c r="L415" s="101">
        <f>L326</f>
        <v>0</v>
      </c>
      <c r="M415" s="101">
        <f>M326</f>
        <v>15</v>
      </c>
      <c r="N415" s="101">
        <f>N326</f>
        <v>0</v>
      </c>
      <c r="O415" s="101">
        <f>O326</f>
        <v>0</v>
      </c>
      <c r="P415" s="101">
        <f>P326</f>
        <v>0</v>
      </c>
    </row>
    <row r="416" spans="2:16">
      <c r="D416" s="1" t="str">
        <f>C148</f>
        <v>Common Share Issuance / (Buy-Back)</v>
      </c>
      <c r="L416" s="101">
        <f>L335</f>
        <v>-30</v>
      </c>
      <c r="M416" s="101">
        <f>M335</f>
        <v>0</v>
      </c>
      <c r="N416" s="101">
        <f>N335</f>
        <v>0</v>
      </c>
      <c r="O416" s="101">
        <f>O335</f>
        <v>0</v>
      </c>
      <c r="P416" s="101">
        <f>P335</f>
        <v>0</v>
      </c>
    </row>
    <row r="417" spans="3:16">
      <c r="D417" s="1" t="str">
        <f>C149</f>
        <v>Preferred Share Dividends</v>
      </c>
      <c r="L417" s="101">
        <f>-L330</f>
        <v>0</v>
      </c>
      <c r="M417" s="101">
        <f>-M330</f>
        <v>-1.2</v>
      </c>
      <c r="N417" s="101">
        <f>-N330</f>
        <v>-1.2</v>
      </c>
      <c r="O417" s="101">
        <f>-O330</f>
        <v>-1.2</v>
      </c>
      <c r="P417" s="101">
        <f>-P330</f>
        <v>-1.2</v>
      </c>
    </row>
    <row r="418" spans="3:16">
      <c r="D418" s="1" t="str">
        <f>C150</f>
        <v>Common Share Dividends</v>
      </c>
      <c r="L418" s="101">
        <f ca="1">-L340</f>
        <v>-6.3733662413418983</v>
      </c>
      <c r="M418" s="101">
        <f ca="1">-M340</f>
        <v>-6.9430842783916438</v>
      </c>
      <c r="N418" s="101">
        <f ca="1">-N340</f>
        <v>-7.8701961868031907</v>
      </c>
      <c r="O418" s="101">
        <f ca="1">-O340</f>
        <v>-8.6275407723905015</v>
      </c>
      <c r="P418" s="101">
        <f ca="1">-P340</f>
        <v>-8.9090483446922697</v>
      </c>
    </row>
    <row r="419" spans="3:16">
      <c r="D419" s="1" t="str">
        <f>C151</f>
        <v>Other</v>
      </c>
      <c r="L419" s="101">
        <v>0</v>
      </c>
      <c r="M419" s="101">
        <v>0</v>
      </c>
      <c r="N419" s="101">
        <v>0</v>
      </c>
      <c r="O419" s="101">
        <v>0</v>
      </c>
      <c r="P419" s="101">
        <v>0</v>
      </c>
    </row>
    <row r="420" spans="3:16">
      <c r="D420" s="11" t="s">
        <v>200</v>
      </c>
      <c r="L420" s="182">
        <f ca="1">SUM(L411:L419)</f>
        <v>-31.553462908171291</v>
      </c>
      <c r="M420" s="182">
        <f t="shared" ref="M420:P420" ca="1" si="141">SUM(M411:M419)</f>
        <v>15.640957276065574</v>
      </c>
      <c r="N420" s="182">
        <f t="shared" ca="1" si="141"/>
        <v>10.008964516038173</v>
      </c>
      <c r="O420" s="182">
        <f t="shared" ca="1" si="141"/>
        <v>14.077469325561216</v>
      </c>
      <c r="P420" s="182">
        <f t="shared" ca="1" si="141"/>
        <v>16.517571708020284</v>
      </c>
    </row>
    <row r="422" spans="3:16">
      <c r="D422" s="1" t="s">
        <v>193</v>
      </c>
    </row>
    <row r="423" spans="3:16">
      <c r="E423" s="1" t="s">
        <v>183</v>
      </c>
      <c r="L423" s="101">
        <f>K425</f>
        <v>0</v>
      </c>
      <c r="M423" s="101">
        <f t="shared" ref="M423:P423" ca="1" si="142">L425</f>
        <v>16.853462908171284</v>
      </c>
      <c r="N423" s="101">
        <f t="shared" ca="1" si="142"/>
        <v>1.2125056321057102</v>
      </c>
      <c r="O423" s="101">
        <f t="shared" ca="1" si="142"/>
        <v>0</v>
      </c>
      <c r="P423" s="101">
        <f t="shared" ca="1" si="142"/>
        <v>0</v>
      </c>
    </row>
    <row r="424" spans="3:16">
      <c r="E424" s="1" t="s">
        <v>201</v>
      </c>
      <c r="L424" s="101">
        <f ca="1">-MIN(L423,L420+L361)</f>
        <v>16.853462908171284</v>
      </c>
      <c r="M424" s="101">
        <f ca="1">-MIN(M423,M420+M361)</f>
        <v>-15.640957276065574</v>
      </c>
      <c r="N424" s="101">
        <f ca="1">-MIN(N423,N420+N361)</f>
        <v>-1.2125056321057102</v>
      </c>
      <c r="O424" s="101">
        <f ca="1">-MIN(O423,O420+O361)</f>
        <v>0</v>
      </c>
      <c r="P424" s="101">
        <f ca="1">-MIN(P423,P420+P361)</f>
        <v>0</v>
      </c>
    </row>
    <row r="425" spans="3:16">
      <c r="E425" s="1" t="s">
        <v>196</v>
      </c>
      <c r="K425" s="182">
        <f>K187</f>
        <v>0</v>
      </c>
      <c r="L425" s="201">
        <f ca="1">L423+L424</f>
        <v>16.853462908171284</v>
      </c>
      <c r="M425" s="201">
        <f t="shared" ref="M425:P425" ca="1" si="143">M423+M424</f>
        <v>1.2125056321057102</v>
      </c>
      <c r="N425" s="201">
        <f t="shared" ca="1" si="143"/>
        <v>0</v>
      </c>
      <c r="O425" s="201">
        <f t="shared" ca="1" si="143"/>
        <v>0</v>
      </c>
      <c r="P425" s="201">
        <f t="shared" ca="1" si="143"/>
        <v>0</v>
      </c>
    </row>
    <row r="426" spans="3:16">
      <c r="K426" s="101"/>
      <c r="L426" s="26"/>
      <c r="M426" s="26"/>
      <c r="N426" s="26"/>
      <c r="O426" s="26"/>
      <c r="P426" s="26"/>
    </row>
    <row r="427" spans="3:16">
      <c r="C427" s="1" t="s">
        <v>197</v>
      </c>
      <c r="L427" s="137">
        <f>Assumptions!R12</f>
        <v>3.7499999999999999E-2</v>
      </c>
      <c r="M427" s="27">
        <f>L427</f>
        <v>3.7499999999999999E-2</v>
      </c>
      <c r="N427" s="27">
        <f t="shared" ref="N427:P427" si="144">M427</f>
        <v>3.7499999999999999E-2</v>
      </c>
      <c r="O427" s="27">
        <f t="shared" si="144"/>
        <v>3.7499999999999999E-2</v>
      </c>
      <c r="P427" s="27">
        <f t="shared" si="144"/>
        <v>3.7499999999999999E-2</v>
      </c>
    </row>
    <row r="428" spans="3:16" ht="13.8" thickBot="1">
      <c r="C428" s="11" t="s">
        <v>224</v>
      </c>
      <c r="D428" s="11"/>
      <c r="E428" s="11"/>
      <c r="F428" s="11"/>
      <c r="G428" s="221"/>
      <c r="H428" s="11"/>
      <c r="I428" s="11"/>
      <c r="J428" s="11"/>
      <c r="K428" s="11"/>
      <c r="L428" s="263">
        <f ca="1">L427*AVERAGE(K425:L425)</f>
        <v>0.31600242952821156</v>
      </c>
      <c r="M428" s="263">
        <f ca="1">M427*AVERAGE(L425:M425)</f>
        <v>0.33873691013019364</v>
      </c>
      <c r="N428" s="250">
        <f t="shared" ref="M428:P428" ca="1" si="145">N427*AVERAGE(M425:N425)</f>
        <v>2.2734480601982066E-2</v>
      </c>
      <c r="O428" s="250">
        <f t="shared" ca="1" si="145"/>
        <v>0</v>
      </c>
      <c r="P428" s="250">
        <f t="shared" ca="1" si="145"/>
        <v>0</v>
      </c>
    </row>
    <row r="429" spans="3:16" ht="13.8" thickTop="1"/>
    <row r="431" spans="3:16" s="11" customFormat="1" ht="13.8" thickBot="1">
      <c r="C431" s="11" t="s">
        <v>58</v>
      </c>
      <c r="G431" s="221"/>
      <c r="L431" s="176">
        <f ca="1">-L366+L376+L386+L428</f>
        <v>6.2341024295282113</v>
      </c>
      <c r="M431" s="176">
        <f t="shared" ref="M431:P431" ca="1" si="146">-M366+M376+M386+M428</f>
        <v>5.7200869101301928</v>
      </c>
      <c r="N431" s="176">
        <f t="shared" ca="1" si="146"/>
        <v>4.8085933333921504</v>
      </c>
      <c r="O431" s="176">
        <f t="shared" ca="1" si="146"/>
        <v>4.1551740322664346</v>
      </c>
      <c r="P431" s="176">
        <f t="shared" ca="1" si="146"/>
        <v>3.5051864296824808</v>
      </c>
    </row>
    <row r="432" spans="3:16" ht="13.8" thickTop="1"/>
  </sheetData>
  <sheetProtection formatCells="0"/>
  <conditionalFormatting sqref="L428:P4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{83E1929E-56CC-4E2B-80FB-4B72B07472EE}</x14:id>
        </ext>
      </extLst>
    </cfRule>
  </conditionalFormatting>
  <printOptions horizontalCentered="1"/>
  <pageMargins left="0.39370078740157499" right="0.118110236220472" top="0.118110236220472" bottom="0.196850393700787" header="0.118110236220472" footer="0.118110236220472"/>
  <pageSetup paperSize="9" scale="85" orientation="landscape" r:id="rId1"/>
  <headerFooter>
    <oddFooter>&amp;L&amp;"Times New Roman,Bold"&amp;9ELIXIR EQUIPMENTS COMPANY&amp;C&amp;"Times New Roman,Regular"&amp;9Page &amp;P of &amp;N&amp;R&amp;"Times New Roman,Regular"&amp;9&amp;D &amp;T</oddFooter>
  </headerFooter>
  <rowBreaks count="9" manualBreakCount="9">
    <brk id="34" max="16383" man="1"/>
    <brk id="67" max="16383" man="1"/>
    <brk id="116" max="16383" man="1"/>
    <brk id="159" max="16383" man="1"/>
    <brk id="213" max="16383" man="1"/>
    <brk id="246" max="16383" man="1"/>
    <brk id="282" max="16383" man="1"/>
    <brk id="311" max="16383" man="1"/>
    <brk id="349" max="16383" man="1"/>
  </rowBreaks>
  <ignoredErrors>
    <ignoredError sqref="L81:P82 I83:P83 L85:P86 L89:P89 L92:P92 L95 M95:P95 L99:P100 L172:P174 L179:P179 L128:P132 L137:L139 M137:P139 L203:P203 L105:P105 L96:P96 I133:P133 L144:P151 M178:P178 M180:P180 L178 L180" unlockedFormula="1"/>
    <ignoredError sqref="L37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E1929E-56CC-4E2B-80FB-4B72B0747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L428:P428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Cover</vt:lpstr>
      <vt:lpstr>Summary</vt:lpstr>
      <vt:lpstr>Assumptions</vt:lpstr>
      <vt:lpstr>Scenarios</vt:lpstr>
      <vt:lpstr>Model</vt:lpstr>
      <vt:lpstr>Assumptions!Print_Area</vt:lpstr>
      <vt:lpstr>Cover!Print_Area</vt:lpstr>
      <vt:lpstr>Model!Print_Area</vt:lpstr>
      <vt:lpstr>Scenarios!Print_Area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2020-10-02T18:01:15Z</dcterms:created>
  <dcterms:modified xsi:type="dcterms:W3CDTF">2022-10-14T00:55:09Z</dcterms:modified>
</cp:coreProperties>
</file>