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git_repos\portfolios\Financial_Analysis\Handerson\"/>
    </mc:Choice>
  </mc:AlternateContent>
  <xr:revisionPtr revIDLastSave="0" documentId="13_ncr:1_{51BD2E1E-2AFE-4FD9-8329-418AF7AAE422}" xr6:coauthVersionLast="47" xr6:coauthVersionMax="47" xr10:uidLastSave="{00000000-0000-0000-0000-000000000000}"/>
  <bookViews>
    <workbookView xWindow="30240" yWindow="1440" windowWidth="22050" windowHeight="11460" activeTab="4" xr2:uid="{86534EA8-933E-4404-BB77-54ADD409FCA0}"/>
  </bookViews>
  <sheets>
    <sheet name="Cover" sheetId="1" r:id="rId1"/>
    <sheet name="Sunmary" sheetId="8" r:id="rId2"/>
    <sheet name="Assumptions" sheetId="7" r:id="rId3"/>
    <sheet name="Scenarios" sheetId="9" r:id="rId4"/>
    <sheet name="Model" sheetId="10" r:id="rId5"/>
  </sheets>
  <definedNames>
    <definedName name="_xlnm.Print_Area" localSheetId="2">Assumptions!$B$1:$R$74</definedName>
    <definedName name="_xlnm.Print_Area" localSheetId="0">Cover!$A$1:$P$32</definedName>
    <definedName name="_xlnm.Print_Area" localSheetId="4">Model!$B$1:$Q$367</definedName>
    <definedName name="_xlnm.Print_Area" localSheetId="3">Scenarios!$B$1:$L$38</definedName>
    <definedName name="_xlnm.Print_Area" localSheetId="1">Sunmary!$B$1:$R$54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49" i="10" l="1"/>
  <c r="P349" i="10"/>
  <c r="O349" i="10"/>
  <c r="N349" i="10"/>
  <c r="M349" i="10"/>
  <c r="L349" i="10"/>
  <c r="K349" i="10"/>
  <c r="J349" i="10"/>
  <c r="Q299" i="10"/>
  <c r="P299" i="10"/>
  <c r="O299" i="10"/>
  <c r="N299" i="10"/>
  <c r="M299" i="10"/>
  <c r="L299" i="10"/>
  <c r="K299" i="10"/>
  <c r="J299" i="10"/>
  <c r="Q273" i="10"/>
  <c r="P273" i="10"/>
  <c r="O273" i="10"/>
  <c r="N273" i="10"/>
  <c r="M273" i="10"/>
  <c r="L273" i="10"/>
  <c r="K273" i="10"/>
  <c r="J273" i="10"/>
  <c r="Q238" i="10"/>
  <c r="P238" i="10"/>
  <c r="O238" i="10"/>
  <c r="N238" i="10"/>
  <c r="M238" i="10"/>
  <c r="L238" i="10"/>
  <c r="K238" i="10"/>
  <c r="J238" i="10"/>
  <c r="Q213" i="10"/>
  <c r="P213" i="10"/>
  <c r="O213" i="10"/>
  <c r="N213" i="10"/>
  <c r="M213" i="10"/>
  <c r="L213" i="10"/>
  <c r="K213" i="10"/>
  <c r="J213" i="10"/>
  <c r="Q166" i="10"/>
  <c r="P166" i="10"/>
  <c r="O166" i="10"/>
  <c r="N166" i="10"/>
  <c r="M166" i="10"/>
  <c r="L166" i="10"/>
  <c r="K166" i="10"/>
  <c r="J166" i="10"/>
  <c r="Q129" i="10"/>
  <c r="P129" i="10"/>
  <c r="O129" i="10"/>
  <c r="N129" i="10"/>
  <c r="M129" i="10"/>
  <c r="L129" i="10"/>
  <c r="K129" i="10"/>
  <c r="J129" i="10"/>
  <c r="Q87" i="10"/>
  <c r="P87" i="10"/>
  <c r="O87" i="10"/>
  <c r="N87" i="10"/>
  <c r="M87" i="10"/>
  <c r="L87" i="10"/>
  <c r="K87" i="10"/>
  <c r="J87" i="10"/>
  <c r="Q40" i="10"/>
  <c r="M191" i="10"/>
  <c r="K203" i="10"/>
  <c r="L203" i="10"/>
  <c r="M7" i="10"/>
  <c r="L322" i="10"/>
  <c r="B2" i="8"/>
  <c r="L7" i="10" l="1"/>
  <c r="M40" i="10"/>
  <c r="D45" i="8"/>
  <c r="D29" i="8"/>
  <c r="D13" i="8"/>
  <c r="K151" i="10"/>
  <c r="L151" i="10"/>
  <c r="J151" i="10"/>
  <c r="J137" i="10"/>
  <c r="K137" i="10"/>
  <c r="L137" i="10"/>
  <c r="L261" i="10"/>
  <c r="K261" i="10"/>
  <c r="K7" i="10" l="1"/>
  <c r="L40" i="10"/>
  <c r="M76" i="10"/>
  <c r="L29" i="10"/>
  <c r="M324" i="10"/>
  <c r="M320" i="10"/>
  <c r="N313" i="10"/>
  <c r="O313" i="10"/>
  <c r="P313" i="10"/>
  <c r="Q313" i="10"/>
  <c r="M313" i="10"/>
  <c r="M306" i="10"/>
  <c r="N306" i="10" s="1"/>
  <c r="L304" i="10"/>
  <c r="M302" i="10" s="1"/>
  <c r="M333" i="10"/>
  <c r="N333" i="10" s="1"/>
  <c r="O333" i="10" s="1"/>
  <c r="P333" i="10" s="1"/>
  <c r="Q333" i="10" s="1"/>
  <c r="N330" i="10"/>
  <c r="O330" i="10"/>
  <c r="P330" i="10"/>
  <c r="Q330" i="10"/>
  <c r="M330" i="10"/>
  <c r="L331" i="10"/>
  <c r="M329" i="10" s="1"/>
  <c r="B310" i="10"/>
  <c r="B328" i="10"/>
  <c r="N148" i="10"/>
  <c r="O148" i="10"/>
  <c r="P148" i="10"/>
  <c r="Q148" i="10"/>
  <c r="M148" i="10"/>
  <c r="Q207" i="10"/>
  <c r="L364" i="10"/>
  <c r="M361" i="10" s="1"/>
  <c r="M356" i="10"/>
  <c r="N353" i="10"/>
  <c r="N149" i="10" s="1"/>
  <c r="O353" i="10"/>
  <c r="O149" i="10" s="1"/>
  <c r="P353" i="10"/>
  <c r="P149" i="10" s="1"/>
  <c r="Q353" i="10"/>
  <c r="Q149" i="10" s="1"/>
  <c r="M353" i="10"/>
  <c r="M149" i="10" s="1"/>
  <c r="L354" i="10"/>
  <c r="M352" i="10" s="1"/>
  <c r="B344" i="10"/>
  <c r="B294" i="10"/>
  <c r="C288" i="10"/>
  <c r="C289" i="10"/>
  <c r="N280" i="10"/>
  <c r="O280" i="10"/>
  <c r="P280" i="10"/>
  <c r="Q280" i="10"/>
  <c r="M280" i="10"/>
  <c r="M178" i="10"/>
  <c r="N178" i="10" s="1"/>
  <c r="O178" i="10" s="1"/>
  <c r="P178" i="10" s="1"/>
  <c r="Q178" i="10" s="1"/>
  <c r="E276" i="10"/>
  <c r="B268" i="10"/>
  <c r="N142" i="10"/>
  <c r="O142" i="10"/>
  <c r="P142" i="10"/>
  <c r="Q142" i="10"/>
  <c r="M142" i="10"/>
  <c r="N141" i="10"/>
  <c r="O141" i="10"/>
  <c r="P141" i="10"/>
  <c r="Q141" i="10"/>
  <c r="M141" i="10"/>
  <c r="E222" i="10" s="1"/>
  <c r="J7" i="10" l="1"/>
  <c r="K40" i="10"/>
  <c r="M325" i="10"/>
  <c r="N324" i="10"/>
  <c r="O324" i="10" s="1"/>
  <c r="P324" i="10" s="1"/>
  <c r="Q324" i="10" s="1"/>
  <c r="M334" i="10"/>
  <c r="M314" i="10"/>
  <c r="M307" i="10"/>
  <c r="O306" i="10"/>
  <c r="N314" i="10"/>
  <c r="Q314" i="10"/>
  <c r="O314" i="10"/>
  <c r="P314" i="10"/>
  <c r="M331" i="10"/>
  <c r="M354" i="10"/>
  <c r="N356" i="10"/>
  <c r="J40" i="10" l="1"/>
  <c r="M336" i="10"/>
  <c r="M106" i="10" s="1"/>
  <c r="N329" i="10"/>
  <c r="N331" i="10" s="1"/>
  <c r="P306" i="10"/>
  <c r="N352" i="10"/>
  <c r="N354" i="10" s="1"/>
  <c r="M196" i="10"/>
  <c r="O356" i="10"/>
  <c r="D223" i="10"/>
  <c r="N334" i="10" l="1"/>
  <c r="O329" i="10"/>
  <c r="N191" i="10"/>
  <c r="Q306" i="10"/>
  <c r="O352" i="10"/>
  <c r="O354" i="10" s="1"/>
  <c r="N196" i="10"/>
  <c r="P356" i="10"/>
  <c r="D224" i="10"/>
  <c r="O331" i="10" l="1"/>
  <c r="O334" i="10"/>
  <c r="P352" i="10"/>
  <c r="P354" i="10" s="1"/>
  <c r="O196" i="10"/>
  <c r="Q356" i="10"/>
  <c r="D225" i="10"/>
  <c r="P329" i="10" l="1"/>
  <c r="O191" i="10"/>
  <c r="Q352" i="10"/>
  <c r="Q354" i="10" s="1"/>
  <c r="Q196" i="10" s="1"/>
  <c r="P196" i="10"/>
  <c r="D226" i="10"/>
  <c r="P334" i="10" l="1"/>
  <c r="P331" i="10"/>
  <c r="F217" i="10"/>
  <c r="F216" i="10"/>
  <c r="M219" i="10" s="1"/>
  <c r="N219" i="10" s="1"/>
  <c r="Q232" i="10"/>
  <c r="Q343" i="10" s="1"/>
  <c r="Q160" i="10"/>
  <c r="Q123" i="10"/>
  <c r="Q81" i="10"/>
  <c r="Q34" i="10"/>
  <c r="Q1" i="10"/>
  <c r="B208" i="10"/>
  <c r="N100" i="10"/>
  <c r="O100" i="10"/>
  <c r="P100" i="10"/>
  <c r="Q100" i="10"/>
  <c r="M100" i="10"/>
  <c r="K198" i="10"/>
  <c r="L198" i="10"/>
  <c r="J198" i="10"/>
  <c r="K192" i="10"/>
  <c r="L192" i="10"/>
  <c r="K188" i="10"/>
  <c r="L188" i="10"/>
  <c r="K179" i="10"/>
  <c r="L179" i="10"/>
  <c r="K175" i="10"/>
  <c r="L175" i="10"/>
  <c r="J175" i="10"/>
  <c r="B161" i="10"/>
  <c r="J192" i="10"/>
  <c r="J188" i="10"/>
  <c r="J179" i="10"/>
  <c r="J143" i="10"/>
  <c r="J154" i="10" s="1"/>
  <c r="K143" i="10"/>
  <c r="L143" i="10"/>
  <c r="M143" i="10"/>
  <c r="M312" i="10" s="1"/>
  <c r="N143" i="10"/>
  <c r="N312" i="10" s="1"/>
  <c r="O143" i="10"/>
  <c r="O312" i="10" s="1"/>
  <c r="P143" i="10"/>
  <c r="P312" i="10" s="1"/>
  <c r="Q143" i="10"/>
  <c r="Q312" i="10" s="1"/>
  <c r="B124" i="10"/>
  <c r="M69" i="10"/>
  <c r="M70" i="10"/>
  <c r="M68" i="10"/>
  <c r="M49" i="10"/>
  <c r="M48" i="10"/>
  <c r="D54" i="10"/>
  <c r="D55" i="10"/>
  <c r="D53" i="10"/>
  <c r="D49" i="10"/>
  <c r="D48" i="10"/>
  <c r="L28" i="10"/>
  <c r="K111" i="10"/>
  <c r="L111" i="10"/>
  <c r="K98" i="10"/>
  <c r="L98" i="10"/>
  <c r="J111" i="10"/>
  <c r="J98" i="10"/>
  <c r="L94" i="10"/>
  <c r="AC10" i="8" s="1"/>
  <c r="K94" i="10"/>
  <c r="AB10" i="8" s="1"/>
  <c r="J94" i="10"/>
  <c r="AA10" i="8" s="1"/>
  <c r="B82" i="10"/>
  <c r="B35" i="10"/>
  <c r="B233" i="10"/>
  <c r="C247" i="10"/>
  <c r="C248" i="10"/>
  <c r="C249" i="10"/>
  <c r="C250" i="10"/>
  <c r="C251" i="10"/>
  <c r="C252" i="10"/>
  <c r="M19" i="10"/>
  <c r="N19" i="10" s="1"/>
  <c r="O19" i="10" s="1"/>
  <c r="P19" i="10" s="1"/>
  <c r="Q19" i="10" s="1"/>
  <c r="L14" i="10"/>
  <c r="C32" i="7"/>
  <c r="N7" i="10"/>
  <c r="B2" i="10"/>
  <c r="N61" i="7"/>
  <c r="O61" i="7"/>
  <c r="P61" i="7"/>
  <c r="Q61" i="7"/>
  <c r="N62" i="7"/>
  <c r="O62" i="7"/>
  <c r="P62" i="7"/>
  <c r="Q62" i="7"/>
  <c r="M63" i="7"/>
  <c r="N63" i="7"/>
  <c r="O63" i="7"/>
  <c r="P63" i="7"/>
  <c r="Q63" i="7"/>
  <c r="M64" i="7"/>
  <c r="N64" i="7"/>
  <c r="O64" i="7"/>
  <c r="P64" i="7"/>
  <c r="Q64" i="7"/>
  <c r="M65" i="7"/>
  <c r="N65" i="7"/>
  <c r="O65" i="7"/>
  <c r="P65" i="7"/>
  <c r="Q65" i="7"/>
  <c r="N60" i="7"/>
  <c r="O60" i="7"/>
  <c r="P60" i="7"/>
  <c r="Q60" i="7"/>
  <c r="C27" i="9"/>
  <c r="C28" i="9"/>
  <c r="C26" i="9"/>
  <c r="B3" i="7"/>
  <c r="B40" i="7"/>
  <c r="D28" i="9"/>
  <c r="J28" i="9" s="1"/>
  <c r="J24" i="9" s="1"/>
  <c r="O11" i="10" s="1"/>
  <c r="D27" i="9"/>
  <c r="H27" i="9" s="1"/>
  <c r="H9" i="9"/>
  <c r="I9" i="9" s="1"/>
  <c r="J9" i="9" s="1"/>
  <c r="K9" i="9" s="1"/>
  <c r="L9" i="9" s="1"/>
  <c r="Q44" i="7" s="1"/>
  <c r="B3" i="9"/>
  <c r="L31" i="9"/>
  <c r="Q21" i="10" s="1"/>
  <c r="K31" i="9"/>
  <c r="P21" i="10" s="1"/>
  <c r="J31" i="9"/>
  <c r="O21" i="10" s="1"/>
  <c r="I31" i="9"/>
  <c r="N21" i="10" s="1"/>
  <c r="H31" i="9"/>
  <c r="M21" i="10" s="1"/>
  <c r="H14" i="9"/>
  <c r="M12" i="10" s="1"/>
  <c r="M13" i="10" s="1"/>
  <c r="I14" i="9"/>
  <c r="N12" i="10" s="1"/>
  <c r="N44" i="10" s="1"/>
  <c r="N76" i="10" s="1"/>
  <c r="J14" i="9"/>
  <c r="O12" i="10" s="1"/>
  <c r="O44" i="10" s="1"/>
  <c r="K14" i="9"/>
  <c r="P12" i="10" s="1"/>
  <c r="P44" i="10" s="1"/>
  <c r="L14" i="9"/>
  <c r="Q12" i="10" s="1"/>
  <c r="Q44" i="10" s="1"/>
  <c r="J21" i="1"/>
  <c r="O7" i="10" l="1"/>
  <c r="N40" i="10"/>
  <c r="AB11" i="8"/>
  <c r="AC11" i="8"/>
  <c r="O76" i="10"/>
  <c r="O97" i="10" s="1"/>
  <c r="N68" i="10"/>
  <c r="O68" i="10" s="1"/>
  <c r="N70" i="10"/>
  <c r="O70" i="10" s="1"/>
  <c r="P70" i="10" s="1"/>
  <c r="Q70" i="10" s="1"/>
  <c r="N48" i="10"/>
  <c r="O48" i="10" s="1"/>
  <c r="P48" i="10" s="1"/>
  <c r="Q48" i="10" s="1"/>
  <c r="N69" i="10"/>
  <c r="O69" i="10" s="1"/>
  <c r="P69" i="10" s="1"/>
  <c r="Q69" i="10" s="1"/>
  <c r="Q329" i="10"/>
  <c r="P191" i="10"/>
  <c r="N49" i="10"/>
  <c r="L154" i="10"/>
  <c r="Q267" i="10"/>
  <c r="Q293" i="10"/>
  <c r="E223" i="10"/>
  <c r="O219" i="10"/>
  <c r="L263" i="10"/>
  <c r="M97" i="10"/>
  <c r="N97" i="10"/>
  <c r="L181" i="10"/>
  <c r="L194" i="10"/>
  <c r="L200" i="10" s="1"/>
  <c r="L101" i="10"/>
  <c r="K181" i="10"/>
  <c r="K194" i="10"/>
  <c r="K200" i="10" s="1"/>
  <c r="J194" i="10"/>
  <c r="J200" i="10" s="1"/>
  <c r="K154" i="10"/>
  <c r="J181" i="10"/>
  <c r="L30" i="10"/>
  <c r="L22" i="10" s="1"/>
  <c r="K101" i="10"/>
  <c r="AB13" i="8" s="1"/>
  <c r="M71" i="10"/>
  <c r="M50" i="10"/>
  <c r="J101" i="10"/>
  <c r="AA13" i="8" s="1"/>
  <c r="AA14" i="8" s="1"/>
  <c r="K240" i="10"/>
  <c r="K249" i="10" s="1"/>
  <c r="N13" i="10"/>
  <c r="P44" i="7"/>
  <c r="O44" i="7"/>
  <c r="M44" i="7"/>
  <c r="N44" i="7"/>
  <c r="H28" i="9"/>
  <c r="H24" i="9" s="1"/>
  <c r="M11" i="10" s="1"/>
  <c r="J27" i="9"/>
  <c r="K28" i="9"/>
  <c r="K24" i="9" s="1"/>
  <c r="P11" i="10" s="1"/>
  <c r="I27" i="9"/>
  <c r="L28" i="9"/>
  <c r="L24" i="9" s="1"/>
  <c r="Q11" i="10" s="1"/>
  <c r="K27" i="9"/>
  <c r="E15" i="1"/>
  <c r="F15" i="7"/>
  <c r="I28" i="9"/>
  <c r="I24" i="9" s="1"/>
  <c r="N11" i="10" s="1"/>
  <c r="L27" i="9"/>
  <c r="O71" i="10" l="1"/>
  <c r="P76" i="10"/>
  <c r="Q76" i="10" s="1"/>
  <c r="Q97" i="10" s="1"/>
  <c r="N71" i="10"/>
  <c r="P7" i="10"/>
  <c r="O40" i="10"/>
  <c r="L104" i="10"/>
  <c r="L118" i="10" s="1"/>
  <c r="AC13" i="8"/>
  <c r="P68" i="10"/>
  <c r="Q68" i="10" s="1"/>
  <c r="Q71" i="10" s="1"/>
  <c r="AB15" i="8"/>
  <c r="AB14" i="8"/>
  <c r="Q334" i="10"/>
  <c r="Q331" i="10"/>
  <c r="Q191" i="10" s="1"/>
  <c r="M22" i="10"/>
  <c r="L43" i="10"/>
  <c r="O49" i="10"/>
  <c r="P49" i="10" s="1"/>
  <c r="P71" i="10"/>
  <c r="L107" i="10"/>
  <c r="L113" i="10" s="1"/>
  <c r="J203" i="10"/>
  <c r="E225" i="10"/>
  <c r="P219" i="10"/>
  <c r="M222" i="10"/>
  <c r="M228" i="10" s="1"/>
  <c r="M103" i="10" s="1"/>
  <c r="M134" i="10" s="1"/>
  <c r="M177" i="10" s="1"/>
  <c r="E226" i="10"/>
  <c r="E224" i="10"/>
  <c r="L117" i="10"/>
  <c r="J104" i="10"/>
  <c r="J117" i="10"/>
  <c r="K104" i="10"/>
  <c r="K117" i="10"/>
  <c r="J156" i="10"/>
  <c r="K155" i="10" s="1"/>
  <c r="L89" i="10"/>
  <c r="L240" i="10"/>
  <c r="N50" i="10"/>
  <c r="M14" i="10"/>
  <c r="O13" i="10"/>
  <c r="K247" i="10"/>
  <c r="M240" i="10"/>
  <c r="N240" i="10"/>
  <c r="K252" i="10"/>
  <c r="K250" i="10"/>
  <c r="K248" i="10"/>
  <c r="K251" i="10"/>
  <c r="N14" i="10"/>
  <c r="O240" i="10"/>
  <c r="P97" i="10" l="1"/>
  <c r="Q7" i="10"/>
  <c r="P40" i="10"/>
  <c r="L119" i="10"/>
  <c r="AC17" i="8"/>
  <c r="AC15" i="8"/>
  <c r="AC14" i="8"/>
  <c r="N22" i="10"/>
  <c r="N89" i="10" s="1"/>
  <c r="M43" i="10"/>
  <c r="M29" i="10"/>
  <c r="M28" i="10"/>
  <c r="M92" i="10" s="1"/>
  <c r="O14" i="10"/>
  <c r="M179" i="10"/>
  <c r="L251" i="10"/>
  <c r="L247" i="10"/>
  <c r="M60" i="7" s="1"/>
  <c r="N223" i="10"/>
  <c r="N222" i="10"/>
  <c r="Q219" i="10"/>
  <c r="M24" i="10"/>
  <c r="K156" i="10"/>
  <c r="K107" i="10"/>
  <c r="K113" i="10" s="1"/>
  <c r="K118" i="10"/>
  <c r="J107" i="10"/>
  <c r="J113" i="10" s="1"/>
  <c r="J118" i="10"/>
  <c r="M93" i="10"/>
  <c r="M89" i="10"/>
  <c r="L249" i="10"/>
  <c r="L248" i="10"/>
  <c r="L252" i="10"/>
  <c r="L250" i="10"/>
  <c r="Q49" i="10"/>
  <c r="O50" i="10"/>
  <c r="P13" i="10"/>
  <c r="P240" i="10"/>
  <c r="Q240" i="10"/>
  <c r="J119" i="10" l="1"/>
  <c r="AA17" i="8"/>
  <c r="AA18" i="8" s="1"/>
  <c r="AC18" i="8"/>
  <c r="K119" i="10"/>
  <c r="AB17" i="8"/>
  <c r="AC19" i="8" s="1"/>
  <c r="M55" i="10"/>
  <c r="M64" i="10"/>
  <c r="M54" i="10"/>
  <c r="M53" i="10"/>
  <c r="M63" i="10"/>
  <c r="O22" i="10"/>
  <c r="O28" i="10" s="1"/>
  <c r="O92" i="10" s="1"/>
  <c r="N43" i="10"/>
  <c r="N29" i="10"/>
  <c r="N93" i="10" s="1"/>
  <c r="Q13" i="10"/>
  <c r="L155" i="10"/>
  <c r="L156" i="10" s="1"/>
  <c r="M155" i="10" s="1"/>
  <c r="N24" i="10"/>
  <c r="N228" i="10"/>
  <c r="N103" i="10" s="1"/>
  <c r="N134" i="10" s="1"/>
  <c r="N177" i="10" s="1"/>
  <c r="N28" i="10"/>
  <c r="N92" i="10" s="1"/>
  <c r="M62" i="7"/>
  <c r="O224" i="10"/>
  <c r="O223" i="10"/>
  <c r="O222" i="10"/>
  <c r="M61" i="7"/>
  <c r="M30" i="10"/>
  <c r="M94" i="10"/>
  <c r="P50" i="10"/>
  <c r="P14" i="10"/>
  <c r="AB19" i="8" l="1"/>
  <c r="AB18" i="8"/>
  <c r="M242" i="10"/>
  <c r="M255" i="10" s="1"/>
  <c r="M171" i="10" s="1"/>
  <c r="AD10" i="8"/>
  <c r="AD11" i="8" s="1"/>
  <c r="N55" i="10"/>
  <c r="N63" i="10"/>
  <c r="N53" i="10"/>
  <c r="N54" i="10"/>
  <c r="N64" i="10"/>
  <c r="P22" i="10"/>
  <c r="P89" i="10" s="1"/>
  <c r="O43" i="10"/>
  <c r="O29" i="10"/>
  <c r="O93" i="10" s="1"/>
  <c r="O94" i="10" s="1"/>
  <c r="AF10" i="8" s="1"/>
  <c r="M56" i="10"/>
  <c r="M58" i="10" s="1"/>
  <c r="N179" i="10"/>
  <c r="O228" i="10"/>
  <c r="O103" i="10" s="1"/>
  <c r="O134" i="10" s="1"/>
  <c r="O177" i="10" s="1"/>
  <c r="O24" i="10"/>
  <c r="O89" i="10"/>
  <c r="N30" i="10"/>
  <c r="N94" i="10"/>
  <c r="AE10" i="8" s="1"/>
  <c r="P222" i="10"/>
  <c r="P225" i="10"/>
  <c r="P223" i="10"/>
  <c r="P224" i="10"/>
  <c r="Q50" i="10"/>
  <c r="Q14" i="10"/>
  <c r="N65" i="10" l="1"/>
  <c r="N73" i="10" s="1"/>
  <c r="N96" i="10" s="1"/>
  <c r="AE11" i="8"/>
  <c r="AF11" i="8"/>
  <c r="O55" i="10"/>
  <c r="O53" i="10"/>
  <c r="O63" i="10"/>
  <c r="O54" i="10"/>
  <c r="O64" i="10"/>
  <c r="N56" i="10"/>
  <c r="N58" i="10" s="1"/>
  <c r="Q22" i="10"/>
  <c r="Q28" i="10" s="1"/>
  <c r="P43" i="10"/>
  <c r="P29" i="10"/>
  <c r="P93" i="10" s="1"/>
  <c r="N243" i="10"/>
  <c r="N98" i="10"/>
  <c r="N101" i="10" s="1"/>
  <c r="AE13" i="8" s="1"/>
  <c r="P24" i="10"/>
  <c r="P28" i="10"/>
  <c r="P92" i="10" s="1"/>
  <c r="O179" i="10"/>
  <c r="O30" i="10"/>
  <c r="O242" i="10"/>
  <c r="O255" i="10" s="1"/>
  <c r="N242" i="10"/>
  <c r="N255" i="10" s="1"/>
  <c r="Q223" i="10"/>
  <c r="Q222" i="10"/>
  <c r="Q224" i="10"/>
  <c r="Q225" i="10"/>
  <c r="Q226" i="10"/>
  <c r="P228" i="10"/>
  <c r="P103" i="10" s="1"/>
  <c r="P134" i="10" s="1"/>
  <c r="P177" i="10" s="1"/>
  <c r="O65" i="10" l="1"/>
  <c r="O73" i="10" s="1"/>
  <c r="O96" i="10" s="1"/>
  <c r="AE14" i="8"/>
  <c r="N256" i="10"/>
  <c r="N260" i="10"/>
  <c r="N187" i="10" s="1"/>
  <c r="N257" i="10"/>
  <c r="N173" i="10" s="1"/>
  <c r="N258" i="10"/>
  <c r="N174" i="10" s="1"/>
  <c r="N259" i="10"/>
  <c r="N186" i="10" s="1"/>
  <c r="O243" i="10"/>
  <c r="O98" i="10"/>
  <c r="O101" i="10" s="1"/>
  <c r="O117" i="10" s="1"/>
  <c r="Q43" i="10"/>
  <c r="Q29" i="10"/>
  <c r="Q93" i="10" s="1"/>
  <c r="O56" i="10"/>
  <c r="O58" i="10" s="1"/>
  <c r="P63" i="10"/>
  <c r="P64" i="10"/>
  <c r="P55" i="10"/>
  <c r="P53" i="10"/>
  <c r="P54" i="10"/>
  <c r="Q92" i="10"/>
  <c r="Q30" i="10"/>
  <c r="P94" i="10"/>
  <c r="P30" i="10"/>
  <c r="Q89" i="10"/>
  <c r="Q24" i="10"/>
  <c r="P179" i="10"/>
  <c r="Q228" i="10"/>
  <c r="Q103" i="10" s="1"/>
  <c r="Q134" i="10" s="1"/>
  <c r="Q177" i="10" s="1"/>
  <c r="Q179" i="10" s="1"/>
  <c r="N171" i="10"/>
  <c r="O171" i="10"/>
  <c r="N104" i="10"/>
  <c r="N117" i="10"/>
  <c r="P56" i="10" l="1"/>
  <c r="P58" i="10" s="1"/>
  <c r="Q94" i="10"/>
  <c r="AH10" i="8" s="1"/>
  <c r="P242" i="10"/>
  <c r="P255" i="10" s="1"/>
  <c r="P171" i="10" s="1"/>
  <c r="AG10" i="8"/>
  <c r="AG11" i="8" s="1"/>
  <c r="N261" i="10"/>
  <c r="O104" i="10"/>
  <c r="O118" i="10" s="1"/>
  <c r="AF13" i="8"/>
  <c r="O256" i="10"/>
  <c r="O260" i="10"/>
  <c r="O187" i="10" s="1"/>
  <c r="O257" i="10"/>
  <c r="O173" i="10" s="1"/>
  <c r="O258" i="10"/>
  <c r="O174" i="10" s="1"/>
  <c r="O259" i="10"/>
  <c r="O186" i="10" s="1"/>
  <c r="Q55" i="10"/>
  <c r="Q54" i="10"/>
  <c r="Q53" i="10"/>
  <c r="Q63" i="10"/>
  <c r="Q64" i="10"/>
  <c r="N172" i="10"/>
  <c r="P65" i="10"/>
  <c r="P73" i="10" s="1"/>
  <c r="P96" i="10" s="1"/>
  <c r="Q242" i="10"/>
  <c r="Q255" i="10" s="1"/>
  <c r="N118" i="10"/>
  <c r="M65" i="10"/>
  <c r="M73" i="10" s="1"/>
  <c r="M96" i="10" s="1"/>
  <c r="Q56" i="10" l="1"/>
  <c r="Q58" i="10" s="1"/>
  <c r="AF15" i="8"/>
  <c r="AF14" i="8"/>
  <c r="AH11" i="8"/>
  <c r="P243" i="10"/>
  <c r="P98" i="10"/>
  <c r="P101" i="10" s="1"/>
  <c r="Q65" i="10"/>
  <c r="Q73" i="10" s="1"/>
  <c r="Q96" i="10" s="1"/>
  <c r="O261" i="10"/>
  <c r="O263" i="10" s="1"/>
  <c r="O136" i="10" s="1"/>
  <c r="O172" i="10"/>
  <c r="Q171" i="10"/>
  <c r="M98" i="10"/>
  <c r="M101" i="10" s="1"/>
  <c r="M243" i="10"/>
  <c r="M117" i="10" l="1"/>
  <c r="AD13" i="8"/>
  <c r="P117" i="10"/>
  <c r="AG13" i="8"/>
  <c r="Q98" i="10"/>
  <c r="Q101" i="10" s="1"/>
  <c r="AH13" i="8" s="1"/>
  <c r="Q243" i="10"/>
  <c r="M256" i="10"/>
  <c r="M258" i="10"/>
  <c r="M174" i="10" s="1"/>
  <c r="M259" i="10"/>
  <c r="M186" i="10" s="1"/>
  <c r="M257" i="10"/>
  <c r="M260" i="10"/>
  <c r="M187" i="10" s="1"/>
  <c r="P104" i="10"/>
  <c r="P118" i="10" s="1"/>
  <c r="P256" i="10"/>
  <c r="P260" i="10"/>
  <c r="P187" i="10" s="1"/>
  <c r="P257" i="10"/>
  <c r="P173" i="10" s="1"/>
  <c r="P258" i="10"/>
  <c r="P174" i="10" s="1"/>
  <c r="P259" i="10"/>
  <c r="P186" i="10" s="1"/>
  <c r="M173" i="10"/>
  <c r="M104" i="10"/>
  <c r="AG15" i="8" l="1"/>
  <c r="AG14" i="8"/>
  <c r="AD15" i="8"/>
  <c r="AD14" i="8"/>
  <c r="AE15" i="8"/>
  <c r="AH15" i="8"/>
  <c r="AH14" i="8"/>
  <c r="M261" i="10"/>
  <c r="Q256" i="10"/>
  <c r="Q259" i="10"/>
  <c r="Q186" i="10" s="1"/>
  <c r="Q258" i="10"/>
  <c r="Q174" i="10" s="1"/>
  <c r="Q260" i="10"/>
  <c r="Q187" i="10" s="1"/>
  <c r="Q257" i="10"/>
  <c r="Q173" i="10" s="1"/>
  <c r="P261" i="10"/>
  <c r="P172" i="10"/>
  <c r="Q104" i="10"/>
  <c r="Q118" i="10" s="1"/>
  <c r="Q117" i="10"/>
  <c r="M107" i="10"/>
  <c r="M278" i="10" s="1"/>
  <c r="M118" i="10"/>
  <c r="M172" i="10"/>
  <c r="P263" i="10" l="1"/>
  <c r="P136" i="10" s="1"/>
  <c r="Q261" i="10"/>
  <c r="Q263" i="10" s="1"/>
  <c r="Q136" i="10" s="1"/>
  <c r="Q172" i="10"/>
  <c r="M281" i="10"/>
  <c r="M287" i="10" s="1"/>
  <c r="M109" i="10" s="1"/>
  <c r="M283" i="10"/>
  <c r="N263" i="10"/>
  <c r="N136" i="10" s="1"/>
  <c r="M263" i="10"/>
  <c r="M136" i="10" s="1"/>
  <c r="M288" i="10" l="1"/>
  <c r="M289" i="10" s="1"/>
  <c r="M110" i="10" l="1"/>
  <c r="M190" i="10" s="1"/>
  <c r="M111" i="10" l="1"/>
  <c r="M113" i="10" s="1"/>
  <c r="M135" i="10"/>
  <c r="M192" i="10"/>
  <c r="M133" i="10" l="1"/>
  <c r="M137" i="10" s="1"/>
  <c r="M311" i="10" s="1"/>
  <c r="AD17" i="8"/>
  <c r="AD19" i="8" l="1"/>
  <c r="AD18" i="8"/>
  <c r="M357" i="10"/>
  <c r="M362" i="10" l="1"/>
  <c r="M358" i="10"/>
  <c r="M315" i="10" s="1"/>
  <c r="M316" i="10" s="1"/>
  <c r="M321" i="10" s="1"/>
  <c r="M150" i="10" l="1"/>
  <c r="M363" i="10"/>
  <c r="M364" i="10" s="1"/>
  <c r="M197" i="10" s="1"/>
  <c r="M198" i="10" s="1"/>
  <c r="M147" i="10"/>
  <c r="N361" i="10" l="1"/>
  <c r="M322" i="10"/>
  <c r="M185" i="10" s="1"/>
  <c r="M188" i="10" s="1"/>
  <c r="M194" i="10" s="1"/>
  <c r="M200" i="10" s="1"/>
  <c r="M151" i="10"/>
  <c r="M154" i="10" s="1"/>
  <c r="M119" i="10"/>
  <c r="N320" i="10" l="1"/>
  <c r="N325" i="10" s="1"/>
  <c r="M303" i="10"/>
  <c r="M304" i="10" s="1"/>
  <c r="N302" i="10" s="1"/>
  <c r="N307" i="10" s="1"/>
  <c r="M156" i="10"/>
  <c r="M170" i="10" s="1"/>
  <c r="M175" i="10" s="1"/>
  <c r="M181" i="10" s="1"/>
  <c r="M203" i="10" s="1"/>
  <c r="N336" i="10" l="1"/>
  <c r="N106" i="10" s="1"/>
  <c r="N107" i="10" s="1"/>
  <c r="N278" i="10" s="1"/>
  <c r="N155" i="10"/>
  <c r="N283" i="10" l="1"/>
  <c r="N281" i="10"/>
  <c r="N287" i="10" s="1"/>
  <c r="N109" i="10" s="1"/>
  <c r="N288" i="10" l="1"/>
  <c r="N289" i="10" s="1"/>
  <c r="N110" i="10" l="1"/>
  <c r="N135" i="10" s="1"/>
  <c r="N190" i="10" l="1"/>
  <c r="N192" i="10" s="1"/>
  <c r="N111" i="10"/>
  <c r="N113" i="10" s="1"/>
  <c r="N133" i="10" l="1"/>
  <c r="N357" i="10" s="1"/>
  <c r="AE17" i="8"/>
  <c r="N362" i="10" l="1"/>
  <c r="N358" i="10"/>
  <c r="AE18" i="8"/>
  <c r="AE19" i="8"/>
  <c r="N137" i="10"/>
  <c r="N311" i="10" s="1"/>
  <c r="N315" i="10" l="1"/>
  <c r="N316" i="10" s="1"/>
  <c r="N321" i="10" s="1"/>
  <c r="N150" i="10"/>
  <c r="N363" i="10"/>
  <c r="N364" i="10" s="1"/>
  <c r="O361" i="10" s="1"/>
  <c r="N147" i="10" l="1"/>
  <c r="N151" i="10" s="1"/>
  <c r="N154" i="10" s="1"/>
  <c r="N303" i="10" s="1"/>
  <c r="N304" i="10" s="1"/>
  <c r="O302" i="10" s="1"/>
  <c r="O307" i="10" s="1"/>
  <c r="N322" i="10"/>
  <c r="O320" i="10" s="1"/>
  <c r="O325" i="10" s="1"/>
  <c r="N197" i="10"/>
  <c r="N198" i="10" s="1"/>
  <c r="N119" i="10" s="1"/>
  <c r="O336" i="10" l="1"/>
  <c r="O106" i="10" s="1"/>
  <c r="N185" i="10"/>
  <c r="N188" i="10" s="1"/>
  <c r="N194" i="10" s="1"/>
  <c r="N200" i="10" s="1"/>
  <c r="N156" i="10"/>
  <c r="O155" i="10" s="1"/>
  <c r="O107" i="10"/>
  <c r="O278" i="10" s="1"/>
  <c r="N170" i="10" l="1"/>
  <c r="N175" i="10" s="1"/>
  <c r="N181" i="10" s="1"/>
  <c r="N203" i="10" s="1"/>
  <c r="O281" i="10"/>
  <c r="O287" i="10" s="1"/>
  <c r="O109" i="10" s="1"/>
  <c r="O283" i="10"/>
  <c r="O288" i="10" l="1"/>
  <c r="O289" i="10" s="1"/>
  <c r="O110" i="10" l="1"/>
  <c r="O135" i="10" s="1"/>
  <c r="O190" i="10" l="1"/>
  <c r="O192" i="10" s="1"/>
  <c r="O111" i="10"/>
  <c r="O113" i="10" s="1"/>
  <c r="O133" i="10" l="1"/>
  <c r="O357" i="10" s="1"/>
  <c r="AF17" i="8"/>
  <c r="O362" i="10" l="1"/>
  <c r="O358" i="10"/>
  <c r="O137" i="10"/>
  <c r="O311" i="10" s="1"/>
  <c r="AF19" i="8"/>
  <c r="AF18" i="8"/>
  <c r="O315" i="10" l="1"/>
  <c r="O316" i="10" s="1"/>
  <c r="O321" i="10" s="1"/>
  <c r="O150" i="10"/>
  <c r="O363" i="10"/>
  <c r="O364" i="10" s="1"/>
  <c r="O197" i="10" s="1"/>
  <c r="O198" i="10" s="1"/>
  <c r="O119" i="10" s="1"/>
  <c r="O147" i="10" l="1"/>
  <c r="O151" i="10" s="1"/>
  <c r="O154" i="10" s="1"/>
  <c r="O322" i="10"/>
  <c r="P320" i="10" s="1"/>
  <c r="P325" i="10" s="1"/>
  <c r="P361" i="10"/>
  <c r="O185" i="10" l="1"/>
  <c r="O188" i="10" s="1"/>
  <c r="O194" i="10" s="1"/>
  <c r="O200" i="10" s="1"/>
  <c r="O303" i="10"/>
  <c r="O304" i="10" s="1"/>
  <c r="P302" i="10" s="1"/>
  <c r="P307" i="10" s="1"/>
  <c r="P336" i="10" s="1"/>
  <c r="P106" i="10" s="1"/>
  <c r="P107" i="10" s="1"/>
  <c r="O156" i="10"/>
  <c r="P155" i="10" l="1"/>
  <c r="O170" i="10"/>
  <c r="O175" i="10" s="1"/>
  <c r="O181" i="10" s="1"/>
  <c r="O203" i="10" s="1"/>
  <c r="P278" i="10"/>
  <c r="P283" i="10" s="1"/>
  <c r="P281" i="10" l="1"/>
  <c r="P287" i="10" s="1"/>
  <c r="P109" i="10" s="1"/>
  <c r="P288" i="10" l="1"/>
  <c r="P289" i="10" l="1"/>
  <c r="P110" i="10"/>
  <c r="P111" i="10" s="1"/>
  <c r="P113" i="10" s="1"/>
  <c r="P133" i="10" l="1"/>
  <c r="P357" i="10" s="1"/>
  <c r="AG17" i="8"/>
  <c r="P190" i="10"/>
  <c r="P192" i="10" s="1"/>
  <c r="P135" i="10"/>
  <c r="P362" i="10" l="1"/>
  <c r="P358" i="10"/>
  <c r="P315" i="10" s="1"/>
  <c r="AG18" i="8"/>
  <c r="AG19" i="8"/>
  <c r="P137" i="10"/>
  <c r="P311" i="10" s="1"/>
  <c r="P363" i="10" l="1"/>
  <c r="P364" i="10" s="1"/>
  <c r="Q361" i="10" s="1"/>
  <c r="P150" i="10"/>
  <c r="P316" i="10"/>
  <c r="P197" i="10"/>
  <c r="P198" i="10" s="1"/>
  <c r="P321" i="10" l="1"/>
  <c r="P147" i="10" s="1"/>
  <c r="P119" i="10"/>
  <c r="P322" i="10" l="1"/>
  <c r="P185" i="10" s="1"/>
  <c r="P188" i="10" s="1"/>
  <c r="P194" i="10" s="1"/>
  <c r="P200" i="10" s="1"/>
  <c r="P151" i="10"/>
  <c r="P154" i="10" s="1"/>
  <c r="Q320" i="10" l="1"/>
  <c r="Q325" i="10" s="1"/>
  <c r="P303" i="10"/>
  <c r="P304" i="10" s="1"/>
  <c r="Q302" i="10" s="1"/>
  <c r="Q307" i="10" s="1"/>
  <c r="Q336" i="10" s="1"/>
  <c r="Q106" i="10" s="1"/>
  <c r="Q107" i="10" s="1"/>
  <c r="Q278" i="10" s="1"/>
  <c r="P156" i="10"/>
  <c r="Q155" i="10" s="1"/>
  <c r="P170" i="10" l="1"/>
  <c r="P175" i="10" s="1"/>
  <c r="P181" i="10" s="1"/>
  <c r="P203" i="10" s="1"/>
  <c r="Q283" i="10"/>
  <c r="Q281" i="10"/>
  <c r="Q287" i="10" s="1"/>
  <c r="Q109" i="10" s="1"/>
  <c r="Q288" i="10" l="1"/>
  <c r="Q110" i="10" s="1"/>
  <c r="Q111" i="10" s="1"/>
  <c r="Q113" i="10" s="1"/>
  <c r="Q133" i="10" l="1"/>
  <c r="Q357" i="10" s="1"/>
  <c r="AH17" i="8"/>
  <c r="Q289" i="10"/>
  <c r="Q190" i="10"/>
  <c r="Q192" i="10" s="1"/>
  <c r="Q135" i="10"/>
  <c r="Q358" i="10" l="1"/>
  <c r="Q315" i="10" s="1"/>
  <c r="AH19" i="8"/>
  <c r="AH18" i="8"/>
  <c r="Q362" i="10"/>
  <c r="Q137" i="10"/>
  <c r="Q311" i="10" s="1"/>
  <c r="Q363" i="10"/>
  <c r="Q150" i="10" l="1"/>
  <c r="Q364" i="10"/>
  <c r="Q197" i="10" s="1"/>
  <c r="Q198" i="10" s="1"/>
  <c r="Q119" i="10" s="1"/>
  <c r="Q316" i="10"/>
  <c r="Q321" i="10" l="1"/>
  <c r="Q147" i="10" s="1"/>
  <c r="Q322" i="10" l="1"/>
  <c r="Q185" i="10" s="1"/>
  <c r="Q188" i="10" s="1"/>
  <c r="Q194" i="10" s="1"/>
  <c r="Q200" i="10" s="1"/>
  <c r="Q151" i="10"/>
  <c r="Q154" i="10" s="1"/>
  <c r="Q156" i="10" s="1"/>
  <c r="Q170" i="10" s="1"/>
  <c r="Q175" i="10" s="1"/>
  <c r="Q181" i="10" s="1"/>
  <c r="Q203" i="10" s="1"/>
  <c r="Q303" i="10" l="1"/>
  <c r="Q304" i="10" s="1"/>
</calcChain>
</file>

<file path=xl/sharedStrings.xml><?xml version="1.0" encoding="utf-8"?>
<sst xmlns="http://schemas.openxmlformats.org/spreadsheetml/2006/main" count="508" uniqueCount="215">
  <si>
    <t>Income Statement</t>
  </si>
  <si>
    <t>($ Millions)</t>
  </si>
  <si>
    <t>Executive Summary</t>
  </si>
  <si>
    <t>Projected</t>
  </si>
  <si>
    <t>Inputs and Assumptions</t>
  </si>
  <si>
    <t>Units</t>
  </si>
  <si>
    <t>Price</t>
  </si>
  <si>
    <t>Base Case</t>
  </si>
  <si>
    <t>Best Case</t>
  </si>
  <si>
    <t>Worse Case</t>
  </si>
  <si>
    <t>Sales Volume</t>
  </si>
  <si>
    <t>Sales Volume Growth</t>
  </si>
  <si>
    <t>Cost Inflation</t>
  </si>
  <si>
    <t>SALES SCENARIOS</t>
  </si>
  <si>
    <t>HANDERSON MANUFACTURING</t>
  </si>
  <si>
    <t>ONI, SEGUN JOHN</t>
  </si>
  <si>
    <t>VER. 1.01</t>
  </si>
  <si>
    <t>DATE:</t>
  </si>
  <si>
    <t>SCENARIO SWITH:</t>
  </si>
  <si>
    <t>ECONOMIC SCENARIO</t>
  </si>
  <si>
    <t>GENERAL</t>
  </si>
  <si>
    <t>-</t>
  </si>
  <si>
    <t>First Year of Forecast in Financial Model:</t>
  </si>
  <si>
    <t>and Volume, respectively</t>
  </si>
  <si>
    <t>Raw Material</t>
  </si>
  <si>
    <t>Utilities</t>
  </si>
  <si>
    <t>Rent</t>
  </si>
  <si>
    <t>Operating Labour</t>
  </si>
  <si>
    <t>Other</t>
  </si>
  <si>
    <t>Increases in unit dollar at inflation</t>
  </si>
  <si>
    <t>Increases in total value at Inflation</t>
  </si>
  <si>
    <t>Cost Item</t>
  </si>
  <si>
    <t>Increase</t>
  </si>
  <si>
    <t>The Scenarios are used for Inflation, Product Pricing</t>
  </si>
  <si>
    <t>PRICING</t>
  </si>
  <si>
    <t>Base case</t>
  </si>
  <si>
    <t>The Product pricing cases used in this model are as follows:</t>
  </si>
  <si>
    <t>Product Pricing</t>
  </si>
  <si>
    <t>Research Forecast</t>
  </si>
  <si>
    <t>DEPRECIATION</t>
  </si>
  <si>
    <t>Deprciaition Method used in this model:</t>
  </si>
  <si>
    <t>SG&amp;A</t>
  </si>
  <si>
    <t>Years of Depreciating New Assets</t>
  </si>
  <si>
    <t>Straight Line</t>
  </si>
  <si>
    <t>Company Tax Rate</t>
  </si>
  <si>
    <t>Per Unit</t>
  </si>
  <si>
    <t>MM</t>
  </si>
  <si>
    <t>Additional; Tax Assumptions in the 'Other Assumptions" page</t>
  </si>
  <si>
    <t>TAXES</t>
  </si>
  <si>
    <t>INTEREST RATES</t>
  </si>
  <si>
    <t>Interests</t>
  </si>
  <si>
    <t>Interest earned on Cash</t>
  </si>
  <si>
    <t>Interest rates on Revolver</t>
  </si>
  <si>
    <t>Interest rates on Senior Secured Debt</t>
  </si>
  <si>
    <t>OPERATIONS</t>
  </si>
  <si>
    <t>Maximum Factory Capacity ('000s Unit)</t>
  </si>
  <si>
    <t>EQUITY</t>
  </si>
  <si>
    <t>Share Price as at 31/12/2021</t>
  </si>
  <si>
    <t>Dividend Payout ration for Common Stocks</t>
  </si>
  <si>
    <r>
      <t>Total Common Shares Outstanding (</t>
    </r>
    <r>
      <rPr>
        <sz val="10"/>
        <color theme="2" tint="-0.749992370372631"/>
        <rFont val="Times New Roman"/>
        <family val="1"/>
      </rPr>
      <t>MM</t>
    </r>
    <r>
      <rPr>
        <sz val="10"/>
        <color theme="1"/>
        <rFont val="Times New Roman"/>
        <family val="1"/>
      </rPr>
      <t>)</t>
    </r>
  </si>
  <si>
    <t>MODELER:</t>
  </si>
  <si>
    <t>VERSION:</t>
  </si>
  <si>
    <t>Cost Adjustments - Gain/(Loss)</t>
  </si>
  <si>
    <t>Cash Flow Statemement</t>
  </si>
  <si>
    <t>Income Statememnt</t>
  </si>
  <si>
    <t>Investing Activities - Other</t>
  </si>
  <si>
    <t>Financing Avtivities - Common Shares Issuance/ (Buy-Back)</t>
  </si>
  <si>
    <t>Expected Increase in Sales Volume</t>
  </si>
  <si>
    <t>CAPEX</t>
  </si>
  <si>
    <t>Income Tax</t>
  </si>
  <si>
    <t>Reduction in Tax due to Government allowances</t>
  </si>
  <si>
    <t>Working Capital</t>
  </si>
  <si>
    <t>Cash and Equivalents</t>
  </si>
  <si>
    <t>Accounts Receivable</t>
  </si>
  <si>
    <t>Inventory</t>
  </si>
  <si>
    <t>Prepaid Expenses</t>
  </si>
  <si>
    <t>Accounts Payable</t>
  </si>
  <si>
    <t>Other Assets</t>
  </si>
  <si>
    <t>Other Liabilities</t>
  </si>
  <si>
    <t>Change in Debt and Equity</t>
  </si>
  <si>
    <t>Senior Secured Term Debt- Repayment</t>
  </si>
  <si>
    <t>PRODUCTION COST</t>
  </si>
  <si>
    <t>Other Expenses</t>
  </si>
  <si>
    <t>Capital Expenditures</t>
  </si>
  <si>
    <t>Useful Life of Remaining Assets</t>
  </si>
  <si>
    <t>Working Capital Schedule</t>
  </si>
  <si>
    <t>Net Revenue</t>
  </si>
  <si>
    <t>Cost of Sales</t>
  </si>
  <si>
    <t>Account Balances</t>
  </si>
  <si>
    <t>Days In</t>
  </si>
  <si>
    <t>Change in Working Capital</t>
  </si>
  <si>
    <t>Net Working Capital</t>
  </si>
  <si>
    <t>Days in the Year</t>
  </si>
  <si>
    <t>Revenue Schedule</t>
  </si>
  <si>
    <t>Economic and Pricing Scenarios</t>
  </si>
  <si>
    <t>Revenue</t>
  </si>
  <si>
    <t>Gross Revenue</t>
  </si>
  <si>
    <t>Freight and Warehousing</t>
  </si>
  <si>
    <t>Net sale Price</t>
  </si>
  <si>
    <t>(%)</t>
  </si>
  <si>
    <t>($/Unit)</t>
  </si>
  <si>
    <t>Sales Price - ($/Unit)</t>
  </si>
  <si>
    <t>(MM)</t>
  </si>
  <si>
    <t>(days)</t>
  </si>
  <si>
    <t>Maximum factory Capacity</t>
  </si>
  <si>
    <t>Volume Growth</t>
  </si>
  <si>
    <t>Freight $ Warehousing</t>
  </si>
  <si>
    <t>Implied operating Rate</t>
  </si>
  <si>
    <t>(000's Units)</t>
  </si>
  <si>
    <t>Freight &amp; Warehousing</t>
  </si>
  <si>
    <t>Total Costs</t>
  </si>
  <si>
    <t>EBITDA</t>
  </si>
  <si>
    <t>Depreciation</t>
  </si>
  <si>
    <t>EBIT</t>
  </si>
  <si>
    <t>Interest Expense</t>
  </si>
  <si>
    <t>EBT</t>
  </si>
  <si>
    <t>Current Taxes</t>
  </si>
  <si>
    <t>Deferred Income Taxes</t>
  </si>
  <si>
    <t>Total Income Taxes</t>
  </si>
  <si>
    <t>Net Income to Common</t>
  </si>
  <si>
    <t>Cash Flow Statement</t>
  </si>
  <si>
    <t>Operating Activities</t>
  </si>
  <si>
    <t>Net Income</t>
  </si>
  <si>
    <t>Changes in Working Capital</t>
  </si>
  <si>
    <t>Operating Cash Flow</t>
  </si>
  <si>
    <t>Investing Activities</t>
  </si>
  <si>
    <t>Investing Cash Flow</t>
  </si>
  <si>
    <t>Financing Activities</t>
  </si>
  <si>
    <t>Revolver Issuance / (Repayment)</t>
  </si>
  <si>
    <t>Total Term Debt Issuance / (Repayment)</t>
  </si>
  <si>
    <t>Common Shares Issuance/ (Buy-Back)</t>
  </si>
  <si>
    <t>Common Dividends</t>
  </si>
  <si>
    <t>Financing Cash Flow</t>
  </si>
  <si>
    <t>Change in Cash Position</t>
  </si>
  <si>
    <t>Beginning Cash</t>
  </si>
  <si>
    <t>Ending Cash</t>
  </si>
  <si>
    <t>ASSETS</t>
  </si>
  <si>
    <t>Total Current Assets</t>
  </si>
  <si>
    <t>Net PP&amp;E</t>
  </si>
  <si>
    <t>Total Long Term Assets</t>
  </si>
  <si>
    <t>Total Assets</t>
  </si>
  <si>
    <t>LIABILITIES AND EQUITY</t>
  </si>
  <si>
    <t>Bank Debt - Revolver</t>
  </si>
  <si>
    <t>Total Current Liabilities</t>
  </si>
  <si>
    <t>Senior Secured Term Debt</t>
  </si>
  <si>
    <t>Total Long Term Liabilities</t>
  </si>
  <si>
    <t>Total Liabilities</t>
  </si>
  <si>
    <t>Common Shares</t>
  </si>
  <si>
    <t>Retained Earnings</t>
  </si>
  <si>
    <t>Shareholder's Equity</t>
  </si>
  <si>
    <t>Total Liabilities and Equity</t>
  </si>
  <si>
    <t>Cost Schedule</t>
  </si>
  <si>
    <t>Gross Sale Price</t>
  </si>
  <si>
    <t xml:space="preserve">Cost inflation </t>
  </si>
  <si>
    <t>Annual Saless volume</t>
  </si>
  <si>
    <t>COST PER UNIT</t>
  </si>
  <si>
    <t>Variable Cost</t>
  </si>
  <si>
    <t>Total Variale Cost</t>
  </si>
  <si>
    <t>Fixed Cost</t>
  </si>
  <si>
    <t>Total Fixed Cost</t>
  </si>
  <si>
    <t>COST IN MILLIONS OF $</t>
  </si>
  <si>
    <t>Margin</t>
  </si>
  <si>
    <t>EBIDTA Margin</t>
  </si>
  <si>
    <t>EBIT Margin</t>
  </si>
  <si>
    <t>ROE</t>
  </si>
  <si>
    <t>CHECK</t>
  </si>
  <si>
    <t>Balnace Sheet</t>
  </si>
  <si>
    <t>Depreciation Schedule</t>
  </si>
  <si>
    <t>Depreciation Years on New Assets:</t>
  </si>
  <si>
    <t>Years Remaining on Existing Assets:</t>
  </si>
  <si>
    <t>Depreciation on Existing Assets</t>
  </si>
  <si>
    <t>Total Depreciation</t>
  </si>
  <si>
    <t>Tax Schedule</t>
  </si>
  <si>
    <t>Tax Rate:</t>
  </si>
  <si>
    <t>Government EBT</t>
  </si>
  <si>
    <t>A</t>
  </si>
  <si>
    <t>Accounting EBT</t>
  </si>
  <si>
    <t>B</t>
  </si>
  <si>
    <t>Accounting Tax Rate (35% of A)</t>
  </si>
  <si>
    <t>Tax as it appears on Income Statement</t>
  </si>
  <si>
    <t>Current Taxes (35% of B)</t>
  </si>
  <si>
    <t>Debt and Interest Schedule</t>
  </si>
  <si>
    <t xml:space="preserve"> </t>
  </si>
  <si>
    <t>Equity Schedule</t>
  </si>
  <si>
    <t>Beginning Balance</t>
  </si>
  <si>
    <t>Commond Dividend</t>
  </si>
  <si>
    <t>Ending Balance</t>
  </si>
  <si>
    <t>New issuance / Buy-back</t>
  </si>
  <si>
    <t>Ending balance</t>
  </si>
  <si>
    <r>
      <t xml:space="preserve">    </t>
    </r>
    <r>
      <rPr>
        <b/>
        <sz val="10"/>
        <color theme="1"/>
        <rFont val="Times New Roman"/>
        <family val="1"/>
      </rPr>
      <t>Less:</t>
    </r>
    <r>
      <rPr>
        <sz val="10"/>
        <color theme="1"/>
        <rFont val="Times New Roman"/>
        <family val="1"/>
      </rPr>
      <t xml:space="preserve"> Reduction in EBT due to Timing difference</t>
    </r>
  </si>
  <si>
    <t>Dividend payout Ratio</t>
  </si>
  <si>
    <t>Common Dividend</t>
  </si>
  <si>
    <t>Cash</t>
  </si>
  <si>
    <t>Additions / Repayment</t>
  </si>
  <si>
    <t>Interest Rate</t>
  </si>
  <si>
    <t>Annual Interest Rate</t>
  </si>
  <si>
    <t>Net Interest Expense</t>
  </si>
  <si>
    <t>Change in Cash</t>
  </si>
  <si>
    <t>Interest Income</t>
  </si>
  <si>
    <t>Mandatory Debt Repayments</t>
  </si>
  <si>
    <t>Common Stock Issuance / (Buy Back)</t>
  </si>
  <si>
    <t>Dividends</t>
  </si>
  <si>
    <t>FCF after Mandatory Debt Repayment and Dividend</t>
  </si>
  <si>
    <t>Revolver Opening Balance</t>
  </si>
  <si>
    <t>Additions / (Repayments)</t>
  </si>
  <si>
    <t xml:space="preserve">Revolver Ending Balance </t>
  </si>
  <si>
    <t>Annual Interest Expense</t>
  </si>
  <si>
    <t>Annual Sales volume</t>
  </si>
  <si>
    <t>Growth</t>
  </si>
  <si>
    <t>SUMMARY VALUES - BASE CASE</t>
  </si>
  <si>
    <t>Income Statement Items</t>
  </si>
  <si>
    <t>SUMMARY VALUES - BEST CASE</t>
  </si>
  <si>
    <t>SUMMARY VALUES - WORST CASE</t>
  </si>
  <si>
    <t>SUMMARY VALUES</t>
  </si>
  <si>
    <t xml:space="preserve">Mandatory Cash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</si>
</sst>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6" formatCode="&quot;$&quot;#,##0_);[Red]\(&quot;$&quot;#,##0\)"/>
    <numFmt numFmtId="164" formatCode="_-* #,##0.00_-;\-* #,##0.00_-;_-* &quot;-&quot;??_-;_-@_-"/>
    <numFmt numFmtId="165" formatCode="_(* #,##0_);_(* \(#,##0\);_(* &quot;-&quot;??_);_(@_)"/>
    <numFmt numFmtId="166" formatCode="0\A"/>
    <numFmt numFmtId="167" formatCode="0.0%"/>
    <numFmt numFmtId="168" formatCode="[$$-409]#,##0.0"/>
    <numFmt numFmtId="169" formatCode="_-* #,##0.0_-;\-* #,##0.0_-;_-* &quot;-&quot;??_-;_-@_-"/>
    <numFmt numFmtId="170" formatCode="[$$-409]#,##0.0_ ;\-[$$-409]#,##0.0\ "/>
    <numFmt numFmtId="171" formatCode="0%;\ \(0%\)"/>
    <numFmt numFmtId="172" formatCode="0.0"/>
    <numFmt numFmtId="173" formatCode="0%;\(0.%\)"/>
    <numFmt numFmtId="174" formatCode="\+0%;\(0%\)"/>
    <numFmt numFmtId="175" formatCode="0%;\(0%\)"/>
    <numFmt numFmtId="176" formatCode="0&quot; Years&quot;"/>
    <numFmt numFmtId="177" formatCode="[$$-409]#,##0.00"/>
    <numFmt numFmtId="178" formatCode="[$$-409]#,##0"/>
    <numFmt numFmtId="179" formatCode="#,##0.0_);\(#,##0.0\)"/>
    <numFmt numFmtId="180" formatCode="[$$-409]#,##0.0_ ;\([$$-409]#,##0.0\)"/>
    <numFmt numFmtId="181" formatCode="#,##0.0"/>
    <numFmt numFmtId="182" formatCode="&quot;$&quot;#,##0.0_);\(&quot;$&quot;#,##0.0\)"/>
    <numFmt numFmtId="183" formatCode="#,##0.00000_);\(#,##0.00000\)"/>
    <numFmt numFmtId="184" formatCode="#,##0.000_);\(#,##0.000\)"/>
    <numFmt numFmtId="185" formatCode="#,##0.0;\-#,##0.0"/>
    <numFmt numFmtId="186" formatCode="#,##0.0000_);\(#,##0.0000\)"/>
    <numFmt numFmtId="187" formatCode="_(* #,##0.0_);_(* \(#,##0.0\);_(* &quot;-&quot;??_);_(@_)"/>
    <numFmt numFmtId="188" formatCode="#,##0.000"/>
    <numFmt numFmtId="189" formatCode="#,##0.0;\(#,##0.0\)"/>
    <numFmt numFmtId="190" formatCode="#,##0.0\);\(#,##0.0\)"/>
    <numFmt numFmtId="191" formatCode="0.0%;\(0.0%\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24"/>
      <color rgb="FF0000FF"/>
      <name val="Times New Roman"/>
      <family val="1"/>
    </font>
    <font>
      <sz val="22"/>
      <color theme="1"/>
      <name val="Times New Roman"/>
      <family val="1"/>
    </font>
    <font>
      <b/>
      <sz val="11"/>
      <color theme="1"/>
      <name val="Times New Roman"/>
      <family val="1"/>
    </font>
    <font>
      <sz val="2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FF"/>
      <name val="Times New Roman"/>
      <family val="1"/>
    </font>
    <font>
      <sz val="10"/>
      <color rgb="FF993366"/>
      <name val="Times New Roman"/>
      <family val="1"/>
    </font>
    <font>
      <b/>
      <sz val="10"/>
      <color rgb="FF0000FF"/>
      <name val="Times New Roman"/>
      <family val="1"/>
    </font>
    <font>
      <sz val="10"/>
      <color theme="2" tint="-0.749992370372631"/>
      <name val="Times New Roman"/>
      <family val="1"/>
    </font>
    <font>
      <sz val="10"/>
      <color indexed="12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8"/>
      <color theme="2" tint="-0.749992370372631"/>
      <name val="Times New Roman"/>
      <family val="1"/>
    </font>
    <font>
      <b/>
      <sz val="14"/>
      <color theme="2" tint="-0.749992370372631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b/>
      <sz val="10"/>
      <color theme="2" tint="-0.749992370372631"/>
      <name val="Times New Roman"/>
      <family val="1"/>
    </font>
    <font>
      <b/>
      <sz val="10"/>
      <color indexed="12"/>
      <name val="Times New Roman"/>
      <family val="1"/>
    </font>
    <font>
      <i/>
      <sz val="10"/>
      <color theme="1"/>
      <name val="Times New Roman"/>
      <family val="1"/>
    </font>
    <font>
      <i/>
      <sz val="10"/>
      <color theme="2" tint="-0.749992370372631"/>
      <name val="Times New Roman"/>
      <family val="1"/>
    </font>
    <font>
      <b/>
      <sz val="10"/>
      <color rgb="FF993366"/>
      <name val="Times New Roman"/>
      <family val="1"/>
    </font>
    <font>
      <b/>
      <i/>
      <sz val="10"/>
      <color theme="1"/>
      <name val="Times New Roman"/>
      <family val="1"/>
    </font>
    <font>
      <i/>
      <sz val="10"/>
      <color rgb="FF0000FF"/>
      <name val="Times New Roman"/>
      <family val="1"/>
    </font>
    <font>
      <u/>
      <sz val="10"/>
      <color theme="1"/>
      <name val="Times New Roman"/>
      <family val="1"/>
    </font>
    <font>
      <b/>
      <u/>
      <sz val="10"/>
      <color theme="2" tint="-0.749992370372631"/>
      <name val="Times New Roman"/>
      <family val="1"/>
    </font>
    <font>
      <b/>
      <u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6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 applyBorder="1" applyProtection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6" fillId="0" borderId="0" xfId="0" quotePrefix="1" applyFont="1"/>
    <xf numFmtId="0" fontId="7" fillId="0" borderId="0" xfId="0" applyFont="1" applyAlignment="1">
      <alignment horizontal="centerContinuous"/>
    </xf>
    <xf numFmtId="0" fontId="3" fillId="0" borderId="3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1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22" fontId="8" fillId="0" borderId="0" xfId="0" applyNumberFormat="1" applyFont="1" applyAlignment="1">
      <alignment horizontal="left"/>
    </xf>
    <xf numFmtId="0" fontId="3" fillId="0" borderId="15" xfId="0" applyFont="1" applyBorder="1"/>
    <xf numFmtId="0" fontId="3" fillId="0" borderId="1" xfId="0" applyFont="1" applyBorder="1"/>
    <xf numFmtId="0" fontId="7" fillId="0" borderId="16" xfId="0" applyFont="1" applyBorder="1" applyAlignment="1">
      <alignment horizontal="centerContinuous"/>
    </xf>
    <xf numFmtId="0" fontId="8" fillId="0" borderId="13" xfId="0" applyFont="1" applyBorder="1"/>
    <xf numFmtId="167" fontId="13" fillId="0" borderId="4" xfId="2" applyNumberFormat="1" applyFont="1" applyBorder="1"/>
    <xf numFmtId="167" fontId="13" fillId="0" borderId="5" xfId="2" applyNumberFormat="1" applyFont="1" applyBorder="1"/>
    <xf numFmtId="167" fontId="13" fillId="0" borderId="6" xfId="2" applyNumberFormat="1" applyFont="1" applyBorder="1"/>
    <xf numFmtId="0" fontId="14" fillId="0" borderId="0" xfId="0" applyFont="1"/>
    <xf numFmtId="167" fontId="15" fillId="0" borderId="7" xfId="2" applyNumberFormat="1" applyFont="1" applyBorder="1"/>
    <xf numFmtId="167" fontId="15" fillId="0" borderId="8" xfId="2" applyNumberFormat="1" applyFont="1" applyBorder="1"/>
    <xf numFmtId="167" fontId="15" fillId="0" borderId="9" xfId="2" applyNumberFormat="1" applyFont="1" applyBorder="1"/>
    <xf numFmtId="167" fontId="15" fillId="0" borderId="10" xfId="2" applyNumberFormat="1" applyFont="1" applyBorder="1"/>
    <xf numFmtId="167" fontId="15" fillId="0" borderId="0" xfId="2" applyNumberFormat="1" applyFont="1" applyBorder="1"/>
    <xf numFmtId="167" fontId="15" fillId="0" borderId="11" xfId="2" applyNumberFormat="1" applyFont="1" applyBorder="1"/>
    <xf numFmtId="167" fontId="15" fillId="0" borderId="12" xfId="2" applyNumberFormat="1" applyFont="1" applyBorder="1"/>
    <xf numFmtId="167" fontId="15" fillId="0" borderId="13" xfId="2" applyNumberFormat="1" applyFont="1" applyBorder="1"/>
    <xf numFmtId="167" fontId="15" fillId="0" borderId="14" xfId="2" applyNumberFormat="1" applyFont="1" applyBorder="1"/>
    <xf numFmtId="0" fontId="14" fillId="0" borderId="13" xfId="0" applyFont="1" applyBorder="1"/>
    <xf numFmtId="170" fontId="13" fillId="0" borderId="4" xfId="1" applyNumberFormat="1" applyFont="1" applyBorder="1"/>
    <xf numFmtId="170" fontId="13" fillId="0" borderId="5" xfId="1" applyNumberFormat="1" applyFont="1" applyBorder="1"/>
    <xf numFmtId="170" fontId="13" fillId="0" borderId="6" xfId="1" applyNumberFormat="1" applyFont="1" applyBorder="1"/>
    <xf numFmtId="168" fontId="15" fillId="0" borderId="7" xfId="0" applyNumberFormat="1" applyFont="1" applyBorder="1"/>
    <xf numFmtId="168" fontId="15" fillId="0" borderId="8" xfId="0" applyNumberFormat="1" applyFont="1" applyBorder="1"/>
    <xf numFmtId="168" fontId="15" fillId="0" borderId="9" xfId="0" applyNumberFormat="1" applyFont="1" applyBorder="1"/>
    <xf numFmtId="168" fontId="3" fillId="0" borderId="10" xfId="0" applyNumberFormat="1" applyFont="1" applyBorder="1"/>
    <xf numFmtId="168" fontId="3" fillId="0" borderId="0" xfId="0" applyNumberFormat="1" applyFont="1"/>
    <xf numFmtId="168" fontId="3" fillId="0" borderId="11" xfId="0" applyNumberFormat="1" applyFont="1" applyBorder="1"/>
    <xf numFmtId="168" fontId="3" fillId="0" borderId="12" xfId="0" applyNumberFormat="1" applyFont="1" applyBorder="1"/>
    <xf numFmtId="168" fontId="3" fillId="0" borderId="13" xfId="0" applyNumberFormat="1" applyFont="1" applyBorder="1"/>
    <xf numFmtId="168" fontId="3" fillId="0" borderId="14" xfId="0" applyNumberFormat="1" applyFont="1" applyBorder="1"/>
    <xf numFmtId="0" fontId="13" fillId="0" borderId="17" xfId="0" applyFont="1" applyBorder="1"/>
    <xf numFmtId="0" fontId="14" fillId="0" borderId="18" xfId="0" applyFont="1" applyBorder="1"/>
    <xf numFmtId="0" fontId="13" fillId="0" borderId="19" xfId="0" applyFont="1" applyBorder="1"/>
    <xf numFmtId="0" fontId="14" fillId="0" borderId="3" xfId="0" applyFont="1" applyBorder="1"/>
    <xf numFmtId="0" fontId="14" fillId="0" borderId="20" xfId="0" applyFont="1" applyBorder="1"/>
    <xf numFmtId="0" fontId="13" fillId="0" borderId="0" xfId="0" applyFont="1"/>
    <xf numFmtId="171" fontId="16" fillId="0" borderId="0" xfId="2" applyNumberFormat="1" applyFont="1" applyAlignment="1">
      <alignment horizontal="center"/>
    </xf>
    <xf numFmtId="0" fontId="14" fillId="0" borderId="5" xfId="0" applyFont="1" applyBorder="1"/>
    <xf numFmtId="0" fontId="14" fillId="0" borderId="21" xfId="0" applyFont="1" applyBorder="1" applyAlignment="1">
      <alignment horizontal="center"/>
    </xf>
    <xf numFmtId="0" fontId="15" fillId="0" borderId="18" xfId="0" applyFont="1" applyBorder="1"/>
    <xf numFmtId="0" fontId="14" fillId="0" borderId="19" xfId="0" applyFont="1" applyBorder="1"/>
    <xf numFmtId="0" fontId="15" fillId="0" borderId="0" xfId="0" applyFont="1"/>
    <xf numFmtId="0" fontId="14" fillId="0" borderId="19" xfId="0" applyFont="1" applyBorder="1" applyAlignment="1">
      <alignment horizontal="center"/>
    </xf>
    <xf numFmtId="0" fontId="13" fillId="2" borderId="4" xfId="0" applyFont="1" applyFill="1" applyBorder="1"/>
    <xf numFmtId="0" fontId="14" fillId="2" borderId="5" xfId="0" applyFont="1" applyFill="1" applyBorder="1"/>
    <xf numFmtId="0" fontId="14" fillId="2" borderId="6" xfId="0" applyFont="1" applyFill="1" applyBorder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16" xfId="0" applyFont="1" applyBorder="1"/>
    <xf numFmtId="0" fontId="15" fillId="0" borderId="3" xfId="0" applyFont="1" applyBorder="1"/>
    <xf numFmtId="0" fontId="14" fillId="0" borderId="0" xfId="0" applyFont="1" applyAlignment="1">
      <alignment horizontal="centerContinuous"/>
    </xf>
    <xf numFmtId="173" fontId="15" fillId="0" borderId="3" xfId="2" applyNumberFormat="1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174" fontId="15" fillId="0" borderId="0" xfId="0" applyNumberFormat="1" applyFont="1" applyAlignment="1">
      <alignment horizontal="centerContinuous"/>
    </xf>
    <xf numFmtId="9" fontId="15" fillId="0" borderId="0" xfId="2" applyFont="1" applyBorder="1" applyAlignment="1">
      <alignment horizontal="centerContinuous"/>
    </xf>
    <xf numFmtId="175" fontId="15" fillId="0" borderId="3" xfId="0" applyNumberFormat="1" applyFont="1" applyBorder="1" applyAlignment="1">
      <alignment horizontal="centerContinuous"/>
    </xf>
    <xf numFmtId="0" fontId="17" fillId="0" borderId="18" xfId="0" applyFont="1" applyBorder="1" applyAlignment="1">
      <alignment horizontal="center"/>
    </xf>
    <xf numFmtId="0" fontId="3" fillId="0" borderId="0" xfId="0" applyFont="1" applyAlignment="1">
      <alignment horizontal="centerContinuous"/>
    </xf>
    <xf numFmtId="0" fontId="15" fillId="0" borderId="18" xfId="0" applyFont="1" applyBorder="1" applyAlignment="1">
      <alignment horizontal="right"/>
    </xf>
    <xf numFmtId="0" fontId="14" fillId="0" borderId="21" xfId="0" applyFont="1" applyBorder="1" applyAlignment="1">
      <alignment horizontal="left"/>
    </xf>
    <xf numFmtId="165" fontId="14" fillId="0" borderId="0" xfId="0" applyNumberFormat="1" applyFont="1"/>
    <xf numFmtId="0" fontId="17" fillId="0" borderId="0" xfId="0" applyFont="1" applyAlignment="1">
      <alignment horizontal="center"/>
    </xf>
    <xf numFmtId="0" fontId="13" fillId="2" borderId="5" xfId="0" applyFont="1" applyFill="1" applyBorder="1"/>
    <xf numFmtId="178" fontId="15" fillId="0" borderId="0" xfId="0" applyNumberFormat="1" applyFont="1"/>
    <xf numFmtId="177" fontId="15" fillId="0" borderId="0" xfId="0" applyNumberFormat="1" applyFont="1"/>
    <xf numFmtId="0" fontId="18" fillId="0" borderId="0" xfId="0" applyFont="1"/>
    <xf numFmtId="0" fontId="18" fillId="0" borderId="3" xfId="0" applyFont="1" applyBorder="1"/>
    <xf numFmtId="176" fontId="15" fillId="0" borderId="18" xfId="0" applyNumberFormat="1" applyFont="1" applyBorder="1" applyAlignment="1">
      <alignment horizontal="right"/>
    </xf>
    <xf numFmtId="0" fontId="14" fillId="0" borderId="19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9" fontId="15" fillId="0" borderId="20" xfId="0" applyNumberFormat="1" applyFont="1" applyBorder="1"/>
    <xf numFmtId="9" fontId="15" fillId="0" borderId="18" xfId="0" applyNumberFormat="1" applyFont="1" applyBorder="1"/>
    <xf numFmtId="0" fontId="14" fillId="0" borderId="3" xfId="0" applyFont="1" applyBorder="1" applyAlignment="1">
      <alignment horizontal="center"/>
    </xf>
    <xf numFmtId="178" fontId="15" fillId="0" borderId="20" xfId="0" applyNumberFormat="1" applyFont="1" applyBorder="1"/>
    <xf numFmtId="0" fontId="14" fillId="0" borderId="1" xfId="0" applyFont="1" applyBorder="1"/>
    <xf numFmtId="0" fontId="14" fillId="0" borderId="4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164" fontId="15" fillId="0" borderId="0" xfId="1" applyFont="1" applyBorder="1"/>
    <xf numFmtId="176" fontId="15" fillId="0" borderId="0" xfId="0" applyNumberFormat="1" applyFont="1" applyAlignment="1">
      <alignment horizontal="right"/>
    </xf>
    <xf numFmtId="0" fontId="3" fillId="0" borderId="0" xfId="0" quotePrefix="1" applyFont="1" applyAlignment="1">
      <alignment horizontal="left"/>
    </xf>
    <xf numFmtId="179" fontId="19" fillId="0" borderId="0" xfId="1" applyNumberFormat="1" applyFont="1" applyFill="1" applyBorder="1" applyAlignment="1" applyProtection="1">
      <alignment horizontal="right"/>
      <protection locked="0"/>
    </xf>
    <xf numFmtId="179" fontId="18" fillId="0" borderId="0" xfId="1" applyNumberFormat="1" applyFont="1" applyFill="1" applyBorder="1" applyAlignment="1" applyProtection="1">
      <alignment horizontal="right"/>
      <protection locked="0"/>
    </xf>
    <xf numFmtId="0" fontId="20" fillId="0" borderId="0" xfId="0" applyFont="1"/>
    <xf numFmtId="0" fontId="21" fillId="0" borderId="0" xfId="0" applyFont="1"/>
    <xf numFmtId="0" fontId="22" fillId="0" borderId="0" xfId="0" applyFont="1"/>
    <xf numFmtId="168" fontId="15" fillId="0" borderId="0" xfId="0" applyNumberFormat="1" applyFont="1"/>
    <xf numFmtId="0" fontId="3" fillId="0" borderId="0" xfId="0" applyFont="1" applyAlignment="1">
      <alignment horizontal="left"/>
    </xf>
    <xf numFmtId="169" fontId="15" fillId="0" borderId="6" xfId="1" applyNumberFormat="1" applyFont="1" applyBorder="1"/>
    <xf numFmtId="180" fontId="15" fillId="0" borderId="0" xfId="0" applyNumberFormat="1" applyFont="1"/>
    <xf numFmtId="2" fontId="3" fillId="0" borderId="3" xfId="0" applyNumberFormat="1" applyFont="1" applyBorder="1" applyAlignment="1">
      <alignment horizontal="centerContinuous"/>
    </xf>
    <xf numFmtId="2" fontId="7" fillId="0" borderId="3" xfId="0" applyNumberFormat="1" applyFont="1" applyBorder="1" applyAlignment="1">
      <alignment horizontal="centerContinuous"/>
    </xf>
    <xf numFmtId="0" fontId="7" fillId="0" borderId="0" xfId="0" applyFont="1"/>
    <xf numFmtId="168" fontId="14" fillId="0" borderId="0" xfId="0" applyNumberFormat="1" applyFont="1"/>
    <xf numFmtId="37" fontId="19" fillId="0" borderId="0" xfId="1" applyNumberFormat="1" applyFont="1" applyBorder="1" applyProtection="1"/>
    <xf numFmtId="179" fontId="19" fillId="0" borderId="0" xfId="1" applyNumberFormat="1" applyFont="1" applyFill="1" applyProtection="1">
      <protection locked="0"/>
    </xf>
    <xf numFmtId="179" fontId="19" fillId="0" borderId="3" xfId="1" applyNumberFormat="1" applyFont="1" applyFill="1" applyBorder="1" applyProtection="1">
      <protection locked="0"/>
    </xf>
    <xf numFmtId="179" fontId="19" fillId="0" borderId="0" xfId="1" applyNumberFormat="1" applyFont="1" applyFill="1" applyBorder="1" applyProtection="1">
      <protection locked="0"/>
    </xf>
    <xf numFmtId="179" fontId="15" fillId="0" borderId="0" xfId="1" applyNumberFormat="1" applyFont="1" applyFill="1" applyBorder="1" applyProtection="1">
      <protection locked="0"/>
    </xf>
    <xf numFmtId="165" fontId="18" fillId="0" borderId="0" xfId="1" applyNumberFormat="1" applyFont="1" applyBorder="1" applyProtection="1"/>
    <xf numFmtId="0" fontId="23" fillId="0" borderId="0" xfId="0" applyFont="1" applyAlignment="1">
      <alignment horizontal="centerContinuous"/>
    </xf>
    <xf numFmtId="0" fontId="24" fillId="0" borderId="0" xfId="0" applyFont="1" applyAlignment="1">
      <alignment horizontal="centerContinuous"/>
    </xf>
    <xf numFmtId="0" fontId="24" fillId="0" borderId="2" xfId="0" applyFont="1" applyBorder="1" applyAlignment="1">
      <alignment horizontal="centerContinuous"/>
    </xf>
    <xf numFmtId="179" fontId="18" fillId="0" borderId="0" xfId="1" applyNumberFormat="1" applyFont="1" applyFill="1" applyBorder="1" applyProtection="1">
      <protection locked="0"/>
    </xf>
    <xf numFmtId="0" fontId="13" fillId="0" borderId="22" xfId="0" applyFont="1" applyBorder="1"/>
    <xf numFmtId="0" fontId="14" fillId="0" borderId="23" xfId="0" applyFont="1" applyBorder="1"/>
    <xf numFmtId="1" fontId="13" fillId="0" borderId="23" xfId="0" applyNumberFormat="1" applyFont="1" applyBorder="1"/>
    <xf numFmtId="1" fontId="13" fillId="0" borderId="24" xfId="0" applyNumberFormat="1" applyFont="1" applyBorder="1"/>
    <xf numFmtId="0" fontId="18" fillId="0" borderId="23" xfId="0" applyFont="1" applyBorder="1"/>
    <xf numFmtId="181" fontId="14" fillId="0" borderId="0" xfId="0" applyNumberFormat="1" applyFont="1"/>
    <xf numFmtId="181" fontId="16" fillId="0" borderId="0" xfId="0" applyNumberFormat="1" applyFont="1"/>
    <xf numFmtId="0" fontId="16" fillId="0" borderId="0" xfId="0" applyFont="1"/>
    <xf numFmtId="172" fontId="15" fillId="0" borderId="0" xfId="0" applyNumberFormat="1" applyFont="1"/>
    <xf numFmtId="181" fontId="13" fillId="0" borderId="0" xfId="0" applyNumberFormat="1" applyFont="1"/>
    <xf numFmtId="168" fontId="19" fillId="0" borderId="0" xfId="1" applyNumberFormat="1" applyFont="1" applyFill="1" applyBorder="1" applyProtection="1">
      <protection locked="0"/>
    </xf>
    <xf numFmtId="168" fontId="15" fillId="0" borderId="0" xfId="1" applyNumberFormat="1" applyFont="1" applyFill="1" applyBorder="1" applyProtection="1">
      <protection locked="0"/>
    </xf>
    <xf numFmtId="168" fontId="13" fillId="0" borderId="0" xfId="0" applyNumberFormat="1" applyFont="1"/>
    <xf numFmtId="168" fontId="13" fillId="0" borderId="25" xfId="0" applyNumberFormat="1" applyFont="1" applyBorder="1"/>
    <xf numFmtId="168" fontId="13" fillId="0" borderId="1" xfId="0" applyNumberFormat="1" applyFont="1" applyBorder="1"/>
    <xf numFmtId="165" fontId="25" fillId="0" borderId="0" xfId="1" applyNumberFormat="1" applyFont="1" applyBorder="1" applyProtection="1"/>
    <xf numFmtId="165" fontId="26" fillId="0" borderId="0" xfId="1" applyNumberFormat="1" applyFont="1" applyBorder="1" applyAlignment="1" applyProtection="1">
      <alignment horizontal="right"/>
    </xf>
    <xf numFmtId="9" fontId="14" fillId="0" borderId="0" xfId="2" applyFont="1"/>
    <xf numFmtId="167" fontId="16" fillId="0" borderId="0" xfId="0" applyNumberFormat="1" applyFont="1"/>
    <xf numFmtId="0" fontId="13" fillId="0" borderId="1" xfId="0" applyFont="1" applyBorder="1"/>
    <xf numFmtId="0" fontId="27" fillId="0" borderId="0" xfId="0" applyFont="1"/>
    <xf numFmtId="179" fontId="27" fillId="0" borderId="0" xfId="1" applyNumberFormat="1" applyFont="1" applyFill="1" applyBorder="1" applyProtection="1">
      <protection locked="0"/>
    </xf>
    <xf numFmtId="0" fontId="18" fillId="0" borderId="13" xfId="0" applyFont="1" applyBorder="1"/>
    <xf numFmtId="168" fontId="14" fillId="0" borderId="13" xfId="0" applyNumberFormat="1" applyFont="1" applyBorder="1"/>
    <xf numFmtId="168" fontId="15" fillId="0" borderId="0" xfId="1" applyNumberFormat="1" applyFont="1" applyFill="1" applyBorder="1" applyAlignment="1" applyProtection="1">
      <alignment horizontal="right"/>
      <protection locked="0"/>
    </xf>
    <xf numFmtId="168" fontId="17" fillId="0" borderId="0" xfId="1" applyNumberFormat="1" applyFont="1" applyFill="1" applyBorder="1" applyAlignment="1" applyProtection="1">
      <alignment horizontal="right"/>
      <protection locked="0"/>
    </xf>
    <xf numFmtId="172" fontId="14" fillId="0" borderId="0" xfId="0" applyNumberFormat="1" applyFont="1"/>
    <xf numFmtId="167" fontId="14" fillId="0" borderId="0" xfId="2" applyNumberFormat="1" applyFont="1"/>
    <xf numFmtId="0" fontId="7" fillId="0" borderId="0" xfId="0" quotePrefix="1" applyFont="1" applyAlignment="1">
      <alignment horizontal="left"/>
    </xf>
    <xf numFmtId="179" fontId="7" fillId="0" borderId="0" xfId="1" applyNumberFormat="1" applyFont="1" applyFill="1" applyBorder="1" applyProtection="1"/>
    <xf numFmtId="0" fontId="7" fillId="0" borderId="0" xfId="0" applyFont="1" applyAlignment="1">
      <alignment horizontal="left"/>
    </xf>
    <xf numFmtId="6" fontId="7" fillId="0" borderId="0" xfId="0" quotePrefix="1" applyNumberFormat="1" applyFont="1" applyAlignment="1">
      <alignment horizontal="left"/>
    </xf>
    <xf numFmtId="37" fontId="3" fillId="0" borderId="0" xfId="1" applyNumberFormat="1" applyFont="1" applyProtection="1"/>
    <xf numFmtId="179" fontId="15" fillId="0" borderId="0" xfId="1" applyNumberFormat="1" applyFont="1" applyFill="1" applyProtection="1">
      <protection locked="0"/>
    </xf>
    <xf numFmtId="37" fontId="7" fillId="0" borderId="0" xfId="1" applyNumberFormat="1" applyFont="1" applyBorder="1" applyProtection="1"/>
    <xf numFmtId="37" fontId="3" fillId="0" borderId="0" xfId="1" applyNumberFormat="1" applyFont="1" applyBorder="1" applyProtection="1"/>
    <xf numFmtId="37" fontId="3" fillId="0" borderId="0" xfId="1" applyNumberFormat="1" applyFont="1" applyFill="1" applyBorder="1" applyProtection="1"/>
    <xf numFmtId="9" fontId="3" fillId="0" borderId="0" xfId="2" applyFont="1" applyFill="1" applyBorder="1" applyProtection="1"/>
    <xf numFmtId="9" fontId="3" fillId="0" borderId="0" xfId="2" applyFont="1" applyBorder="1" applyProtection="1"/>
    <xf numFmtId="37" fontId="7" fillId="0" borderId="0" xfId="1" applyNumberFormat="1" applyFont="1" applyFill="1" applyBorder="1" applyProtection="1"/>
    <xf numFmtId="179" fontId="28" fillId="3" borderId="0" xfId="1" applyNumberFormat="1" applyFont="1" applyFill="1" applyProtection="1">
      <protection locked="0"/>
    </xf>
    <xf numFmtId="179" fontId="7" fillId="3" borderId="0" xfId="1" applyNumberFormat="1" applyFont="1" applyFill="1" applyProtection="1">
      <protection locked="0"/>
    </xf>
    <xf numFmtId="183" fontId="28" fillId="3" borderId="0" xfId="1" applyNumberFormat="1" applyFont="1" applyFill="1" applyProtection="1">
      <protection locked="0"/>
    </xf>
    <xf numFmtId="181" fontId="3" fillId="0" borderId="0" xfId="0" applyNumberFormat="1" applyFont="1"/>
    <xf numFmtId="37" fontId="19" fillId="0" borderId="0" xfId="1" applyNumberFormat="1" applyFont="1" applyFill="1" applyBorder="1" applyProtection="1"/>
    <xf numFmtId="37" fontId="3" fillId="0" borderId="0" xfId="1" applyNumberFormat="1" applyFont="1" applyFill="1" applyProtection="1"/>
    <xf numFmtId="179" fontId="3" fillId="0" borderId="1" xfId="1" applyNumberFormat="1" applyFont="1" applyFill="1" applyBorder="1" applyProtection="1"/>
    <xf numFmtId="182" fontId="7" fillId="0" borderId="25" xfId="1" applyNumberFormat="1" applyFont="1" applyFill="1" applyBorder="1" applyProtection="1"/>
    <xf numFmtId="179" fontId="3" fillId="0" borderId="0" xfId="1" applyNumberFormat="1" applyFont="1" applyFill="1" applyBorder="1" applyProtection="1"/>
    <xf numFmtId="184" fontId="19" fillId="0" borderId="0" xfId="1" applyNumberFormat="1" applyFont="1" applyBorder="1" applyProtection="1"/>
    <xf numFmtId="185" fontId="3" fillId="0" borderId="0" xfId="1" applyNumberFormat="1" applyFont="1" applyProtection="1"/>
    <xf numFmtId="186" fontId="3" fillId="0" borderId="0" xfId="0" applyNumberFormat="1" applyFont="1"/>
    <xf numFmtId="168" fontId="7" fillId="0" borderId="1" xfId="1" applyNumberFormat="1" applyFont="1" applyFill="1" applyBorder="1" applyAlignment="1" applyProtection="1">
      <alignment horizontal="right"/>
      <protection locked="0"/>
    </xf>
    <xf numFmtId="168" fontId="7" fillId="0" borderId="25" xfId="1" applyNumberFormat="1" applyFont="1" applyFill="1" applyBorder="1" applyAlignment="1" applyProtection="1">
      <alignment horizontal="right"/>
    </xf>
    <xf numFmtId="168" fontId="3" fillId="0" borderId="0" xfId="1" applyNumberFormat="1" applyFont="1" applyFill="1" applyBorder="1" applyAlignment="1" applyProtection="1">
      <alignment horizontal="right"/>
      <protection locked="0"/>
    </xf>
    <xf numFmtId="172" fontId="16" fillId="0" borderId="0" xfId="0" applyNumberFormat="1" applyFont="1"/>
    <xf numFmtId="181" fontId="19" fillId="0" borderId="0" xfId="1" applyNumberFormat="1" applyFont="1" applyFill="1" applyBorder="1" applyAlignment="1" applyProtection="1">
      <alignment horizontal="right"/>
      <protection locked="0"/>
    </xf>
    <xf numFmtId="181" fontId="19" fillId="0" borderId="3" xfId="1" applyNumberFormat="1" applyFont="1" applyFill="1" applyBorder="1" applyAlignment="1" applyProtection="1">
      <alignment horizontal="right"/>
      <protection locked="0"/>
    </xf>
    <xf numFmtId="181" fontId="7" fillId="0" borderId="0" xfId="1" applyNumberFormat="1" applyFont="1" applyFill="1" applyBorder="1" applyAlignment="1" applyProtection="1">
      <alignment horizontal="right"/>
      <protection locked="0"/>
    </xf>
    <xf numFmtId="181" fontId="7" fillId="0" borderId="1" xfId="1" applyNumberFormat="1" applyFont="1" applyFill="1" applyBorder="1" applyAlignment="1" applyProtection="1">
      <alignment horizontal="right"/>
      <protection locked="0"/>
    </xf>
    <xf numFmtId="181" fontId="7" fillId="0" borderId="1" xfId="1" applyNumberFormat="1" applyFont="1" applyFill="1" applyBorder="1" applyAlignment="1" applyProtection="1">
      <alignment horizontal="right"/>
    </xf>
    <xf numFmtId="181" fontId="7" fillId="0" borderId="1" xfId="1" applyNumberFormat="1" applyFont="1" applyFill="1" applyBorder="1" applyProtection="1"/>
    <xf numFmtId="181" fontId="19" fillId="0" borderId="0" xfId="1" applyNumberFormat="1" applyFont="1" applyFill="1" applyBorder="1" applyProtection="1">
      <protection locked="0"/>
    </xf>
    <xf numFmtId="0" fontId="18" fillId="0" borderId="1" xfId="0" applyFont="1" applyBorder="1"/>
    <xf numFmtId="168" fontId="15" fillId="0" borderId="3" xfId="0" applyNumberFormat="1" applyFont="1" applyBorder="1"/>
    <xf numFmtId="0" fontId="3" fillId="0" borderId="19" xfId="0" applyFont="1" applyBorder="1"/>
    <xf numFmtId="167" fontId="3" fillId="0" borderId="3" xfId="2" applyNumberFormat="1" applyFont="1" applyBorder="1"/>
    <xf numFmtId="9" fontId="7" fillId="0" borderId="0" xfId="2" applyFont="1"/>
    <xf numFmtId="9" fontId="3" fillId="0" borderId="0" xfId="2" applyFont="1"/>
    <xf numFmtId="172" fontId="7" fillId="0" borderId="0" xfId="0" applyNumberFormat="1" applyFont="1"/>
    <xf numFmtId="172" fontId="7" fillId="0" borderId="1" xfId="0" applyNumberFormat="1" applyFont="1" applyBorder="1"/>
    <xf numFmtId="0" fontId="7" fillId="0" borderId="1" xfId="0" applyFont="1" applyBorder="1"/>
    <xf numFmtId="168" fontId="7" fillId="0" borderId="25" xfId="0" applyNumberFormat="1" applyFont="1" applyBorder="1"/>
    <xf numFmtId="1" fontId="3" fillId="0" borderId="23" xfId="0" quotePrefix="1" applyNumberFormat="1" applyFont="1" applyBorder="1" applyAlignment="1">
      <alignment horizontal="right"/>
    </xf>
    <xf numFmtId="172" fontId="3" fillId="0" borderId="23" xfId="0" quotePrefix="1" applyNumberFormat="1" applyFont="1" applyBorder="1" applyAlignment="1">
      <alignment horizontal="right"/>
    </xf>
    <xf numFmtId="172" fontId="3" fillId="0" borderId="24" xfId="0" quotePrefix="1" applyNumberFormat="1" applyFont="1" applyBorder="1" applyAlignment="1">
      <alignment horizontal="right"/>
    </xf>
    <xf numFmtId="0" fontId="13" fillId="0" borderId="15" xfId="0" applyFont="1" applyBorder="1"/>
    <xf numFmtId="0" fontId="14" fillId="0" borderId="16" xfId="0" applyFont="1" applyBorder="1"/>
    <xf numFmtId="0" fontId="14" fillId="0" borderId="21" xfId="0" applyFont="1" applyBorder="1"/>
    <xf numFmtId="167" fontId="14" fillId="0" borderId="0" xfId="2" applyNumberFormat="1" applyFont="1" applyBorder="1"/>
    <xf numFmtId="167" fontId="14" fillId="0" borderId="18" xfId="2" applyNumberFormat="1" applyFont="1" applyBorder="1"/>
    <xf numFmtId="167" fontId="14" fillId="0" borderId="3" xfId="2" applyNumberFormat="1" applyFont="1" applyBorder="1"/>
    <xf numFmtId="179" fontId="15" fillId="0" borderId="0" xfId="1" applyNumberFormat="1" applyFont="1" applyFill="1" applyBorder="1" applyAlignment="1" applyProtection="1">
      <alignment horizontal="right"/>
      <protection locked="0"/>
    </xf>
    <xf numFmtId="179" fontId="7" fillId="0" borderId="1" xfId="1" applyNumberFormat="1" applyFont="1" applyFill="1" applyBorder="1" applyProtection="1">
      <protection locked="0"/>
    </xf>
    <xf numFmtId="0" fontId="3" fillId="0" borderId="15" xfId="0" quotePrefix="1" applyFont="1" applyBorder="1" applyAlignment="1">
      <alignment horizontal="left"/>
    </xf>
    <xf numFmtId="37" fontId="7" fillId="0" borderId="1" xfId="1" applyNumberFormat="1" applyFont="1" applyBorder="1" applyProtection="1"/>
    <xf numFmtId="0" fontId="3" fillId="0" borderId="21" xfId="0" quotePrefix="1" applyFont="1" applyBorder="1" applyAlignment="1">
      <alignment horizontal="left"/>
    </xf>
    <xf numFmtId="0" fontId="7" fillId="0" borderId="19" xfId="0" quotePrefix="1" applyFont="1" applyBorder="1" applyAlignment="1">
      <alignment horizontal="left"/>
    </xf>
    <xf numFmtId="37" fontId="7" fillId="0" borderId="3" xfId="1" applyNumberFormat="1" applyFont="1" applyBorder="1" applyProtection="1"/>
    <xf numFmtId="179" fontId="7" fillId="0" borderId="5" xfId="1" applyNumberFormat="1" applyFont="1" applyFill="1" applyBorder="1" applyProtection="1"/>
    <xf numFmtId="37" fontId="28" fillId="0" borderId="0" xfId="1" applyNumberFormat="1" applyFont="1" applyBorder="1" applyProtection="1"/>
    <xf numFmtId="179" fontId="7" fillId="0" borderId="1" xfId="1" applyNumberFormat="1" applyFont="1" applyFill="1" applyBorder="1" applyProtection="1"/>
    <xf numFmtId="179" fontId="7" fillId="0" borderId="25" xfId="1" applyNumberFormat="1" applyFont="1" applyFill="1" applyBorder="1" applyProtection="1"/>
    <xf numFmtId="188" fontId="29" fillId="0" borderId="0" xfId="0" applyNumberFormat="1" applyFont="1"/>
    <xf numFmtId="0" fontId="29" fillId="0" borderId="0" xfId="0" applyFont="1"/>
    <xf numFmtId="0" fontId="30" fillId="0" borderId="0" xfId="0" applyFont="1"/>
    <xf numFmtId="168" fontId="7" fillId="0" borderId="0" xfId="0" applyNumberFormat="1" applyFont="1"/>
    <xf numFmtId="168" fontId="31" fillId="0" borderId="0" xfId="0" applyNumberFormat="1" applyFont="1"/>
    <xf numFmtId="0" fontId="3" fillId="0" borderId="13" xfId="0" applyFont="1" applyBorder="1"/>
    <xf numFmtId="187" fontId="3" fillId="0" borderId="13" xfId="1" applyNumberFormat="1" applyFont="1" applyBorder="1" applyProtection="1"/>
    <xf numFmtId="187" fontId="3" fillId="0" borderId="13" xfId="1" applyNumberFormat="1" applyFont="1" applyFill="1" applyBorder="1" applyProtection="1"/>
    <xf numFmtId="182" fontId="7" fillId="0" borderId="0" xfId="1" applyNumberFormat="1" applyFont="1" applyFill="1" applyBorder="1" applyProtection="1"/>
    <xf numFmtId="0" fontId="14" fillId="0" borderId="15" xfId="0" applyFont="1" applyBorder="1"/>
    <xf numFmtId="0" fontId="16" fillId="0" borderId="16" xfId="0" applyFont="1" applyBorder="1"/>
    <xf numFmtId="0" fontId="16" fillId="0" borderId="20" xfId="0" applyFont="1" applyBorder="1"/>
    <xf numFmtId="1" fontId="14" fillId="0" borderId="0" xfId="0" applyNumberFormat="1" applyFont="1"/>
    <xf numFmtId="180" fontId="13" fillId="0" borderId="25" xfId="0" applyNumberFormat="1" applyFont="1" applyBorder="1"/>
    <xf numFmtId="189" fontId="14" fillId="0" borderId="0" xfId="0" applyNumberFormat="1" applyFont="1"/>
    <xf numFmtId="1" fontId="14" fillId="0" borderId="26" xfId="0" applyNumberFormat="1" applyFont="1" applyBorder="1"/>
    <xf numFmtId="1" fontId="14" fillId="0" borderId="27" xfId="0" applyNumberFormat="1" applyFont="1" applyBorder="1"/>
    <xf numFmtId="1" fontId="14" fillId="0" borderId="28" xfId="0" applyNumberFormat="1" applyFont="1" applyBorder="1"/>
    <xf numFmtId="165" fontId="3" fillId="0" borderId="0" xfId="1" applyNumberFormat="1" applyFont="1" applyBorder="1" applyAlignment="1" applyProtection="1">
      <alignment horizontal="right"/>
    </xf>
    <xf numFmtId="0" fontId="13" fillId="0" borderId="4" xfId="0" applyFont="1" applyBorder="1"/>
    <xf numFmtId="9" fontId="16" fillId="0" borderId="6" xfId="0" applyNumberFormat="1" applyFont="1" applyBorder="1"/>
    <xf numFmtId="168" fontId="13" fillId="0" borderId="3" xfId="0" applyNumberFormat="1" applyFont="1" applyBorder="1"/>
    <xf numFmtId="0" fontId="27" fillId="0" borderId="1" xfId="0" applyFont="1" applyBorder="1"/>
    <xf numFmtId="0" fontId="13" fillId="0" borderId="16" xfId="0" applyFont="1" applyBorder="1"/>
    <xf numFmtId="0" fontId="13" fillId="0" borderId="3" xfId="0" applyFont="1" applyBorder="1"/>
    <xf numFmtId="0" fontId="27" fillId="0" borderId="3" xfId="0" applyFont="1" applyBorder="1"/>
    <xf numFmtId="168" fontId="13" fillId="0" borderId="5" xfId="0" applyNumberFormat="1" applyFont="1" applyBorder="1"/>
    <xf numFmtId="177" fontId="13" fillId="0" borderId="0" xfId="0" applyNumberFormat="1" applyFont="1"/>
    <xf numFmtId="181" fontId="13" fillId="0" borderId="1" xfId="0" applyNumberFormat="1" applyFont="1" applyBorder="1"/>
    <xf numFmtId="0" fontId="14" fillId="0" borderId="29" xfId="0" applyFont="1" applyBorder="1" applyAlignment="1">
      <alignment horizontal="center"/>
    </xf>
    <xf numFmtId="0" fontId="14" fillId="0" borderId="2" xfId="0" applyFont="1" applyBorder="1"/>
    <xf numFmtId="0" fontId="15" fillId="0" borderId="2" xfId="0" applyFont="1" applyBorder="1"/>
    <xf numFmtId="176" fontId="15" fillId="0" borderId="30" xfId="0" applyNumberFormat="1" applyFont="1" applyBorder="1" applyAlignment="1">
      <alignment horizontal="right"/>
    </xf>
    <xf numFmtId="0" fontId="29" fillId="0" borderId="3" xfId="0" applyFont="1" applyBorder="1"/>
    <xf numFmtId="0" fontId="30" fillId="0" borderId="3" xfId="0" applyFont="1" applyBorder="1"/>
    <xf numFmtId="188" fontId="29" fillId="0" borderId="3" xfId="0" applyNumberFormat="1" applyFont="1" applyBorder="1"/>
    <xf numFmtId="181" fontId="14" fillId="0" borderId="3" xfId="0" applyNumberFormat="1" applyFont="1" applyBorder="1"/>
    <xf numFmtId="181" fontId="16" fillId="0" borderId="3" xfId="0" applyNumberFormat="1" applyFont="1" applyBorder="1"/>
    <xf numFmtId="179" fontId="14" fillId="0" borderId="0" xfId="0" applyNumberFormat="1" applyFont="1"/>
    <xf numFmtId="167" fontId="14" fillId="0" borderId="0" xfId="0" applyNumberFormat="1" applyFont="1"/>
    <xf numFmtId="168" fontId="7" fillId="0" borderId="1" xfId="0" applyNumberFormat="1" applyFont="1" applyBorder="1"/>
    <xf numFmtId="179" fontId="3" fillId="0" borderId="0" xfId="1" applyNumberFormat="1" applyFont="1" applyFill="1" applyProtection="1">
      <protection locked="0"/>
    </xf>
    <xf numFmtId="0" fontId="20" fillId="0" borderId="1" xfId="0" applyFont="1" applyBorder="1"/>
    <xf numFmtId="0" fontId="22" fillId="0" borderId="1" xfId="0" applyFont="1" applyBorder="1"/>
    <xf numFmtId="168" fontId="7" fillId="0" borderId="0" xfId="1" applyNumberFormat="1" applyFont="1" applyFill="1" applyBorder="1" applyAlignment="1" applyProtection="1">
      <alignment horizontal="right"/>
      <protection locked="0"/>
    </xf>
    <xf numFmtId="168" fontId="17" fillId="0" borderId="3" xfId="1" applyNumberFormat="1" applyFont="1" applyFill="1" applyBorder="1" applyAlignment="1" applyProtection="1">
      <alignment horizontal="right"/>
      <protection locked="0"/>
    </xf>
    <xf numFmtId="168" fontId="7" fillId="0" borderId="3" xfId="1" applyNumberFormat="1" applyFont="1" applyFill="1" applyBorder="1" applyAlignment="1" applyProtection="1">
      <alignment horizontal="right"/>
      <protection locked="0"/>
    </xf>
    <xf numFmtId="179" fontId="13" fillId="0" borderId="1" xfId="0" applyNumberFormat="1" applyFont="1" applyBorder="1"/>
    <xf numFmtId="189" fontId="16" fillId="0" borderId="0" xfId="0" applyNumberFormat="1" applyFont="1"/>
    <xf numFmtId="167" fontId="13" fillId="0" borderId="25" xfId="2" applyNumberFormat="1" applyFont="1" applyBorder="1"/>
    <xf numFmtId="182" fontId="13" fillId="0" borderId="1" xfId="0" applyNumberFormat="1" applyFont="1" applyBorder="1"/>
    <xf numFmtId="182" fontId="13" fillId="0" borderId="0" xfId="0" applyNumberFormat="1" applyFont="1"/>
    <xf numFmtId="172" fontId="13" fillId="0" borderId="25" xfId="0" applyNumberFormat="1" applyFont="1" applyBorder="1"/>
    <xf numFmtId="167" fontId="15" fillId="0" borderId="0" xfId="0" applyNumberFormat="1" applyFont="1"/>
    <xf numFmtId="167" fontId="15" fillId="0" borderId="18" xfId="0" applyNumberFormat="1" applyFont="1" applyBorder="1"/>
    <xf numFmtId="167" fontId="15" fillId="0" borderId="20" xfId="0" applyNumberFormat="1" applyFont="1" applyBorder="1"/>
    <xf numFmtId="0" fontId="14" fillId="0" borderId="31" xfId="0" applyFont="1" applyBorder="1"/>
    <xf numFmtId="167" fontId="16" fillId="0" borderId="0" xfId="2" applyNumberFormat="1" applyFont="1"/>
    <xf numFmtId="2" fontId="3" fillId="0" borderId="1" xfId="0" applyNumberFormat="1" applyFont="1" applyBorder="1"/>
    <xf numFmtId="189" fontId="13" fillId="0" borderId="1" xfId="0" applyNumberFormat="1" applyFont="1" applyBorder="1"/>
    <xf numFmtId="190" fontId="7" fillId="0" borderId="1" xfId="1" applyNumberFormat="1" applyFont="1" applyFill="1" applyBorder="1" applyProtection="1"/>
    <xf numFmtId="0" fontId="8" fillId="0" borderId="3" xfId="0" applyFont="1" applyBorder="1"/>
    <xf numFmtId="0" fontId="13" fillId="0" borderId="21" xfId="0" applyFont="1" applyBorder="1"/>
    <xf numFmtId="0" fontId="13" fillId="0" borderId="0" xfId="0" applyFont="1" applyAlignment="1">
      <alignment horizontal="center"/>
    </xf>
    <xf numFmtId="177" fontId="17" fillId="0" borderId="0" xfId="0" applyNumberFormat="1" applyFont="1"/>
    <xf numFmtId="0" fontId="11" fillId="0" borderId="0" xfId="0" applyFont="1"/>
    <xf numFmtId="0" fontId="13" fillId="0" borderId="15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16" xfId="0" applyFont="1" applyBorder="1" applyAlignment="1">
      <alignment horizontal="centerContinuous"/>
    </xf>
    <xf numFmtId="177" fontId="15" fillId="0" borderId="3" xfId="0" applyNumberFormat="1" applyFont="1" applyBorder="1"/>
    <xf numFmtId="191" fontId="14" fillId="0" borderId="3" xfId="2" applyNumberFormat="1" applyFont="1" applyFill="1" applyBorder="1"/>
    <xf numFmtId="191" fontId="14" fillId="0" borderId="20" xfId="2" applyNumberFormat="1" applyFont="1" applyFill="1" applyBorder="1"/>
    <xf numFmtId="0" fontId="32" fillId="0" borderId="0" xfId="0" applyFont="1"/>
    <xf numFmtId="168" fontId="17" fillId="0" borderId="0" xfId="0" applyNumberFormat="1" applyFont="1"/>
    <xf numFmtId="168" fontId="17" fillId="0" borderId="18" xfId="0" applyNumberFormat="1" applyFont="1" applyBorder="1"/>
    <xf numFmtId="0" fontId="33" fillId="0" borderId="0" xfId="0" applyFont="1"/>
    <xf numFmtId="191" fontId="33" fillId="0" borderId="0" xfId="2" applyNumberFormat="1" applyFont="1" applyFill="1" applyBorder="1"/>
    <xf numFmtId="191" fontId="33" fillId="0" borderId="18" xfId="2" applyNumberFormat="1" applyFont="1" applyFill="1" applyBorder="1"/>
    <xf numFmtId="0" fontId="13" fillId="4" borderId="15" xfId="0" applyFont="1" applyFill="1" applyBorder="1" applyAlignment="1">
      <alignment horizontal="centerContinuous"/>
    </xf>
    <xf numFmtId="0" fontId="13" fillId="4" borderId="1" xfId="0" applyFont="1" applyFill="1" applyBorder="1" applyAlignment="1">
      <alignment horizontal="centerContinuous"/>
    </xf>
    <xf numFmtId="0" fontId="14" fillId="4" borderId="1" xfId="0" applyFont="1" applyFill="1" applyBorder="1" applyAlignment="1">
      <alignment horizontal="centerContinuous"/>
    </xf>
    <xf numFmtId="0" fontId="14" fillId="4" borderId="16" xfId="0" applyFont="1" applyFill="1" applyBorder="1" applyAlignment="1">
      <alignment horizontal="centerContinuous"/>
    </xf>
    <xf numFmtId="0" fontId="14" fillId="4" borderId="19" xfId="0" applyFont="1" applyFill="1" applyBorder="1"/>
    <xf numFmtId="0" fontId="14" fillId="4" borderId="3" xfId="0" applyFont="1" applyFill="1" applyBorder="1" applyAlignment="1">
      <alignment horizontal="center"/>
    </xf>
    <xf numFmtId="0" fontId="14" fillId="4" borderId="3" xfId="0" applyFont="1" applyFill="1" applyBorder="1"/>
    <xf numFmtId="0" fontId="29" fillId="4" borderId="3" xfId="0" applyFont="1" applyFill="1" applyBorder="1"/>
    <xf numFmtId="177" fontId="15" fillId="4" borderId="3" xfId="0" applyNumberFormat="1" applyFont="1" applyFill="1" applyBorder="1"/>
    <xf numFmtId="0" fontId="14" fillId="0" borderId="0" xfId="0" applyFont="1" applyAlignment="1">
      <alignment vertical="center"/>
    </xf>
    <xf numFmtId="0" fontId="7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18" fillId="0" borderId="0" xfId="0" applyFont="1" applyAlignment="1">
      <alignment vertical="center"/>
    </xf>
    <xf numFmtId="167" fontId="16" fillId="0" borderId="0" xfId="0" applyNumberFormat="1" applyFont="1" applyAlignment="1">
      <alignment vertical="center"/>
    </xf>
    <xf numFmtId="0" fontId="5" fillId="0" borderId="2" xfId="0" applyFont="1" applyBorder="1" applyAlignment="1">
      <alignment horizontal="centerContinuous" vertical="center"/>
    </xf>
    <xf numFmtId="0" fontId="24" fillId="0" borderId="2" xfId="0" applyFont="1" applyBorder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15" fillId="0" borderId="18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2" borderId="5" xfId="0" applyFont="1" applyFill="1" applyBorder="1" applyAlignment="1">
      <alignment vertical="center"/>
    </xf>
    <xf numFmtId="0" fontId="14" fillId="2" borderId="5" xfId="0" applyFont="1" applyFill="1" applyBorder="1" applyAlignment="1">
      <alignment vertical="center"/>
    </xf>
    <xf numFmtId="0" fontId="14" fillId="2" borderId="6" xfId="0" applyFont="1" applyFill="1" applyBorder="1" applyAlignment="1">
      <alignment vertical="center"/>
    </xf>
    <xf numFmtId="0" fontId="7" fillId="4" borderId="3" xfId="0" applyFont="1" applyFill="1" applyBorder="1"/>
    <xf numFmtId="0" fontId="7" fillId="4" borderId="5" xfId="0" applyFont="1" applyFill="1" applyBorder="1"/>
    <xf numFmtId="0" fontId="7" fillId="4" borderId="6" xfId="0" applyFont="1" applyFill="1" applyBorder="1"/>
    <xf numFmtId="0" fontId="32" fillId="0" borderId="3" xfId="0" applyFont="1" applyBorder="1"/>
    <xf numFmtId="0" fontId="7" fillId="0" borderId="3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18" xfId="0" applyFont="1" applyBorder="1"/>
    <xf numFmtId="166" fontId="7" fillId="0" borderId="0" xfId="0" quotePrefix="1" applyNumberFormat="1" applyFont="1" applyAlignment="1">
      <alignment horizontal="right"/>
    </xf>
    <xf numFmtId="1" fontId="7" fillId="0" borderId="0" xfId="0" quotePrefix="1" applyNumberFormat="1" applyFont="1" applyAlignment="1">
      <alignment horizontal="right"/>
    </xf>
    <xf numFmtId="0" fontId="27" fillId="0" borderId="23" xfId="0" applyFont="1" applyBorder="1"/>
    <xf numFmtId="181" fontId="7" fillId="0" borderId="0" xfId="0" applyNumberFormat="1" applyFont="1"/>
    <xf numFmtId="0" fontId="0" fillId="0" borderId="0" xfId="0" applyAlignment="1">
      <alignment vertical="center"/>
    </xf>
    <xf numFmtId="0" fontId="13" fillId="0" borderId="21" xfId="0" applyFont="1" applyBorder="1" applyAlignment="1">
      <alignment horizontal="left"/>
    </xf>
    <xf numFmtId="0" fontId="17" fillId="0" borderId="0" xfId="0" applyFont="1" applyAlignment="1">
      <alignment horizontal="centerContinuous"/>
    </xf>
    <xf numFmtId="0" fontId="13" fillId="0" borderId="0" xfId="0" applyFont="1" applyAlignment="1">
      <alignment horizontal="centerContinuous"/>
    </xf>
    <xf numFmtId="0" fontId="13" fillId="0" borderId="15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0" fillId="0" borderId="1" xfId="0" applyBorder="1"/>
    <xf numFmtId="172" fontId="16" fillId="0" borderId="3" xfId="0" applyNumberFormat="1" applyFont="1" applyBorder="1"/>
    <xf numFmtId="172" fontId="14" fillId="0" borderId="3" xfId="0" applyNumberFormat="1" applyFont="1" applyBorder="1"/>
    <xf numFmtId="0" fontId="4" fillId="0" borderId="3" xfId="0" applyFont="1" applyBorder="1" applyAlignment="1">
      <alignment horizontal="centerContinuous"/>
    </xf>
    <xf numFmtId="0" fontId="23" fillId="0" borderId="3" xfId="0" applyFont="1" applyBorder="1" applyAlignment="1">
      <alignment horizontal="centerContinuous"/>
    </xf>
    <xf numFmtId="167" fontId="15" fillId="0" borderId="32" xfId="2" applyNumberFormat="1" applyFont="1" applyBorder="1"/>
    <xf numFmtId="167" fontId="15" fillId="0" borderId="3" xfId="2" applyNumberFormat="1" applyFont="1" applyBorder="1"/>
    <xf numFmtId="167" fontId="15" fillId="0" borderId="33" xfId="2" applyNumberFormat="1" applyFont="1" applyBorder="1"/>
    <xf numFmtId="0" fontId="5" fillId="0" borderId="3" xfId="0" applyFont="1" applyBorder="1" applyAlignment="1">
      <alignment horizontal="centerContinuous"/>
    </xf>
    <xf numFmtId="0" fontId="16" fillId="0" borderId="3" xfId="0" applyFont="1" applyBorder="1"/>
    <xf numFmtId="0" fontId="0" fillId="0" borderId="3" xfId="0" applyBorder="1"/>
    <xf numFmtId="169" fontId="15" fillId="0" borderId="18" xfId="1" applyNumberFormat="1" applyFont="1" applyFill="1" applyBorder="1"/>
    <xf numFmtId="169" fontId="15" fillId="0" borderId="18" xfId="0" applyNumberFormat="1" applyFont="1" applyBorder="1"/>
    <xf numFmtId="165" fontId="3" fillId="0" borderId="0" xfId="1" applyNumberFormat="1" applyFont="1" applyFill="1" applyBorder="1" applyProtection="1"/>
    <xf numFmtId="172" fontId="13" fillId="0" borderId="1" xfId="0" applyNumberFormat="1" applyFont="1" applyBorder="1"/>
    <xf numFmtId="0" fontId="14" fillId="0" borderId="8" xfId="0" applyFont="1" applyBorder="1"/>
    <xf numFmtId="0" fontId="8" fillId="0" borderId="8" xfId="0" applyFont="1" applyBorder="1"/>
    <xf numFmtId="0" fontId="34" fillId="0" borderId="0" xfId="0" applyFont="1"/>
    <xf numFmtId="0" fontId="35" fillId="0" borderId="0" xfId="0" applyFont="1"/>
    <xf numFmtId="166" fontId="36" fillId="0" borderId="0" xfId="0" quotePrefix="1" applyNumberFormat="1" applyFont="1" applyAlignment="1">
      <alignment horizontal="right"/>
    </xf>
    <xf numFmtId="1" fontId="36" fillId="0" borderId="0" xfId="0" quotePrefix="1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3" dropStyle="combo" dx="22" fmlaLink="$D$9" fmlaRange="$C$16:$C$18" noThreeD="1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906780</xdr:colOff>
          <xdr:row>7</xdr:row>
          <xdr:rowOff>45720</xdr:rowOff>
        </xdr:from>
        <xdr:to>
          <xdr:col>4</xdr:col>
          <xdr:colOff>579120</xdr:colOff>
          <xdr:row>9</xdr:row>
          <xdr:rowOff>22860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93C7-2869-4C04-8798-7B5CE2FE0D56}">
  <dimension ref="A1:S33"/>
  <sheetViews>
    <sheetView showGridLines="0" zoomScale="70" zoomScaleNormal="70" workbookViewId="0">
      <selection activeCell="K22" sqref="A22:XFD22"/>
    </sheetView>
  </sheetViews>
  <sheetFormatPr defaultColWidth="9.109375" defaultRowHeight="13.8" x14ac:dyDescent="0.25"/>
  <cols>
    <col min="1" max="1" width="9.109375" style="10"/>
    <col min="2" max="2" width="5.88671875" style="10" customWidth="1"/>
    <col min="3" max="4" width="9.109375" style="10"/>
    <col min="5" max="5" width="6.6640625" style="10" customWidth="1"/>
    <col min="6" max="9" width="7.33203125" style="10" customWidth="1"/>
    <col min="10" max="11" width="19.33203125" style="10" bestFit="1" customWidth="1"/>
    <col min="12" max="12" width="9.109375" style="10"/>
    <col min="13" max="15" width="5.44140625" style="10" customWidth="1"/>
    <col min="16" max="16384" width="9.109375" style="10"/>
  </cols>
  <sheetData>
    <row r="1" spans="1:19" ht="18" thickBot="1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5"/>
      <c r="R1" s="5"/>
      <c r="S1" s="5"/>
    </row>
    <row r="2" spans="1:19" ht="22.8" x14ac:dyDescent="0.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2"/>
    </row>
    <row r="3" spans="1:19" ht="17.399999999999999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2"/>
    </row>
    <row r="4" spans="1:19" ht="17.399999999999999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2"/>
    </row>
    <row r="5" spans="1:19" x14ac:dyDescent="0.25">
      <c r="A5" s="7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9" x14ac:dyDescent="0.25">
      <c r="A6" s="2"/>
      <c r="B6" s="2"/>
      <c r="C6" s="2"/>
      <c r="D6" s="2"/>
      <c r="E6" s="8"/>
      <c r="F6" s="2"/>
      <c r="G6" s="2"/>
      <c r="H6" s="2"/>
      <c r="I6" s="2"/>
      <c r="J6" s="2"/>
      <c r="K6" s="2"/>
      <c r="L6" s="2"/>
    </row>
    <row r="12" spans="1:19" ht="14.25" customHeight="1" x14ac:dyDescent="0.25"/>
    <row r="13" spans="1:19" hidden="1" x14ac:dyDescent="0.25"/>
    <row r="14" spans="1:19" ht="37.5" customHeight="1" x14ac:dyDescent="0.5">
      <c r="E14" s="11" t="s">
        <v>14</v>
      </c>
    </row>
    <row r="15" spans="1:19" ht="24.75" customHeight="1" x14ac:dyDescent="0.45">
      <c r="E15" s="13" t="str">
        <f>"FINANCIAL MODEL FOR "&amp;Scenarios!H9&amp;" TO "&amp;Scenarios!L9</f>
        <v>FINANCIAL MODEL FOR 2021 TO 2025</v>
      </c>
    </row>
    <row r="16" spans="1:19" ht="28.2" x14ac:dyDescent="0.5">
      <c r="E16" s="12"/>
    </row>
    <row r="19" spans="1:16" x14ac:dyDescent="0.25">
      <c r="H19" s="14"/>
      <c r="I19" s="14" t="s">
        <v>60</v>
      </c>
      <c r="J19" s="15" t="s">
        <v>15</v>
      </c>
    </row>
    <row r="20" spans="1:16" x14ac:dyDescent="0.25">
      <c r="H20" s="14"/>
      <c r="I20" s="14" t="s">
        <v>61</v>
      </c>
      <c r="J20" s="15" t="s">
        <v>16</v>
      </c>
    </row>
    <row r="21" spans="1:16" x14ac:dyDescent="0.25">
      <c r="H21" s="14"/>
      <c r="I21" s="14" t="s">
        <v>17</v>
      </c>
      <c r="J21" s="16">
        <f ca="1">NOW()</f>
        <v>44848.123918055557</v>
      </c>
    </row>
    <row r="32" spans="1:16" ht="18" thickBo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ht="17.399999999999999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0" fitToHeight="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D655-0EEE-41B4-982B-8F2D83A5116E}">
  <dimension ref="A1:AO54"/>
  <sheetViews>
    <sheetView showGridLines="0" workbookViewId="0">
      <selection activeCell="B1" sqref="B1:R5"/>
    </sheetView>
  </sheetViews>
  <sheetFormatPr defaultColWidth="9.109375" defaultRowHeight="13.8" x14ac:dyDescent="0.25"/>
  <cols>
    <col min="1" max="1" width="5" style="24" customWidth="1"/>
    <col min="2" max="2" width="7" style="24" customWidth="1"/>
    <col min="3" max="5" width="2.109375" style="24" customWidth="1"/>
    <col min="6" max="6" width="9.109375" style="24"/>
    <col min="7" max="7" width="7.109375" style="24" customWidth="1"/>
    <col min="8" max="8" width="7" style="24" customWidth="1"/>
    <col min="9" max="9" width="5.6640625" style="24" customWidth="1"/>
    <col min="10" max="17" width="9.109375" style="24"/>
    <col min="18" max="18" width="7" style="24" customWidth="1"/>
    <col min="19" max="19" width="9.109375" style="24"/>
    <col min="20" max="22" width="2.109375" style="24" customWidth="1"/>
    <col min="23" max="25" width="9.109375" style="24"/>
    <col min="26" max="26" width="5.6640625" style="24" customWidth="1"/>
    <col min="27" max="41" width="9.109375" style="24"/>
    <col min="42" max="16384" width="9.109375" style="10"/>
  </cols>
  <sheetData>
    <row r="1" spans="1:41" ht="10.5" customHeight="1" x14ac:dyDescent="0.25"/>
    <row r="2" spans="1:41" ht="22.8" x14ac:dyDescent="0.4">
      <c r="A2" s="10"/>
      <c r="B2" s="4" t="str">
        <f>Cover!$E$14</f>
        <v>HANDERSON MANUFACTURING</v>
      </c>
      <c r="C2" s="6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74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41" ht="17.25" customHeight="1" x14ac:dyDescent="0.3">
      <c r="A3" s="10"/>
      <c r="B3" s="5" t="s">
        <v>2</v>
      </c>
      <c r="C3" s="67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74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 spans="1:41" ht="4.5" customHeight="1" thickBot="1" x14ac:dyDescent="0.35">
      <c r="A4" s="10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</row>
    <row r="5" spans="1:41" ht="9.9" customHeight="1" x14ac:dyDescent="0.25">
      <c r="A5" s="10"/>
      <c r="B5" s="7"/>
      <c r="C5" s="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41" s="305" customFormat="1" x14ac:dyDescent="0.3">
      <c r="A6" s="301"/>
      <c r="B6" s="301"/>
      <c r="C6" s="302" t="s">
        <v>209</v>
      </c>
      <c r="D6" s="303"/>
      <c r="E6" s="303"/>
      <c r="F6" s="303"/>
      <c r="G6" s="303"/>
      <c r="H6" s="303"/>
      <c r="I6" s="302"/>
      <c r="J6" s="303"/>
      <c r="K6" s="303"/>
      <c r="L6" s="303"/>
      <c r="M6" s="303"/>
      <c r="N6" s="303"/>
      <c r="O6" s="303"/>
      <c r="P6" s="303"/>
      <c r="Q6" s="303"/>
      <c r="R6" s="304"/>
      <c r="S6" s="301"/>
      <c r="T6" s="302" t="s">
        <v>213</v>
      </c>
      <c r="U6" s="303"/>
      <c r="V6" s="303"/>
      <c r="W6" s="303"/>
      <c r="X6" s="303"/>
      <c r="Y6" s="303"/>
      <c r="Z6" s="302"/>
      <c r="AA6" s="303"/>
      <c r="AB6" s="303"/>
      <c r="AC6" s="303"/>
      <c r="AD6" s="303"/>
      <c r="AE6" s="303"/>
      <c r="AF6" s="303"/>
      <c r="AG6" s="303"/>
      <c r="AH6" s="303"/>
      <c r="AI6" s="301"/>
      <c r="AJ6" s="301"/>
      <c r="AK6" s="301"/>
      <c r="AL6" s="301"/>
      <c r="AM6" s="301"/>
      <c r="AN6" s="301"/>
      <c r="AO6" s="301"/>
    </row>
    <row r="7" spans="1:41" x14ac:dyDescent="0.25">
      <c r="C7" s="292"/>
      <c r="D7" s="293"/>
      <c r="E7" s="294"/>
      <c r="F7" s="294"/>
      <c r="G7" s="294"/>
      <c r="H7" s="294"/>
      <c r="I7" s="294"/>
      <c r="J7" s="294"/>
      <c r="K7" s="294"/>
      <c r="L7" s="294"/>
      <c r="M7" s="293" t="s">
        <v>3</v>
      </c>
      <c r="N7" s="294"/>
      <c r="O7" s="294"/>
      <c r="P7" s="294"/>
      <c r="Q7" s="295"/>
      <c r="T7" s="279"/>
      <c r="U7" s="280"/>
      <c r="V7" s="281"/>
      <c r="W7" s="281"/>
      <c r="X7" s="281"/>
      <c r="Y7" s="281"/>
      <c r="Z7" s="281"/>
      <c r="AA7" s="281"/>
      <c r="AB7" s="281"/>
      <c r="AC7" s="281"/>
      <c r="AD7" s="280" t="s">
        <v>3</v>
      </c>
      <c r="AE7" s="281"/>
      <c r="AF7" s="281"/>
      <c r="AG7" s="281"/>
      <c r="AH7" s="282"/>
    </row>
    <row r="8" spans="1:41" ht="14.4" x14ac:dyDescent="0.3">
      <c r="C8" s="296"/>
      <c r="D8" s="297"/>
      <c r="E8" s="298"/>
      <c r="F8" s="298"/>
      <c r="G8" s="298"/>
      <c r="H8" s="299" t="s">
        <v>5</v>
      </c>
      <c r="I8" s="300"/>
      <c r="J8" s="317">
        <v>2019</v>
      </c>
      <c r="K8" s="317">
        <v>2020</v>
      </c>
      <c r="L8" s="317">
        <v>2021</v>
      </c>
      <c r="M8" s="318">
        <v>2022</v>
      </c>
      <c r="N8" s="318">
        <v>2023</v>
      </c>
      <c r="O8" s="318">
        <v>2024</v>
      </c>
      <c r="P8" s="318">
        <v>2025</v>
      </c>
      <c r="Q8" s="319">
        <v>2026</v>
      </c>
      <c r="T8" s="57"/>
      <c r="U8" s="89"/>
      <c r="V8" s="50"/>
      <c r="W8" s="50"/>
      <c r="X8" s="50"/>
      <c r="Y8" s="320" t="s">
        <v>5</v>
      </c>
      <c r="Z8" s="283"/>
      <c r="AA8" s="321">
        <v>2019</v>
      </c>
      <c r="AB8" s="321">
        <v>2020</v>
      </c>
      <c r="AC8" s="321">
        <v>2021</v>
      </c>
      <c r="AD8" s="322">
        <v>2022</v>
      </c>
      <c r="AE8" s="322">
        <v>2023</v>
      </c>
      <c r="AF8" s="322">
        <v>2024</v>
      </c>
      <c r="AG8" s="322">
        <v>2025</v>
      </c>
      <c r="AH8" s="323">
        <v>2026</v>
      </c>
    </row>
    <row r="9" spans="1:41" x14ac:dyDescent="0.25">
      <c r="C9" s="275" t="s">
        <v>210</v>
      </c>
      <c r="D9" s="63"/>
      <c r="I9" s="81"/>
      <c r="J9" s="108"/>
      <c r="K9" s="108"/>
      <c r="L9" s="108"/>
      <c r="M9" s="108"/>
      <c r="N9" s="108"/>
      <c r="O9" s="108"/>
      <c r="P9" s="108"/>
      <c r="Q9" s="324"/>
      <c r="T9" s="275" t="s">
        <v>210</v>
      </c>
      <c r="U9" s="63"/>
      <c r="Y9" s="214"/>
      <c r="Z9" s="81"/>
      <c r="AA9" s="108"/>
      <c r="AB9" s="108"/>
      <c r="AC9" s="108"/>
      <c r="AD9" s="108"/>
      <c r="AE9" s="108"/>
      <c r="AF9" s="108"/>
      <c r="AG9" s="108"/>
      <c r="AH9" s="324"/>
    </row>
    <row r="10" spans="1:41" s="278" customFormat="1" ht="14.4" x14ac:dyDescent="0.3">
      <c r="A10" s="52"/>
      <c r="B10" s="52"/>
      <c r="C10" s="275"/>
      <c r="D10" s="52" t="s">
        <v>86</v>
      </c>
      <c r="E10" s="276"/>
      <c r="F10" s="52"/>
      <c r="G10" s="52"/>
      <c r="H10" s="286" t="s">
        <v>102</v>
      </c>
      <c r="I10" s="277"/>
      <c r="J10" s="287">
        <v>213.49999999999997</v>
      </c>
      <c r="K10" s="287">
        <v>236.60000000000002</v>
      </c>
      <c r="L10" s="287">
        <v>204.79999999999998</v>
      </c>
      <c r="M10" s="287">
        <v>252.48405</v>
      </c>
      <c r="N10" s="287">
        <v>233.60142624000002</v>
      </c>
      <c r="O10" s="287">
        <v>281.25556343539205</v>
      </c>
      <c r="P10" s="287">
        <v>281.25400911012792</v>
      </c>
      <c r="Q10" s="288">
        <v>268.17287049000004</v>
      </c>
      <c r="R10" s="52"/>
      <c r="S10" s="52"/>
      <c r="T10" s="275"/>
      <c r="U10" s="52" t="s">
        <v>86</v>
      </c>
      <c r="V10" s="276"/>
      <c r="W10" s="52"/>
      <c r="X10" s="52"/>
      <c r="Y10" s="286" t="s">
        <v>102</v>
      </c>
      <c r="Z10" s="277"/>
      <c r="AA10" s="287">
        <f>Model!J94</f>
        <v>213.49999999999997</v>
      </c>
      <c r="AB10" s="287">
        <f>Model!K94</f>
        <v>236.60000000000002</v>
      </c>
      <c r="AC10" s="287">
        <f>Model!L94</f>
        <v>204.79999999999998</v>
      </c>
      <c r="AD10" s="287">
        <f>Model!M94</f>
        <v>238.43534000000005</v>
      </c>
      <c r="AE10" s="287">
        <f>Model!N94</f>
        <v>220.189931</v>
      </c>
      <c r="AF10" s="287">
        <f>Model!O94</f>
        <v>262.63137718285003</v>
      </c>
      <c r="AG10" s="287">
        <f>Model!P94</f>
        <v>259.95879533368992</v>
      </c>
      <c r="AH10" s="288">
        <f>Model!Q94</f>
        <v>244.69125646712132</v>
      </c>
      <c r="AI10" s="52"/>
      <c r="AJ10" s="52"/>
      <c r="AK10" s="52"/>
      <c r="AL10" s="52"/>
      <c r="AM10" s="52"/>
      <c r="AN10" s="52"/>
      <c r="AO10" s="52"/>
    </row>
    <row r="11" spans="1:41" x14ac:dyDescent="0.25">
      <c r="C11" s="198"/>
      <c r="E11" s="24" t="s">
        <v>208</v>
      </c>
      <c r="H11" s="214" t="s">
        <v>99</v>
      </c>
      <c r="I11" s="81"/>
      <c r="J11" s="289"/>
      <c r="K11" s="290">
        <v>0.10819672131147562</v>
      </c>
      <c r="L11" s="290">
        <v>-0.13440405748098072</v>
      </c>
      <c r="M11" s="290">
        <v>0.23283227539062512</v>
      </c>
      <c r="N11" s="290">
        <v>-7.4787392550143106E-2</v>
      </c>
      <c r="O11" s="290">
        <v>0.203997629476939</v>
      </c>
      <c r="P11" s="290">
        <v>-5.5263805101013475E-6</v>
      </c>
      <c r="Q11" s="291">
        <v>-4.6510052110957933E-2</v>
      </c>
      <c r="T11" s="198"/>
      <c r="V11" s="63" t="s">
        <v>208</v>
      </c>
      <c r="Y11" s="214" t="s">
        <v>99</v>
      </c>
      <c r="Z11" s="81"/>
      <c r="AA11" s="289"/>
      <c r="AB11" s="290">
        <f>AB10/AA10-1</f>
        <v>0.10819672131147562</v>
      </c>
      <c r="AC11" s="290">
        <f t="shared" ref="AC11:AH11" si="0">AC10/AB10-1</f>
        <v>-0.13440405748098072</v>
      </c>
      <c r="AD11" s="290">
        <f t="shared" si="0"/>
        <v>0.16423505859375043</v>
      </c>
      <c r="AE11" s="290">
        <f t="shared" si="0"/>
        <v>-7.6521412471825867E-2</v>
      </c>
      <c r="AF11" s="290">
        <f t="shared" si="0"/>
        <v>0.19274925965097855</v>
      </c>
      <c r="AG11" s="290">
        <f t="shared" si="0"/>
        <v>-1.0176171171274007E-2</v>
      </c>
      <c r="AH11" s="291">
        <f t="shared" si="0"/>
        <v>-5.8730610929977556E-2</v>
      </c>
    </row>
    <row r="12" spans="1:41" ht="5.0999999999999996" customHeight="1" x14ac:dyDescent="0.25">
      <c r="C12" s="198"/>
      <c r="E12" s="63"/>
      <c r="H12" s="214"/>
      <c r="I12" s="81"/>
      <c r="J12" s="58"/>
      <c r="K12" s="58"/>
      <c r="L12" s="58"/>
      <c r="M12" s="58"/>
      <c r="N12" s="58"/>
      <c r="O12" s="58"/>
      <c r="P12" s="58"/>
      <c r="Q12" s="56"/>
      <c r="T12" s="198"/>
      <c r="V12" s="63"/>
      <c r="Y12" s="214"/>
      <c r="Z12" s="81"/>
      <c r="AA12" s="58"/>
      <c r="AB12" s="58"/>
      <c r="AC12" s="58"/>
      <c r="AD12" s="58"/>
      <c r="AE12" s="58"/>
      <c r="AF12" s="58"/>
      <c r="AG12" s="58"/>
      <c r="AH12" s="56"/>
    </row>
    <row r="13" spans="1:41" ht="14.4" x14ac:dyDescent="0.3">
      <c r="C13" s="198"/>
      <c r="D13" s="52" t="str">
        <f>Model!C101</f>
        <v>EBITDA</v>
      </c>
      <c r="E13" s="63"/>
      <c r="H13" s="286" t="s">
        <v>102</v>
      </c>
      <c r="I13" s="81"/>
      <c r="J13" s="287">
        <v>50.19999999999996</v>
      </c>
      <c r="K13" s="287">
        <v>68.400000000000034</v>
      </c>
      <c r="L13" s="287">
        <v>33.099999999999966</v>
      </c>
      <c r="M13" s="287">
        <v>73.888004999999964</v>
      </c>
      <c r="N13" s="287">
        <v>47.121061703999999</v>
      </c>
      <c r="O13" s="287">
        <v>86.47099913560325</v>
      </c>
      <c r="P13" s="287">
        <v>76.723315126553075</v>
      </c>
      <c r="Q13" s="288">
        <v>54.342095904000075</v>
      </c>
      <c r="T13" s="198"/>
      <c r="U13" s="52" t="s">
        <v>111</v>
      </c>
      <c r="V13" s="63"/>
      <c r="Y13" s="286" t="s">
        <v>102</v>
      </c>
      <c r="Z13" s="81"/>
      <c r="AA13" s="287">
        <f>Model!J101</f>
        <v>50.19999999999996</v>
      </c>
      <c r="AB13" s="287">
        <f>Model!K101</f>
        <v>68.400000000000034</v>
      </c>
      <c r="AC13" s="287">
        <f>Model!L101</f>
        <v>33.099999999999966</v>
      </c>
      <c r="AD13" s="287">
        <f>Model!M101</f>
        <v>60.845924000000053</v>
      </c>
      <c r="AE13" s="287">
        <f>Model!N101</f>
        <v>33.868513543999995</v>
      </c>
      <c r="AF13" s="287">
        <f>Model!O101</f>
        <v>68.220257578678002</v>
      </c>
      <c r="AG13" s="287">
        <f>Model!P101</f>
        <v>57.064415608460365</v>
      </c>
      <c r="AH13" s="288">
        <f>Model!Q101</f>
        <v>34.174541658925051</v>
      </c>
    </row>
    <row r="14" spans="1:41" x14ac:dyDescent="0.25">
      <c r="C14" s="198"/>
      <c r="E14" s="64" t="s">
        <v>161</v>
      </c>
      <c r="H14" s="214" t="s">
        <v>99</v>
      </c>
      <c r="I14" s="81"/>
      <c r="J14" s="290">
        <v>0.23512880562060876</v>
      </c>
      <c r="K14" s="290">
        <v>0.28909551986475074</v>
      </c>
      <c r="L14" s="290">
        <v>0.16162109374999983</v>
      </c>
      <c r="M14" s="290">
        <v>0.29264424822082807</v>
      </c>
      <c r="N14" s="290">
        <v>0.20171564216216831</v>
      </c>
      <c r="O14" s="290">
        <v>0.30744635974273532</v>
      </c>
      <c r="P14" s="290">
        <v>0.27279012082103782</v>
      </c>
      <c r="Q14" s="291">
        <v>0.20263830492885912</v>
      </c>
      <c r="T14" s="198"/>
      <c r="V14" s="64" t="s">
        <v>161</v>
      </c>
      <c r="Y14" s="214" t="s">
        <v>99</v>
      </c>
      <c r="Z14" s="81"/>
      <c r="AA14" s="290">
        <f>AA13/AA10</f>
        <v>0.23512880562060876</v>
      </c>
      <c r="AB14" s="290">
        <f t="shared" ref="AB14:AH14" si="1">AB13/AB10</f>
        <v>0.28909551986475074</v>
      </c>
      <c r="AC14" s="290">
        <f t="shared" si="1"/>
        <v>0.16162109374999983</v>
      </c>
      <c r="AD14" s="290">
        <f t="shared" si="1"/>
        <v>0.25518836259759159</v>
      </c>
      <c r="AE14" s="290">
        <f t="shared" si="1"/>
        <v>0.15381499685378436</v>
      </c>
      <c r="AF14" s="290">
        <f t="shared" si="1"/>
        <v>0.25975669133845147</v>
      </c>
      <c r="AG14" s="290">
        <f t="shared" si="1"/>
        <v>0.21951330992748672</v>
      </c>
      <c r="AH14" s="291">
        <f t="shared" si="1"/>
        <v>0.1396639265020776</v>
      </c>
    </row>
    <row r="15" spans="1:41" x14ac:dyDescent="0.25">
      <c r="C15" s="198"/>
      <c r="E15" s="64" t="s">
        <v>208</v>
      </c>
      <c r="H15" s="214" t="s">
        <v>99</v>
      </c>
      <c r="J15" s="289"/>
      <c r="K15" s="290">
        <v>0.36254980079681443</v>
      </c>
      <c r="L15" s="290">
        <v>-0.51608187134502992</v>
      </c>
      <c r="M15" s="290">
        <v>1.2322660120845934</v>
      </c>
      <c r="N15" s="290">
        <v>-0.36226371649904443</v>
      </c>
      <c r="O15" s="290">
        <v>0.8350817237265884</v>
      </c>
      <c r="P15" s="290">
        <v>-0.11272778279991791</v>
      </c>
      <c r="Q15" s="291">
        <v>-0.29171340140393798</v>
      </c>
      <c r="T15" s="198"/>
      <c r="V15" s="64" t="s">
        <v>208</v>
      </c>
      <c r="Y15" s="214" t="s">
        <v>99</v>
      </c>
      <c r="AA15" s="289"/>
      <c r="AB15" s="290">
        <f>AB13/AA13-1</f>
        <v>0.36254980079681443</v>
      </c>
      <c r="AC15" s="290">
        <f t="shared" ref="AC15:AH15" si="2">AC13/AB13-1</f>
        <v>-0.51608187134502992</v>
      </c>
      <c r="AD15" s="290">
        <f t="shared" si="2"/>
        <v>0.83824543806646878</v>
      </c>
      <c r="AE15" s="290">
        <f t="shared" si="2"/>
        <v>-0.44337251671944422</v>
      </c>
      <c r="AF15" s="290">
        <f t="shared" si="2"/>
        <v>1.0142678387715547</v>
      </c>
      <c r="AG15" s="290">
        <f t="shared" si="2"/>
        <v>-0.16352682276744079</v>
      </c>
      <c r="AH15" s="291">
        <f t="shared" si="2"/>
        <v>-0.40112342701607662</v>
      </c>
    </row>
    <row r="16" spans="1:41" ht="5.0999999999999996" customHeight="1" x14ac:dyDescent="0.25">
      <c r="C16" s="198"/>
      <c r="H16" s="214"/>
      <c r="J16" s="58"/>
      <c r="K16" s="58"/>
      <c r="L16" s="58"/>
      <c r="M16" s="58"/>
      <c r="N16" s="58"/>
      <c r="O16" s="58"/>
      <c r="P16" s="58"/>
      <c r="Q16" s="56"/>
      <c r="T16" s="198"/>
      <c r="Y16" s="214"/>
      <c r="AA16" s="58"/>
      <c r="AB16" s="58"/>
      <c r="AC16" s="58"/>
      <c r="AD16" s="58"/>
      <c r="AE16" s="58"/>
      <c r="AF16" s="58"/>
      <c r="AG16" s="58"/>
      <c r="AH16" s="56"/>
    </row>
    <row r="17" spans="1:41" ht="14.4" x14ac:dyDescent="0.3">
      <c r="C17" s="198"/>
      <c r="D17" s="52" t="s">
        <v>122</v>
      </c>
      <c r="H17" s="286" t="s">
        <v>102</v>
      </c>
      <c r="J17" s="287">
        <v>14.099999999999962</v>
      </c>
      <c r="K17" s="287">
        <v>23.700000000000035</v>
      </c>
      <c r="L17" s="287">
        <v>2.1999999999999651</v>
      </c>
      <c r="M17" s="287">
        <v>29.715619916666643</v>
      </c>
      <c r="N17" s="287">
        <v>12.935920873283106</v>
      </c>
      <c r="O17" s="287">
        <v>38.887444954590023</v>
      </c>
      <c r="P17" s="287">
        <v>33.308118102325324</v>
      </c>
      <c r="Q17" s="288">
        <v>19.414198811074407</v>
      </c>
      <c r="T17" s="198"/>
      <c r="U17" s="52" t="s">
        <v>122</v>
      </c>
      <c r="Y17" s="286" t="s">
        <v>102</v>
      </c>
      <c r="AA17" s="287">
        <f>Model!J113</f>
        <v>14.099999999999962</v>
      </c>
      <c r="AB17" s="287">
        <f>Model!K113</f>
        <v>23.700000000000035</v>
      </c>
      <c r="AC17" s="287">
        <f>Model!L113</f>
        <v>2.1999999999999651</v>
      </c>
      <c r="AD17" s="287">
        <f>Model!M113</f>
        <v>21.238267266666703</v>
      </c>
      <c r="AE17" s="287">
        <f>Model!N113</f>
        <v>4.1630914923510485</v>
      </c>
      <c r="AF17" s="287">
        <f>Model!O113</f>
        <v>26.544492839958224</v>
      </c>
      <c r="AG17" s="287">
        <f>Model!P113</f>
        <v>19.682347281705255</v>
      </c>
      <c r="AH17" s="288">
        <f>Model!Q113</f>
        <v>5.0954587419438973</v>
      </c>
    </row>
    <row r="18" spans="1:41" x14ac:dyDescent="0.25">
      <c r="C18" s="198"/>
      <c r="E18" s="64" t="s">
        <v>161</v>
      </c>
      <c r="H18" s="214" t="s">
        <v>99</v>
      </c>
      <c r="J18" s="290">
        <v>6.604215456674456E-2</v>
      </c>
      <c r="K18" s="290">
        <v>0.10016906170752338</v>
      </c>
      <c r="L18" s="290">
        <v>1.074218749999983E-2</v>
      </c>
      <c r="M18" s="290">
        <v>0.11769305790471375</v>
      </c>
      <c r="N18" s="290">
        <v>5.5376035504136244E-2</v>
      </c>
      <c r="O18" s="290">
        <v>0.13826373594036642</v>
      </c>
      <c r="P18" s="290">
        <v>0.11842717623016419</v>
      </c>
      <c r="Q18" s="291">
        <v>7.2394343154850729E-2</v>
      </c>
      <c r="T18" s="198"/>
      <c r="V18" s="64" t="s">
        <v>161</v>
      </c>
      <c r="Y18" s="214" t="s">
        <v>99</v>
      </c>
      <c r="AA18" s="290">
        <f>AA17/AA10</f>
        <v>6.604215456674456E-2</v>
      </c>
      <c r="AB18" s="290">
        <f t="shared" ref="AB18:AH18" si="3">AB17/AB10</f>
        <v>0.10016906170752338</v>
      </c>
      <c r="AC18" s="290">
        <f t="shared" si="3"/>
        <v>1.074218749999983E-2</v>
      </c>
      <c r="AD18" s="290">
        <f t="shared" si="3"/>
        <v>8.9073487456459682E-2</v>
      </c>
      <c r="AE18" s="290">
        <f t="shared" si="3"/>
        <v>1.8906820459247287E-2</v>
      </c>
      <c r="AF18" s="290">
        <f t="shared" si="3"/>
        <v>0.10107129286946295</v>
      </c>
      <c r="AG18" s="290">
        <f t="shared" si="3"/>
        <v>7.5713334709219884E-2</v>
      </c>
      <c r="AH18" s="291">
        <f t="shared" si="3"/>
        <v>2.0824032764851015E-2</v>
      </c>
    </row>
    <row r="19" spans="1:41" x14ac:dyDescent="0.25">
      <c r="C19" s="198"/>
      <c r="E19" s="64" t="s">
        <v>208</v>
      </c>
      <c r="H19" s="214" t="s">
        <v>99</v>
      </c>
      <c r="J19" s="289"/>
      <c r="K19" s="290">
        <v>0.68085106382979421</v>
      </c>
      <c r="L19" s="290">
        <v>-0.9071729957805923</v>
      </c>
      <c r="M19" s="290">
        <v>12.507099962121416</v>
      </c>
      <c r="N19" s="290">
        <v>-0.56467605557077016</v>
      </c>
      <c r="O19" s="290">
        <v>2.0061597728929588</v>
      </c>
      <c r="P19" s="290">
        <v>-0.14347373191475654</v>
      </c>
      <c r="Q19" s="291">
        <v>-0.41713312197848085</v>
      </c>
      <c r="T19" s="198"/>
      <c r="V19" s="64" t="s">
        <v>208</v>
      </c>
      <c r="Y19" s="214" t="s">
        <v>99</v>
      </c>
      <c r="AA19" s="289"/>
      <c r="AB19" s="290">
        <f>AB17/AA17-1</f>
        <v>0.68085106382979421</v>
      </c>
      <c r="AC19" s="290">
        <f t="shared" ref="AC19:AH19" si="4">AC17/AB17-1</f>
        <v>-0.9071729957805923</v>
      </c>
      <c r="AD19" s="290">
        <f t="shared" si="4"/>
        <v>8.6537578484850179</v>
      </c>
      <c r="AE19" s="290">
        <f t="shared" si="4"/>
        <v>-0.80398158474608761</v>
      </c>
      <c r="AF19" s="290">
        <f t="shared" si="4"/>
        <v>5.3761492844269894</v>
      </c>
      <c r="AG19" s="290">
        <f t="shared" si="4"/>
        <v>-0.25851484899810084</v>
      </c>
      <c r="AH19" s="291">
        <f t="shared" si="4"/>
        <v>-0.74111529133112453</v>
      </c>
    </row>
    <row r="20" spans="1:41" ht="5.0999999999999996" customHeight="1" x14ac:dyDescent="0.25">
      <c r="C20" s="57"/>
      <c r="D20" s="50"/>
      <c r="E20" s="86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1"/>
      <c r="T20" s="57"/>
      <c r="U20" s="50"/>
      <c r="V20" s="86"/>
      <c r="W20" s="50"/>
      <c r="X20" s="50"/>
      <c r="Y20" s="246"/>
      <c r="Z20" s="50"/>
      <c r="AA20" s="83"/>
      <c r="AB20" s="284"/>
      <c r="AC20" s="284"/>
      <c r="AD20" s="284"/>
      <c r="AE20" s="284"/>
      <c r="AF20" s="284"/>
      <c r="AG20" s="284"/>
      <c r="AH20" s="285"/>
    </row>
    <row r="21" spans="1:41" ht="9.9" customHeight="1" x14ac:dyDescent="0.25"/>
    <row r="22" spans="1:41" s="305" customFormat="1" x14ac:dyDescent="0.3">
      <c r="A22" s="301"/>
      <c r="B22" s="301"/>
      <c r="C22" s="302" t="s">
        <v>211</v>
      </c>
      <c r="D22" s="303"/>
      <c r="E22" s="303"/>
      <c r="F22" s="303"/>
      <c r="G22" s="303"/>
      <c r="H22" s="303"/>
      <c r="I22" s="302"/>
      <c r="J22" s="303"/>
      <c r="K22" s="303"/>
      <c r="L22" s="303"/>
      <c r="M22" s="303"/>
      <c r="N22" s="303"/>
      <c r="O22" s="303"/>
      <c r="P22" s="303"/>
      <c r="Q22" s="303"/>
      <c r="R22" s="301"/>
      <c r="S22" s="301"/>
      <c r="T22" s="301"/>
      <c r="U22" s="301"/>
      <c r="V22" s="301"/>
      <c r="W22" s="301"/>
      <c r="X22" s="301"/>
      <c r="Y22" s="301"/>
      <c r="Z22" s="301"/>
      <c r="AA22" s="301"/>
      <c r="AB22" s="301"/>
      <c r="AC22" s="301"/>
      <c r="AD22" s="301"/>
      <c r="AE22" s="301"/>
      <c r="AF22" s="301"/>
      <c r="AG22" s="301"/>
      <c r="AH22" s="301"/>
      <c r="AI22" s="301"/>
      <c r="AJ22" s="301"/>
      <c r="AK22" s="301"/>
      <c r="AL22" s="301"/>
      <c r="AM22" s="301"/>
      <c r="AN22" s="301"/>
      <c r="AO22" s="301"/>
    </row>
    <row r="23" spans="1:41" x14ac:dyDescent="0.25">
      <c r="C23" s="292"/>
      <c r="D23" s="293"/>
      <c r="E23" s="294"/>
      <c r="F23" s="294"/>
      <c r="G23" s="294"/>
      <c r="H23" s="294"/>
      <c r="I23" s="294"/>
      <c r="J23" s="294"/>
      <c r="K23" s="294"/>
      <c r="L23" s="294"/>
      <c r="M23" s="293" t="s">
        <v>3</v>
      </c>
      <c r="N23" s="294"/>
      <c r="O23" s="294"/>
      <c r="P23" s="294"/>
      <c r="Q23" s="295"/>
    </row>
    <row r="24" spans="1:41" x14ac:dyDescent="0.25">
      <c r="C24" s="296"/>
      <c r="D24" s="297"/>
      <c r="E24" s="298"/>
      <c r="F24" s="298"/>
      <c r="G24" s="298"/>
      <c r="H24" s="299" t="s">
        <v>5</v>
      </c>
      <c r="I24" s="300"/>
      <c r="J24" s="317">
        <v>2019</v>
      </c>
      <c r="K24" s="317">
        <v>2020</v>
      </c>
      <c r="L24" s="317">
        <v>2021</v>
      </c>
      <c r="M24" s="318">
        <v>2022</v>
      </c>
      <c r="N24" s="318">
        <v>2023</v>
      </c>
      <c r="O24" s="318">
        <v>2024</v>
      </c>
      <c r="P24" s="318">
        <v>2025</v>
      </c>
      <c r="Q24" s="319">
        <v>2026</v>
      </c>
    </row>
    <row r="25" spans="1:41" x14ac:dyDescent="0.25">
      <c r="C25" s="275" t="s">
        <v>210</v>
      </c>
      <c r="D25" s="63"/>
      <c r="I25" s="81"/>
      <c r="J25" s="108"/>
      <c r="K25" s="108"/>
      <c r="L25" s="108"/>
      <c r="M25" s="108"/>
      <c r="N25" s="108"/>
      <c r="O25" s="108"/>
      <c r="P25" s="108"/>
      <c r="Q25" s="324"/>
    </row>
    <row r="26" spans="1:41" ht="14.4" x14ac:dyDescent="0.3">
      <c r="C26" s="275"/>
      <c r="D26" s="52" t="s">
        <v>86</v>
      </c>
      <c r="E26" s="276"/>
      <c r="F26" s="52"/>
      <c r="G26" s="52"/>
      <c r="H26" s="286" t="s">
        <v>102</v>
      </c>
      <c r="I26" s="277"/>
      <c r="J26" s="287">
        <v>213.49999999999997</v>
      </c>
      <c r="K26" s="287">
        <v>236.60000000000002</v>
      </c>
      <c r="L26" s="287">
        <v>204.79999999999998</v>
      </c>
      <c r="M26" s="287">
        <v>264.131595</v>
      </c>
      <c r="N26" s="287">
        <v>244.66438891440001</v>
      </c>
      <c r="O26" s="287">
        <v>297.24115989420221</v>
      </c>
      <c r="P26" s="287">
        <v>300.44450457009054</v>
      </c>
      <c r="Q26" s="288">
        <v>281.50084467066245</v>
      </c>
    </row>
    <row r="27" spans="1:41" x14ac:dyDescent="0.25">
      <c r="C27" s="198"/>
      <c r="E27" s="24" t="s">
        <v>208</v>
      </c>
      <c r="H27" s="214" t="s">
        <v>99</v>
      </c>
      <c r="I27" s="81"/>
      <c r="J27" s="289"/>
      <c r="K27" s="290">
        <v>0.10819672131147562</v>
      </c>
      <c r="L27" s="290">
        <v>-0.13440405748098072</v>
      </c>
      <c r="M27" s="290">
        <v>0.28970505371093758</v>
      </c>
      <c r="N27" s="290">
        <v>-7.3702678718159387E-2</v>
      </c>
      <c r="O27" s="290">
        <v>0.21489343509732062</v>
      </c>
      <c r="P27" s="290">
        <v>1.077692159803334E-2</v>
      </c>
      <c r="Q27" s="291">
        <v>-6.3052109828185432E-2</v>
      </c>
    </row>
    <row r="28" spans="1:41" ht="5.0999999999999996" customHeight="1" x14ac:dyDescent="0.25">
      <c r="C28" s="198"/>
      <c r="E28" s="63"/>
      <c r="H28" s="214"/>
      <c r="I28" s="81"/>
      <c r="J28" s="58"/>
      <c r="K28" s="58"/>
      <c r="L28" s="58"/>
      <c r="M28" s="58"/>
      <c r="N28" s="58"/>
      <c r="O28" s="58"/>
      <c r="P28" s="58"/>
      <c r="Q28" s="56"/>
    </row>
    <row r="29" spans="1:41" ht="14.4" x14ac:dyDescent="0.3">
      <c r="C29" s="198"/>
      <c r="D29" s="52" t="str">
        <f>Model!C117</f>
        <v>EBIDTA Margin</v>
      </c>
      <c r="E29" s="63"/>
      <c r="H29" s="286" t="s">
        <v>102</v>
      </c>
      <c r="I29" s="81"/>
      <c r="J29" s="287">
        <v>50.19999999999996</v>
      </c>
      <c r="K29" s="287">
        <v>68.400000000000034</v>
      </c>
      <c r="L29" s="287">
        <v>33.099999999999966</v>
      </c>
      <c r="M29" s="287">
        <v>85.535549999999972</v>
      </c>
      <c r="N29" s="287">
        <v>58.549672151999971</v>
      </c>
      <c r="O29" s="287">
        <v>102.08054012687285</v>
      </c>
      <c r="P29" s="287">
        <v>95.280429798880789</v>
      </c>
      <c r="Q29" s="288">
        <v>70.58071270915201</v>
      </c>
    </row>
    <row r="30" spans="1:41" x14ac:dyDescent="0.25">
      <c r="C30" s="198"/>
      <c r="E30" s="64" t="s">
        <v>161</v>
      </c>
      <c r="H30" s="214" t="s">
        <v>99</v>
      </c>
      <c r="I30" s="81"/>
      <c r="J30" s="290">
        <v>0.23512880562060876</v>
      </c>
      <c r="K30" s="290">
        <v>0.28909551986475074</v>
      </c>
      <c r="L30" s="290">
        <v>0.16162109374999983</v>
      </c>
      <c r="M30" s="290">
        <v>0.32383687381284304</v>
      </c>
      <c r="N30" s="290">
        <v>0.23930606498064813</v>
      </c>
      <c r="O30" s="290">
        <v>0.3434266646086519</v>
      </c>
      <c r="P30" s="290">
        <v>0.31713154459329734</v>
      </c>
      <c r="Q30" s="291">
        <v>0.25073002104745662</v>
      </c>
    </row>
    <row r="31" spans="1:41" x14ac:dyDescent="0.25">
      <c r="C31" s="198"/>
      <c r="E31" s="64" t="s">
        <v>208</v>
      </c>
      <c r="H31" s="214" t="s">
        <v>99</v>
      </c>
      <c r="J31" s="289"/>
      <c r="K31" s="290">
        <v>0.36254980079681443</v>
      </c>
      <c r="L31" s="290">
        <v>-0.51608187134502992</v>
      </c>
      <c r="M31" s="290">
        <v>1.5841555891238688</v>
      </c>
      <c r="N31" s="290">
        <v>-0.31549312359597859</v>
      </c>
      <c r="O31" s="290">
        <v>0.74348610974051255</v>
      </c>
      <c r="P31" s="290">
        <v>-6.6615148387149992E-2</v>
      </c>
      <c r="Q31" s="291">
        <v>-0.25923179756708981</v>
      </c>
    </row>
    <row r="32" spans="1:41" ht="5.0999999999999996" customHeight="1" x14ac:dyDescent="0.25">
      <c r="C32" s="198"/>
      <c r="H32" s="214"/>
      <c r="J32" s="58"/>
      <c r="K32" s="58"/>
      <c r="L32" s="58"/>
      <c r="M32" s="58"/>
      <c r="N32" s="58"/>
      <c r="O32" s="58"/>
      <c r="P32" s="58"/>
      <c r="Q32" s="56"/>
    </row>
    <row r="33" spans="1:41" ht="14.4" x14ac:dyDescent="0.3">
      <c r="C33" s="198"/>
      <c r="D33" s="52" t="s">
        <v>122</v>
      </c>
      <c r="H33" s="286" t="s">
        <v>102</v>
      </c>
      <c r="J33" s="287">
        <v>14.099999999999962</v>
      </c>
      <c r="K33" s="287">
        <v>23.700000000000035</v>
      </c>
      <c r="L33" s="287">
        <v>2.1999999999999651</v>
      </c>
      <c r="M33" s="287">
        <v>37.286524166666652</v>
      </c>
      <c r="N33" s="287">
        <v>20.394552375041993</v>
      </c>
      <c r="O33" s="287">
        <v>49.285409896426842</v>
      </c>
      <c r="P33" s="287">
        <v>45.53796604459437</v>
      </c>
      <c r="Q33" s="288">
        <v>30.150935040221412</v>
      </c>
    </row>
    <row r="34" spans="1:41" x14ac:dyDescent="0.25">
      <c r="C34" s="198"/>
      <c r="E34" s="64" t="s">
        <v>161</v>
      </c>
      <c r="H34" s="214" t="s">
        <v>99</v>
      </c>
      <c r="J34" s="290">
        <v>6.604215456674456E-2</v>
      </c>
      <c r="K34" s="290">
        <v>0.10016906170752338</v>
      </c>
      <c r="L34" s="290">
        <v>1.074218749999983E-2</v>
      </c>
      <c r="M34" s="290">
        <v>0.14116646729319396</v>
      </c>
      <c r="N34" s="290">
        <v>8.3357257120803857E-2</v>
      </c>
      <c r="O34" s="290">
        <v>0.1658095060386964</v>
      </c>
      <c r="P34" s="290">
        <v>0.15156864363272399</v>
      </c>
      <c r="Q34" s="291">
        <v>0.1071077959836889</v>
      </c>
    </row>
    <row r="35" spans="1:41" x14ac:dyDescent="0.25">
      <c r="C35" s="198"/>
      <c r="E35" s="64" t="s">
        <v>208</v>
      </c>
      <c r="H35" s="214" t="s">
        <v>99</v>
      </c>
      <c r="J35" s="289"/>
      <c r="K35" s="290">
        <v>0.68085106382979421</v>
      </c>
      <c r="L35" s="290">
        <v>-0.9071729957805923</v>
      </c>
      <c r="M35" s="290">
        <v>15.948420075757838</v>
      </c>
      <c r="N35" s="290">
        <v>-0.45303154877401308</v>
      </c>
      <c r="O35" s="290">
        <v>1.4165967945803155</v>
      </c>
      <c r="P35" s="290">
        <v>-7.6035562242613319E-2</v>
      </c>
      <c r="Q35" s="291">
        <v>-0.33789456009749674</v>
      </c>
    </row>
    <row r="36" spans="1:41" ht="5.0999999999999996" customHeight="1" x14ac:dyDescent="0.25">
      <c r="C36" s="57"/>
      <c r="D36" s="50"/>
      <c r="E36" s="86"/>
      <c r="F36" s="50"/>
      <c r="G36" s="50"/>
      <c r="H36" s="246"/>
      <c r="I36" s="50"/>
      <c r="J36" s="83"/>
      <c r="K36" s="284"/>
      <c r="L36" s="284"/>
      <c r="M36" s="284"/>
      <c r="N36" s="284"/>
      <c r="O36" s="284"/>
      <c r="P36" s="284"/>
      <c r="Q36" s="285"/>
    </row>
    <row r="37" spans="1:41" ht="9.9" customHeight="1" x14ac:dyDescent="0.25"/>
    <row r="38" spans="1:41" s="305" customFormat="1" x14ac:dyDescent="0.3">
      <c r="A38" s="301"/>
      <c r="B38" s="301"/>
      <c r="C38" s="302" t="s">
        <v>212</v>
      </c>
      <c r="D38" s="303"/>
      <c r="E38" s="303"/>
      <c r="F38" s="303"/>
      <c r="G38" s="303"/>
      <c r="H38" s="303"/>
      <c r="I38" s="302"/>
      <c r="J38" s="303"/>
      <c r="K38" s="303"/>
      <c r="L38" s="303"/>
      <c r="M38" s="303"/>
      <c r="N38" s="303"/>
      <c r="O38" s="303"/>
      <c r="P38" s="303"/>
      <c r="Q38" s="303"/>
      <c r="R38" s="301"/>
      <c r="S38" s="301"/>
      <c r="T38" s="301"/>
      <c r="U38" s="301"/>
      <c r="V38" s="301"/>
      <c r="W38" s="301"/>
      <c r="X38" s="301"/>
      <c r="Y38" s="301"/>
      <c r="Z38" s="301"/>
      <c r="AA38" s="301"/>
      <c r="AB38" s="301"/>
      <c r="AC38" s="301"/>
      <c r="AD38" s="301"/>
      <c r="AE38" s="301"/>
      <c r="AF38" s="301"/>
      <c r="AG38" s="301"/>
      <c r="AH38" s="301"/>
      <c r="AI38" s="301"/>
      <c r="AJ38" s="301"/>
      <c r="AK38" s="301"/>
      <c r="AL38" s="301"/>
      <c r="AM38" s="301"/>
      <c r="AN38" s="301"/>
      <c r="AO38" s="301"/>
    </row>
    <row r="39" spans="1:41" x14ac:dyDescent="0.25">
      <c r="C39" s="292"/>
      <c r="D39" s="293"/>
      <c r="E39" s="294"/>
      <c r="F39" s="294"/>
      <c r="G39" s="294"/>
      <c r="H39" s="294"/>
      <c r="I39" s="294"/>
      <c r="J39" s="294"/>
      <c r="K39" s="294"/>
      <c r="L39" s="294"/>
      <c r="M39" s="293" t="s">
        <v>3</v>
      </c>
      <c r="N39" s="294"/>
      <c r="O39" s="294"/>
      <c r="P39" s="294"/>
      <c r="Q39" s="295"/>
    </row>
    <row r="40" spans="1:41" x14ac:dyDescent="0.25">
      <c r="C40" s="296"/>
      <c r="D40" s="297"/>
      <c r="E40" s="298"/>
      <c r="F40" s="298"/>
      <c r="G40" s="298"/>
      <c r="H40" s="299" t="s">
        <v>5</v>
      </c>
      <c r="I40" s="300"/>
      <c r="J40" s="317">
        <v>2019</v>
      </c>
      <c r="K40" s="317">
        <v>2020</v>
      </c>
      <c r="L40" s="317">
        <v>2021</v>
      </c>
      <c r="M40" s="318">
        <v>2022</v>
      </c>
      <c r="N40" s="318">
        <v>2023</v>
      </c>
      <c r="O40" s="318">
        <v>2024</v>
      </c>
      <c r="P40" s="318">
        <v>2025</v>
      </c>
      <c r="Q40" s="319">
        <v>2026</v>
      </c>
    </row>
    <row r="41" spans="1:41" x14ac:dyDescent="0.25">
      <c r="C41" s="275" t="s">
        <v>210</v>
      </c>
      <c r="D41" s="63"/>
      <c r="I41" s="81"/>
      <c r="J41" s="108"/>
      <c r="K41" s="108"/>
      <c r="L41" s="108"/>
      <c r="M41" s="108"/>
      <c r="N41" s="108"/>
      <c r="O41" s="108"/>
      <c r="P41" s="108"/>
      <c r="Q41" s="324"/>
    </row>
    <row r="42" spans="1:41" ht="14.4" x14ac:dyDescent="0.3">
      <c r="C42" s="275"/>
      <c r="D42" s="52" t="s">
        <v>86</v>
      </c>
      <c r="E42" s="276"/>
      <c r="F42" s="52"/>
      <c r="G42" s="52"/>
      <c r="H42" s="286" t="s">
        <v>102</v>
      </c>
      <c r="I42" s="277"/>
      <c r="J42" s="287">
        <v>213.49999999999997</v>
      </c>
      <c r="K42" s="287">
        <v>236.60000000000002</v>
      </c>
      <c r="L42" s="287">
        <v>204.79999999999998</v>
      </c>
      <c r="M42" s="287">
        <v>238.43534000000005</v>
      </c>
      <c r="N42" s="287">
        <v>220.189931</v>
      </c>
      <c r="O42" s="287">
        <v>262.63137718285003</v>
      </c>
      <c r="P42" s="287">
        <v>259.95879533368992</v>
      </c>
      <c r="Q42" s="288">
        <v>244.69125646712132</v>
      </c>
    </row>
    <row r="43" spans="1:41" x14ac:dyDescent="0.25">
      <c r="C43" s="198"/>
      <c r="E43" s="24" t="s">
        <v>208</v>
      </c>
      <c r="H43" s="214" t="s">
        <v>99</v>
      </c>
      <c r="I43" s="81"/>
      <c r="J43" s="289"/>
      <c r="K43" s="290">
        <v>0.10819672131147562</v>
      </c>
      <c r="L43" s="290">
        <v>-0.13440405748098072</v>
      </c>
      <c r="M43" s="290">
        <v>0.16423505859375043</v>
      </c>
      <c r="N43" s="290">
        <v>-7.6521412471825867E-2</v>
      </c>
      <c r="O43" s="290">
        <v>0.19274925965097855</v>
      </c>
      <c r="P43" s="290">
        <v>-1.0176171171274007E-2</v>
      </c>
      <c r="Q43" s="291">
        <v>-5.8730610929977556E-2</v>
      </c>
    </row>
    <row r="44" spans="1:41" ht="5.0999999999999996" customHeight="1" x14ac:dyDescent="0.25">
      <c r="C44" s="198"/>
      <c r="E44" s="63"/>
      <c r="H44" s="214"/>
      <c r="I44" s="81"/>
      <c r="J44" s="58"/>
      <c r="K44" s="58"/>
      <c r="L44" s="58"/>
      <c r="M44" s="58"/>
      <c r="N44" s="58"/>
      <c r="O44" s="58"/>
      <c r="P44" s="58"/>
      <c r="Q44" s="56"/>
    </row>
    <row r="45" spans="1:41" ht="14.4" x14ac:dyDescent="0.3">
      <c r="C45" s="198"/>
      <c r="D45" s="52" t="str">
        <f>Model!C134</f>
        <v>Depreciation</v>
      </c>
      <c r="E45" s="63"/>
      <c r="H45" s="286" t="s">
        <v>102</v>
      </c>
      <c r="I45" s="81"/>
      <c r="J45" s="287">
        <v>50.19999999999996</v>
      </c>
      <c r="K45" s="287">
        <v>68.400000000000034</v>
      </c>
      <c r="L45" s="287">
        <v>33.099999999999966</v>
      </c>
      <c r="M45" s="287">
        <v>60.845924000000053</v>
      </c>
      <c r="N45" s="287">
        <v>33.868513543999995</v>
      </c>
      <c r="O45" s="287">
        <v>68.220257578678002</v>
      </c>
      <c r="P45" s="287">
        <v>57.064415608460365</v>
      </c>
      <c r="Q45" s="288">
        <v>34.174541658925051</v>
      </c>
    </row>
    <row r="46" spans="1:41" x14ac:dyDescent="0.25">
      <c r="C46" s="198"/>
      <c r="E46" s="64" t="s">
        <v>161</v>
      </c>
      <c r="H46" s="214" t="s">
        <v>99</v>
      </c>
      <c r="I46" s="81"/>
      <c r="J46" s="290">
        <v>0.23512880562060876</v>
      </c>
      <c r="K46" s="290">
        <v>0.28909551986475074</v>
      </c>
      <c r="L46" s="290">
        <v>0.16162109374999983</v>
      </c>
      <c r="M46" s="290">
        <v>0.25518836259759159</v>
      </c>
      <c r="N46" s="290">
        <v>0.15381499685378436</v>
      </c>
      <c r="O46" s="290">
        <v>0.25975669133845147</v>
      </c>
      <c r="P46" s="290">
        <v>0.21951330992748672</v>
      </c>
      <c r="Q46" s="291">
        <v>0.1396639265020776</v>
      </c>
    </row>
    <row r="47" spans="1:41" x14ac:dyDescent="0.25">
      <c r="C47" s="198"/>
      <c r="E47" s="64" t="s">
        <v>208</v>
      </c>
      <c r="H47" s="214" t="s">
        <v>99</v>
      </c>
      <c r="J47" s="289"/>
      <c r="K47" s="290">
        <v>0.36254980079681443</v>
      </c>
      <c r="L47" s="290">
        <v>-0.51608187134502992</v>
      </c>
      <c r="M47" s="290">
        <v>0.83824543806646878</v>
      </c>
      <c r="N47" s="290">
        <v>-0.44337251671944422</v>
      </c>
      <c r="O47" s="290">
        <v>1.0142678387715547</v>
      </c>
      <c r="P47" s="290">
        <v>-0.16352682276744079</v>
      </c>
      <c r="Q47" s="291">
        <v>-0.40112342701607662</v>
      </c>
    </row>
    <row r="48" spans="1:41" ht="5.0999999999999996" customHeight="1" x14ac:dyDescent="0.25">
      <c r="C48" s="198"/>
      <c r="H48" s="214"/>
      <c r="J48" s="58"/>
      <c r="K48" s="58"/>
      <c r="L48" s="58"/>
      <c r="M48" s="58"/>
      <c r="N48" s="58"/>
      <c r="O48" s="58"/>
      <c r="P48" s="58"/>
      <c r="Q48" s="56"/>
    </row>
    <row r="49" spans="2:18" ht="14.4" x14ac:dyDescent="0.3">
      <c r="C49" s="198"/>
      <c r="D49" s="52" t="s">
        <v>122</v>
      </c>
      <c r="H49" s="286" t="s">
        <v>102</v>
      </c>
      <c r="J49" s="287">
        <v>14.099999999999962</v>
      </c>
      <c r="K49" s="287">
        <v>23.700000000000035</v>
      </c>
      <c r="L49" s="287">
        <v>2.1999999999999651</v>
      </c>
      <c r="M49" s="287">
        <v>21.238267266666703</v>
      </c>
      <c r="N49" s="287">
        <v>4.1630914923510485</v>
      </c>
      <c r="O49" s="287">
        <v>26.544492839958224</v>
      </c>
      <c r="P49" s="287">
        <v>19.687803236442093</v>
      </c>
      <c r="Q49" s="288">
        <v>5.0900990148327789</v>
      </c>
    </row>
    <row r="50" spans="2:18" x14ac:dyDescent="0.25">
      <c r="C50" s="198"/>
      <c r="E50" s="64" t="s">
        <v>161</v>
      </c>
      <c r="H50" s="214" t="s">
        <v>99</v>
      </c>
      <c r="J50" s="290">
        <v>6.604215456674456E-2</v>
      </c>
      <c r="K50" s="290">
        <v>0.10016906170752338</v>
      </c>
      <c r="L50" s="290">
        <v>1.074218749999983E-2</v>
      </c>
      <c r="M50" s="290">
        <v>8.9073487456459682E-2</v>
      </c>
      <c r="N50" s="290">
        <v>1.8906820459247287E-2</v>
      </c>
      <c r="O50" s="290">
        <v>0.10107129286946295</v>
      </c>
      <c r="P50" s="290">
        <v>7.5734322476646007E-2</v>
      </c>
      <c r="Q50" s="291">
        <v>2.0802128724680138E-2</v>
      </c>
    </row>
    <row r="51" spans="2:18" x14ac:dyDescent="0.25">
      <c r="C51" s="198"/>
      <c r="E51" s="64" t="s">
        <v>208</v>
      </c>
      <c r="H51" s="214" t="s">
        <v>99</v>
      </c>
      <c r="J51" s="289"/>
      <c r="K51" s="290">
        <v>0.68085106382979421</v>
      </c>
      <c r="L51" s="290">
        <v>-0.9071729957805923</v>
      </c>
      <c r="M51" s="290">
        <v>8.6537578484850179</v>
      </c>
      <c r="N51" s="290">
        <v>-0.80398158474608761</v>
      </c>
      <c r="O51" s="290">
        <v>5.3761492844269894</v>
      </c>
      <c r="P51" s="290">
        <v>-0.2583093090102121</v>
      </c>
      <c r="Q51" s="291">
        <v>-0.7414592703054339</v>
      </c>
    </row>
    <row r="52" spans="2:18" ht="5.0999999999999996" customHeight="1" x14ac:dyDescent="0.25">
      <c r="C52" s="57"/>
      <c r="D52" s="50"/>
      <c r="E52" s="86"/>
      <c r="F52" s="50"/>
      <c r="G52" s="50"/>
      <c r="H52" s="50"/>
      <c r="I52" s="50"/>
      <c r="J52" s="83"/>
      <c r="K52" s="284"/>
      <c r="L52" s="284"/>
      <c r="M52" s="284"/>
      <c r="N52" s="284"/>
      <c r="O52" s="284"/>
      <c r="P52" s="284"/>
      <c r="Q52" s="285"/>
    </row>
    <row r="54" spans="2:18" x14ac:dyDescent="0.25"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</row>
  </sheetData>
  <printOptions horizontalCentered="1"/>
  <pageMargins left="0.39370078740157483" right="0.11811023622047245" top="0.11811023622047245" bottom="0.19685039370078741" header="7.874015748031496E-2" footer="3.937007874015748E-2"/>
  <pageSetup paperSize="9" scale="80" orientation="landscape" horizontalDpi="4294967293" verticalDpi="4294967293" r:id="rId1"/>
  <headerFooter scaleWithDoc="0">
    <oddFooter>&amp;L&amp;"Times New Roman,Bold"&amp;9HANDERSON MANUFACTURING
&amp;"Times New Roman,Regular"C:\Users\Desktop\Handerson_Oni-SJ&amp;C&amp;"Times New Roman,Regular"&amp;9Page &amp;P of &amp;N&amp;R&amp;"Times New Roman,Regular"&amp;9&amp;D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82FAB-0BAD-458A-A527-468F3AA670E3}">
  <dimension ref="B2:U99"/>
  <sheetViews>
    <sheetView showGridLines="0" topLeftCell="A31" workbookViewId="0">
      <selection activeCell="J10" sqref="J10"/>
    </sheetView>
  </sheetViews>
  <sheetFormatPr defaultColWidth="9.109375" defaultRowHeight="14.4" x14ac:dyDescent="0.3"/>
  <cols>
    <col min="1" max="3" width="3" customWidth="1"/>
    <col min="4" max="4" width="14.88671875" customWidth="1"/>
    <col min="6" max="6" width="6.5546875" customWidth="1"/>
    <col min="10" max="10" width="11" customWidth="1"/>
    <col min="12" max="12" width="10" bestFit="1" customWidth="1"/>
    <col min="18" max="18" width="2.88671875" customWidth="1"/>
    <col min="19" max="19" width="3.44140625" customWidth="1"/>
    <col min="22" max="22" width="5.6640625" customWidth="1"/>
  </cols>
  <sheetData>
    <row r="2" spans="2:19" ht="17.25" customHeight="1" x14ac:dyDescent="0.3"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"/>
    </row>
    <row r="3" spans="2:19" ht="22.8" x14ac:dyDescent="0.4">
      <c r="B3" s="4" t="str">
        <f>Cover!$E$14</f>
        <v>HANDERSON MANUFACTURING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2"/>
    </row>
    <row r="4" spans="2:19" ht="17.399999999999999" x14ac:dyDescent="0.3">
      <c r="B4" s="5" t="s">
        <v>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2"/>
    </row>
    <row r="5" spans="2:19" s="329" customFormat="1" ht="3" customHeight="1" thickBot="1" x14ac:dyDescent="0.35">
      <c r="B5" s="309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309"/>
      <c r="S5" s="304"/>
    </row>
    <row r="6" spans="2:19" x14ac:dyDescent="0.3">
      <c r="B6" s="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2:19" x14ac:dyDescent="0.3">
      <c r="B7" s="2"/>
      <c r="C7" s="2"/>
      <c r="D7" s="2"/>
      <c r="E7" s="2"/>
      <c r="F7" s="8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2:19" x14ac:dyDescent="0.3">
      <c r="C8" s="60" t="s">
        <v>20</v>
      </c>
      <c r="D8" s="61"/>
      <c r="E8" s="61"/>
      <c r="F8" s="61"/>
      <c r="G8" s="61"/>
      <c r="H8" s="61"/>
      <c r="I8" s="61"/>
      <c r="J8" s="62"/>
      <c r="K8" s="24"/>
      <c r="L8" s="60" t="s">
        <v>48</v>
      </c>
      <c r="M8" s="79"/>
      <c r="N8" s="61"/>
      <c r="O8" s="61"/>
      <c r="P8" s="61"/>
      <c r="Q8" s="62"/>
      <c r="R8" s="24"/>
      <c r="S8" s="24"/>
    </row>
    <row r="9" spans="2:19" x14ac:dyDescent="0.3">
      <c r="C9" s="55" t="s">
        <v>21</v>
      </c>
      <c r="D9" s="24" t="s">
        <v>22</v>
      </c>
      <c r="E9" s="24"/>
      <c r="F9" s="24"/>
      <c r="G9" s="24"/>
      <c r="H9" s="24"/>
      <c r="I9" s="24"/>
      <c r="J9" s="73">
        <v>2021</v>
      </c>
      <c r="K9" s="24"/>
      <c r="L9" s="76" t="s">
        <v>44</v>
      </c>
      <c r="M9" s="64"/>
      <c r="N9" s="24"/>
      <c r="O9" s="24"/>
      <c r="P9" s="24"/>
      <c r="Q9" s="267">
        <v>0.35</v>
      </c>
      <c r="R9" s="77"/>
      <c r="S9" s="78"/>
    </row>
    <row r="10" spans="2:19" x14ac:dyDescent="0.3">
      <c r="C10" s="55" t="s">
        <v>21</v>
      </c>
      <c r="D10" s="24" t="s">
        <v>33</v>
      </c>
      <c r="E10" s="24"/>
      <c r="F10" s="24"/>
      <c r="G10" s="24"/>
      <c r="H10" s="24"/>
      <c r="I10" s="24"/>
      <c r="J10" s="48"/>
      <c r="K10" s="24"/>
      <c r="L10" s="85" t="s">
        <v>47</v>
      </c>
      <c r="M10" s="89"/>
      <c r="N10" s="50"/>
      <c r="O10" s="50"/>
      <c r="P10" s="50"/>
      <c r="Q10" s="90"/>
      <c r="R10" s="24"/>
      <c r="S10" s="24"/>
    </row>
    <row r="11" spans="2:19" x14ac:dyDescent="0.3">
      <c r="C11" s="57"/>
      <c r="D11" s="50" t="s">
        <v>23</v>
      </c>
      <c r="E11" s="50"/>
      <c r="F11" s="50"/>
      <c r="G11" s="50"/>
      <c r="H11" s="50"/>
      <c r="I11" s="50"/>
      <c r="J11" s="51"/>
      <c r="K11" s="24"/>
      <c r="L11" s="24"/>
      <c r="M11" s="24"/>
      <c r="N11" s="24"/>
      <c r="O11" s="24"/>
      <c r="P11" s="24"/>
      <c r="Q11" s="24"/>
      <c r="R11" s="24"/>
      <c r="S11" s="24"/>
    </row>
    <row r="12" spans="2:19" x14ac:dyDescent="0.3">
      <c r="C12" s="24"/>
      <c r="D12" s="24"/>
      <c r="E12" s="24"/>
      <c r="F12" s="24"/>
      <c r="G12" s="24"/>
      <c r="H12" s="24"/>
      <c r="I12" s="24"/>
      <c r="J12" s="24"/>
      <c r="K12" s="24"/>
      <c r="L12" s="60" t="s">
        <v>49</v>
      </c>
      <c r="M12" s="79"/>
      <c r="N12" s="61"/>
      <c r="O12" s="61"/>
      <c r="P12" s="61"/>
      <c r="Q12" s="62"/>
      <c r="R12" s="24"/>
    </row>
    <row r="13" spans="2:19" x14ac:dyDescent="0.3">
      <c r="C13" s="60" t="s">
        <v>34</v>
      </c>
      <c r="D13" s="61"/>
      <c r="E13" s="61"/>
      <c r="F13" s="61"/>
      <c r="G13" s="61"/>
      <c r="H13" s="61"/>
      <c r="I13" s="61"/>
      <c r="J13" s="62"/>
      <c r="K13" s="24"/>
      <c r="L13" s="330" t="s">
        <v>50</v>
      </c>
      <c r="M13" s="64"/>
      <c r="N13" s="24"/>
      <c r="O13" s="24"/>
      <c r="P13" s="24"/>
      <c r="Q13" s="88"/>
      <c r="R13" s="24"/>
    </row>
    <row r="14" spans="2:19" x14ac:dyDescent="0.3">
      <c r="C14" s="55" t="s">
        <v>21</v>
      </c>
      <c r="D14" s="24" t="s">
        <v>36</v>
      </c>
      <c r="E14" s="52"/>
      <c r="F14" s="52"/>
      <c r="G14" s="52"/>
      <c r="H14" s="52"/>
      <c r="I14" s="24"/>
      <c r="J14" s="65"/>
      <c r="K14" s="24"/>
      <c r="L14" s="76" t="s">
        <v>51</v>
      </c>
      <c r="M14" s="63"/>
      <c r="N14" s="24"/>
      <c r="O14" s="24"/>
      <c r="P14" s="24"/>
      <c r="Q14" s="267">
        <v>0.01</v>
      </c>
      <c r="R14" s="24"/>
    </row>
    <row r="15" spans="2:19" x14ac:dyDescent="0.3">
      <c r="C15" s="330" t="s">
        <v>37</v>
      </c>
      <c r="D15" s="24"/>
      <c r="E15" s="52"/>
      <c r="F15" s="331" t="str">
        <f>Scenarios!H9&amp; " - "&amp;Scenarios!L9</f>
        <v>2021 - 2025</v>
      </c>
      <c r="G15" s="331"/>
      <c r="H15" s="332"/>
      <c r="I15" s="24"/>
      <c r="J15" s="56"/>
      <c r="K15" s="24"/>
      <c r="L15" s="76" t="s">
        <v>52</v>
      </c>
      <c r="M15" s="63"/>
      <c r="N15" s="24"/>
      <c r="O15" s="24"/>
      <c r="P15" s="24"/>
      <c r="Q15" s="267">
        <v>0.06</v>
      </c>
      <c r="R15" s="24"/>
    </row>
    <row r="16" spans="2:19" x14ac:dyDescent="0.3">
      <c r="C16" s="55"/>
      <c r="D16" s="58" t="s">
        <v>35</v>
      </c>
      <c r="E16" s="24"/>
      <c r="F16" s="74" t="s">
        <v>38</v>
      </c>
      <c r="G16" s="67"/>
      <c r="H16" s="67"/>
      <c r="I16" s="24"/>
      <c r="J16" s="48"/>
      <c r="K16" s="24"/>
      <c r="L16" s="85" t="s">
        <v>53</v>
      </c>
      <c r="M16" s="86"/>
      <c r="N16" s="50"/>
      <c r="O16" s="50"/>
      <c r="P16" s="50"/>
      <c r="Q16" s="268">
        <v>0.06</v>
      </c>
      <c r="R16" s="24"/>
    </row>
    <row r="17" spans="3:18" x14ac:dyDescent="0.3">
      <c r="C17" s="55"/>
      <c r="D17" s="58" t="s">
        <v>8</v>
      </c>
      <c r="E17" s="24"/>
      <c r="F17" s="70">
        <v>0.04</v>
      </c>
      <c r="G17" s="71"/>
      <c r="H17" s="67"/>
      <c r="I17" s="24"/>
      <c r="J17" s="48"/>
      <c r="K17" s="24"/>
      <c r="R17" s="24"/>
    </row>
    <row r="18" spans="3:18" x14ac:dyDescent="0.3">
      <c r="C18" s="59"/>
      <c r="D18" s="66" t="s">
        <v>9</v>
      </c>
      <c r="E18" s="50"/>
      <c r="F18" s="72">
        <v>-0.04</v>
      </c>
      <c r="G18" s="68"/>
      <c r="H18" s="69"/>
      <c r="I18" s="50"/>
      <c r="J18" s="51"/>
      <c r="K18" s="24"/>
      <c r="L18" s="60" t="s">
        <v>54</v>
      </c>
      <c r="M18" s="79"/>
      <c r="N18" s="61"/>
      <c r="O18" s="61"/>
      <c r="P18" s="61"/>
      <c r="Q18" s="62"/>
      <c r="R18" s="24"/>
    </row>
    <row r="19" spans="3:18" x14ac:dyDescent="0.3">
      <c r="C19" s="50"/>
      <c r="D19" s="50"/>
      <c r="E19" s="50"/>
      <c r="F19" s="50"/>
      <c r="G19" s="50"/>
      <c r="H19" s="50"/>
      <c r="I19" s="50"/>
      <c r="J19" s="50"/>
      <c r="K19" s="50"/>
      <c r="L19" s="92" t="s">
        <v>55</v>
      </c>
      <c r="M19" s="93"/>
      <c r="N19" s="54"/>
      <c r="O19" s="54"/>
      <c r="P19" s="54"/>
      <c r="Q19" s="104">
        <v>420</v>
      </c>
      <c r="R19" s="24"/>
    </row>
    <row r="20" spans="3:18" x14ac:dyDescent="0.3">
      <c r="C20" s="60" t="s">
        <v>81</v>
      </c>
      <c r="D20" s="61"/>
      <c r="E20" s="61"/>
      <c r="F20" s="61"/>
      <c r="G20" s="61"/>
      <c r="H20" s="61"/>
      <c r="I20" s="61"/>
      <c r="J20" s="62"/>
      <c r="K20" s="24"/>
      <c r="L20" s="64"/>
      <c r="M20" s="63"/>
      <c r="N20" s="24"/>
      <c r="O20" s="24"/>
      <c r="P20" s="24"/>
      <c r="Q20" s="80"/>
      <c r="R20" s="24"/>
    </row>
    <row r="21" spans="3:18" s="329" customFormat="1" x14ac:dyDescent="0.3">
      <c r="C21" s="333" t="s">
        <v>31</v>
      </c>
      <c r="D21" s="334"/>
      <c r="E21" s="334"/>
      <c r="F21" s="334">
        <v>2022</v>
      </c>
      <c r="G21" s="334"/>
      <c r="H21" s="334" t="s">
        <v>32</v>
      </c>
      <c r="I21" s="301"/>
      <c r="J21" s="312"/>
      <c r="K21" s="301"/>
      <c r="L21" s="313" t="s">
        <v>56</v>
      </c>
      <c r="M21" s="314"/>
      <c r="N21" s="315"/>
      <c r="O21" s="315"/>
      <c r="P21" s="315"/>
      <c r="Q21" s="316"/>
      <c r="R21" s="301"/>
    </row>
    <row r="22" spans="3:18" x14ac:dyDescent="0.3">
      <c r="C22" s="55"/>
      <c r="D22" s="24" t="s">
        <v>24</v>
      </c>
      <c r="E22" s="24"/>
      <c r="F22" s="102">
        <v>226</v>
      </c>
      <c r="G22" s="82" t="s">
        <v>45</v>
      </c>
      <c r="H22" s="24" t="s">
        <v>29</v>
      </c>
      <c r="I22" s="24"/>
      <c r="J22" s="48"/>
      <c r="K22" s="24"/>
      <c r="L22" s="76" t="s">
        <v>59</v>
      </c>
      <c r="M22" s="64"/>
      <c r="N22" s="24"/>
      <c r="O22" s="24"/>
      <c r="P22" s="24"/>
      <c r="Q22" s="346">
        <v>14.8</v>
      </c>
      <c r="R22" s="24"/>
    </row>
    <row r="23" spans="3:18" x14ac:dyDescent="0.3">
      <c r="C23" s="55"/>
      <c r="D23" s="24" t="s">
        <v>25</v>
      </c>
      <c r="E23" s="24"/>
      <c r="F23" s="102">
        <v>66.2</v>
      </c>
      <c r="G23" s="82" t="s">
        <v>45</v>
      </c>
      <c r="H23" s="24" t="s">
        <v>29</v>
      </c>
      <c r="I23" s="24"/>
      <c r="J23" s="48"/>
      <c r="K23" s="24"/>
      <c r="L23" s="76" t="s">
        <v>57</v>
      </c>
      <c r="M23" s="63"/>
      <c r="N23" s="24"/>
      <c r="O23" s="24"/>
      <c r="P23" s="24"/>
      <c r="Q23" s="347">
        <v>11.5</v>
      </c>
      <c r="R23" s="24"/>
    </row>
    <row r="24" spans="3:18" x14ac:dyDescent="0.3">
      <c r="C24" s="55"/>
      <c r="D24" s="24" t="s">
        <v>26</v>
      </c>
      <c r="E24" s="24"/>
      <c r="F24" s="102">
        <v>23.5</v>
      </c>
      <c r="G24" s="82" t="s">
        <v>46</v>
      </c>
      <c r="H24" s="24" t="s">
        <v>30</v>
      </c>
      <c r="I24" s="24"/>
      <c r="J24" s="48"/>
      <c r="K24" s="24"/>
      <c r="L24" s="85" t="s">
        <v>58</v>
      </c>
      <c r="M24" s="89"/>
      <c r="N24" s="50"/>
      <c r="O24" s="50"/>
      <c r="P24" s="50"/>
      <c r="Q24" s="87">
        <v>0.2</v>
      </c>
      <c r="R24" s="24"/>
    </row>
    <row r="25" spans="3:18" x14ac:dyDescent="0.3">
      <c r="C25" s="55"/>
      <c r="D25" s="24" t="s">
        <v>27</v>
      </c>
      <c r="E25" s="24"/>
      <c r="F25" s="102">
        <v>43.5</v>
      </c>
      <c r="G25" s="82" t="s">
        <v>46</v>
      </c>
      <c r="H25" s="24" t="s">
        <v>30</v>
      </c>
      <c r="I25" s="24"/>
      <c r="J25" s="48"/>
      <c r="K25" s="24"/>
      <c r="L25" s="64"/>
      <c r="M25" s="64"/>
      <c r="N25" s="24"/>
      <c r="O25" s="24"/>
      <c r="P25" s="24"/>
      <c r="Q25" s="94"/>
      <c r="R25" s="24"/>
    </row>
    <row r="26" spans="3:18" x14ac:dyDescent="0.3">
      <c r="C26" s="55"/>
      <c r="D26" s="24" t="s">
        <v>82</v>
      </c>
      <c r="E26" s="24"/>
      <c r="F26" s="102">
        <v>2</v>
      </c>
      <c r="G26" s="82" t="s">
        <v>46</v>
      </c>
      <c r="H26" s="24" t="s">
        <v>30</v>
      </c>
      <c r="I26" s="24"/>
      <c r="J26" s="48"/>
      <c r="K26" s="24"/>
      <c r="L26" s="24"/>
      <c r="M26" s="24"/>
      <c r="N26" s="24"/>
      <c r="O26" s="24"/>
      <c r="P26" s="24"/>
      <c r="Q26" s="24"/>
      <c r="R26" s="24"/>
    </row>
    <row r="27" spans="3:18" x14ac:dyDescent="0.3">
      <c r="C27" s="59"/>
      <c r="D27" s="50" t="s">
        <v>41</v>
      </c>
      <c r="E27" s="50"/>
      <c r="F27" s="184">
        <v>3.9</v>
      </c>
      <c r="G27" s="83" t="s">
        <v>46</v>
      </c>
      <c r="H27" s="50" t="s">
        <v>30</v>
      </c>
      <c r="I27" s="50"/>
      <c r="J27" s="51"/>
      <c r="K27" s="24"/>
      <c r="L27" s="24"/>
      <c r="M27" s="24"/>
      <c r="N27" s="24"/>
      <c r="O27" s="24"/>
      <c r="P27" s="24"/>
      <c r="Q27" s="24"/>
      <c r="R27" s="24"/>
    </row>
    <row r="28" spans="3:18" x14ac:dyDescent="0.3"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3:18" x14ac:dyDescent="0.3">
      <c r="C29" s="60" t="s">
        <v>39</v>
      </c>
      <c r="D29" s="61"/>
      <c r="E29" s="61"/>
      <c r="F29" s="61"/>
      <c r="G29" s="61"/>
      <c r="H29" s="61"/>
      <c r="I29" s="61"/>
      <c r="J29" s="62"/>
      <c r="K29" s="24"/>
      <c r="L29" s="24"/>
      <c r="M29" s="24"/>
      <c r="N29" s="24"/>
      <c r="O29" s="24"/>
      <c r="P29" s="24"/>
      <c r="Q29" s="24"/>
      <c r="R29" s="24"/>
    </row>
    <row r="30" spans="3:18" x14ac:dyDescent="0.3">
      <c r="C30" s="55" t="s">
        <v>21</v>
      </c>
      <c r="D30" s="24" t="s">
        <v>40</v>
      </c>
      <c r="E30" s="52"/>
      <c r="F30" s="52"/>
      <c r="G30" s="52"/>
      <c r="H30" s="52"/>
      <c r="I30" s="24"/>
      <c r="J30" s="75" t="s">
        <v>43</v>
      </c>
      <c r="K30" s="24"/>
      <c r="L30" s="24"/>
      <c r="M30" s="24"/>
      <c r="N30" s="24"/>
      <c r="O30" s="24"/>
      <c r="P30" s="24"/>
      <c r="Q30" s="24"/>
      <c r="R30" s="24"/>
    </row>
    <row r="31" spans="3:18" x14ac:dyDescent="0.3">
      <c r="C31" s="55" t="s">
        <v>21</v>
      </c>
      <c r="D31" s="24" t="s">
        <v>84</v>
      </c>
      <c r="E31" s="24"/>
      <c r="F31" s="58"/>
      <c r="G31" s="24"/>
      <c r="H31" s="24"/>
      <c r="I31" s="24"/>
      <c r="J31" s="84">
        <v>25</v>
      </c>
      <c r="K31" s="24"/>
      <c r="L31" s="24"/>
      <c r="M31" s="24"/>
      <c r="N31" s="24"/>
      <c r="O31" s="24"/>
      <c r="P31" s="24"/>
      <c r="Q31" s="24"/>
      <c r="R31" s="24"/>
    </row>
    <row r="32" spans="3:18" ht="15" thickBot="1" x14ac:dyDescent="0.35">
      <c r="C32" s="242" t="str">
        <f>C31</f>
        <v>-</v>
      </c>
      <c r="D32" s="243" t="s">
        <v>42</v>
      </c>
      <c r="E32" s="243"/>
      <c r="F32" s="244"/>
      <c r="G32" s="243"/>
      <c r="H32" s="243"/>
      <c r="I32" s="243"/>
      <c r="J32" s="245">
        <v>30</v>
      </c>
      <c r="K32" s="24"/>
      <c r="L32" s="24"/>
      <c r="M32" s="24"/>
      <c r="N32" s="24"/>
      <c r="O32" s="24"/>
      <c r="P32" s="24"/>
      <c r="Q32" s="24"/>
      <c r="R32" s="24"/>
    </row>
    <row r="33" spans="2:21" x14ac:dyDescent="0.3">
      <c r="C33" s="63"/>
      <c r="D33" s="24"/>
      <c r="E33" s="24"/>
      <c r="F33" s="58"/>
      <c r="G33" s="24"/>
      <c r="H33" s="24"/>
      <c r="I33" s="24"/>
      <c r="J33" s="95"/>
      <c r="K33" s="24"/>
      <c r="L33" s="24"/>
      <c r="M33" s="24"/>
      <c r="N33" s="24"/>
      <c r="O33" s="24"/>
      <c r="P33" s="24"/>
      <c r="Q33" s="24"/>
      <c r="R33" s="24"/>
    </row>
    <row r="34" spans="2:21" x14ac:dyDescent="0.3">
      <c r="C34" s="63"/>
      <c r="D34" s="24"/>
      <c r="E34" s="24"/>
      <c r="F34" s="58"/>
      <c r="G34" s="24"/>
      <c r="H34" s="24"/>
      <c r="I34" s="24"/>
      <c r="J34" s="95"/>
      <c r="K34" s="24"/>
      <c r="L34" s="24"/>
      <c r="M34" s="24"/>
      <c r="N34" s="24"/>
      <c r="O34" s="24"/>
      <c r="P34" s="24"/>
      <c r="Q34" s="24"/>
      <c r="R34" s="24"/>
    </row>
    <row r="35" spans="2:21" ht="18" thickBot="1" x14ac:dyDescent="0.35">
      <c r="B35" s="6"/>
      <c r="C35" s="343"/>
      <c r="D35" s="343"/>
      <c r="E35" s="343"/>
      <c r="F35" s="343"/>
      <c r="G35" s="343"/>
      <c r="H35" s="343"/>
      <c r="I35" s="343"/>
      <c r="J35" s="343"/>
      <c r="K35" s="343"/>
      <c r="L35" s="343"/>
      <c r="M35" s="343"/>
      <c r="N35" s="343"/>
      <c r="O35" s="343"/>
      <c r="P35" s="343"/>
      <c r="Q35" s="343"/>
      <c r="R35" s="6"/>
    </row>
    <row r="36" spans="2:21" ht="5.25" customHeight="1" x14ac:dyDescent="0.3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</row>
    <row r="37" spans="2:21" s="329" customFormat="1" x14ac:dyDescent="0.3"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01"/>
      <c r="M37" s="301"/>
      <c r="N37" s="301"/>
      <c r="O37" s="301"/>
      <c r="P37" s="301"/>
      <c r="Q37" s="301"/>
    </row>
    <row r="38" spans="2:21" x14ac:dyDescent="0.3">
      <c r="B38" s="2"/>
      <c r="C38" s="2"/>
      <c r="D38" s="2"/>
      <c r="E38" s="2"/>
      <c r="F38" s="2"/>
      <c r="G38" s="348"/>
      <c r="H38" s="348"/>
      <c r="I38" s="348"/>
      <c r="J38" s="348"/>
      <c r="K38" s="348"/>
      <c r="L38" s="348"/>
      <c r="M38" s="348"/>
      <c r="N38" s="348"/>
      <c r="O38" s="348"/>
      <c r="P38" s="348"/>
      <c r="Q38" s="348"/>
      <c r="R38" s="348"/>
      <c r="S38" s="2"/>
    </row>
    <row r="39" spans="2:21" x14ac:dyDescent="0.3">
      <c r="B39" s="2"/>
      <c r="C39" s="2"/>
      <c r="D39" s="2"/>
      <c r="E39" s="2"/>
      <c r="F39" s="2"/>
      <c r="G39" s="348"/>
      <c r="H39" s="348"/>
      <c r="I39" s="348"/>
      <c r="J39" s="348"/>
      <c r="K39" s="348"/>
      <c r="L39" s="348"/>
      <c r="M39" s="348"/>
      <c r="N39" s="348"/>
      <c r="O39" s="348"/>
      <c r="P39" s="348"/>
      <c r="Q39" s="348"/>
      <c r="R39" s="348"/>
      <c r="S39" s="2"/>
    </row>
    <row r="40" spans="2:21" ht="22.8" x14ac:dyDescent="0.4">
      <c r="B40" s="4" t="str">
        <f>Cover!$E$14</f>
        <v>HANDERSON MANUFACTURING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"/>
    </row>
    <row r="41" spans="2:21" ht="17.399999999999999" x14ac:dyDescent="0.3">
      <c r="B41" s="5" t="s">
        <v>4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2"/>
    </row>
    <row r="42" spans="2:21" ht="3" customHeight="1" thickBot="1" x14ac:dyDescent="0.3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2"/>
    </row>
    <row r="43" spans="2:21" x14ac:dyDescent="0.3">
      <c r="B43" s="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99"/>
      <c r="U43" s="99"/>
    </row>
    <row r="44" spans="2:21" s="1" customFormat="1" x14ac:dyDescent="0.3">
      <c r="B44" s="52"/>
      <c r="C44" s="52"/>
      <c r="D44" s="52"/>
      <c r="E44" s="52"/>
      <c r="F44" s="52"/>
      <c r="G44" s="52"/>
      <c r="H44" s="52"/>
      <c r="J44" s="140" t="s">
        <v>5</v>
      </c>
      <c r="K44" s="52"/>
      <c r="M44" s="326">
        <f>Scenarios!H9</f>
        <v>2021</v>
      </c>
      <c r="N44" s="326">
        <f>Scenarios!I9</f>
        <v>2022</v>
      </c>
      <c r="O44" s="326">
        <f>Scenarios!J9</f>
        <v>2023</v>
      </c>
      <c r="P44" s="326">
        <f>Scenarios!K9</f>
        <v>2024</v>
      </c>
      <c r="Q44" s="326">
        <f>Scenarios!L9</f>
        <v>2025</v>
      </c>
      <c r="R44" s="100"/>
    </row>
    <row r="45" spans="2:21" x14ac:dyDescent="0.3">
      <c r="B45" s="99"/>
      <c r="C45" s="24"/>
      <c r="D45" s="24"/>
      <c r="E45" s="24"/>
      <c r="F45" s="24"/>
      <c r="G45" s="108"/>
      <c r="H45" s="97"/>
      <c r="J45" s="98"/>
      <c r="K45" s="2"/>
      <c r="M45" s="326"/>
      <c r="N45" s="326"/>
      <c r="O45" s="326"/>
      <c r="P45" s="326"/>
      <c r="Q45" s="326"/>
      <c r="R45" s="99"/>
      <c r="S45" s="99"/>
      <c r="T45" s="99"/>
      <c r="U45" s="99"/>
    </row>
    <row r="46" spans="2:21" x14ac:dyDescent="0.3">
      <c r="B46" s="99"/>
      <c r="C46" s="52" t="s">
        <v>64</v>
      </c>
      <c r="D46" s="24"/>
      <c r="E46" s="24"/>
      <c r="F46" s="24"/>
      <c r="G46" s="24"/>
      <c r="H46" s="24"/>
      <c r="J46" s="82"/>
      <c r="K46" s="24"/>
      <c r="M46" s="24"/>
      <c r="N46" s="24"/>
      <c r="O46" s="24"/>
      <c r="P46" s="24"/>
      <c r="Q46" s="24"/>
      <c r="R46" s="99"/>
      <c r="S46" s="99"/>
      <c r="T46" s="99"/>
      <c r="U46" s="99"/>
    </row>
    <row r="47" spans="2:21" x14ac:dyDescent="0.3">
      <c r="B47" s="99"/>
      <c r="C47" s="24"/>
      <c r="D47" s="96" t="s">
        <v>62</v>
      </c>
      <c r="E47" s="2"/>
      <c r="F47" s="2"/>
      <c r="G47" s="24"/>
      <c r="H47" s="24"/>
      <c r="J47" s="82" t="s">
        <v>102</v>
      </c>
      <c r="K47" s="24"/>
      <c r="M47" s="102">
        <v>0</v>
      </c>
      <c r="N47" s="102">
        <v>0</v>
      </c>
      <c r="O47" s="102">
        <v>0</v>
      </c>
      <c r="P47" s="102">
        <v>0</v>
      </c>
      <c r="Q47" s="102">
        <v>0</v>
      </c>
      <c r="R47" s="99"/>
      <c r="S47" s="99"/>
      <c r="T47" s="99"/>
      <c r="U47" s="99"/>
    </row>
    <row r="48" spans="2:21" ht="6" customHeight="1" x14ac:dyDescent="0.3">
      <c r="B48" s="99"/>
      <c r="C48" s="24"/>
      <c r="D48" s="24"/>
      <c r="E48" s="24"/>
      <c r="F48" s="24"/>
      <c r="G48" s="24"/>
      <c r="H48" s="24"/>
      <c r="J48" s="82"/>
      <c r="K48" s="24"/>
      <c r="M48" s="24"/>
      <c r="N48" s="24"/>
      <c r="O48" s="24"/>
      <c r="P48" s="24"/>
      <c r="Q48" s="24"/>
      <c r="R48" s="24"/>
      <c r="S48" s="99"/>
      <c r="T48" s="99"/>
      <c r="U48" s="99"/>
    </row>
    <row r="49" spans="2:21" x14ac:dyDescent="0.3">
      <c r="B49" s="99"/>
      <c r="C49" s="52" t="s">
        <v>63</v>
      </c>
      <c r="D49" s="24"/>
      <c r="E49" s="24"/>
      <c r="F49" s="24"/>
      <c r="G49" s="24"/>
      <c r="H49" s="24"/>
      <c r="J49" s="82"/>
      <c r="K49" s="24"/>
      <c r="M49" s="24"/>
      <c r="N49" s="24"/>
      <c r="O49" s="24"/>
      <c r="P49" s="24"/>
      <c r="Q49" s="24"/>
      <c r="R49" s="24"/>
      <c r="S49" s="99"/>
      <c r="T49" s="99"/>
      <c r="U49" s="99"/>
    </row>
    <row r="50" spans="2:21" x14ac:dyDescent="0.3">
      <c r="B50" s="99"/>
      <c r="C50" s="24"/>
      <c r="D50" s="24" t="s">
        <v>65</v>
      </c>
      <c r="E50" s="24"/>
      <c r="F50" s="24"/>
      <c r="G50" s="24"/>
      <c r="H50" s="24"/>
      <c r="J50" s="82" t="s">
        <v>102</v>
      </c>
      <c r="K50" s="24"/>
      <c r="M50" s="102">
        <v>0</v>
      </c>
      <c r="N50" s="102">
        <v>0</v>
      </c>
      <c r="O50" s="102">
        <v>0</v>
      </c>
      <c r="P50" s="102">
        <v>0</v>
      </c>
      <c r="Q50" s="102">
        <v>0</v>
      </c>
      <c r="R50" s="24"/>
      <c r="S50" s="99"/>
      <c r="T50" s="99"/>
      <c r="U50" s="99"/>
    </row>
    <row r="51" spans="2:21" ht="6.75" customHeight="1" x14ac:dyDescent="0.3">
      <c r="B51" s="99"/>
      <c r="C51" s="50"/>
      <c r="D51" s="50"/>
      <c r="E51" s="50"/>
      <c r="F51" s="50"/>
      <c r="G51" s="50"/>
      <c r="H51" s="50"/>
      <c r="I51" s="345"/>
      <c r="J51" s="83"/>
      <c r="K51" s="50"/>
      <c r="L51" s="345"/>
      <c r="M51" s="50"/>
      <c r="N51" s="50"/>
      <c r="O51" s="50"/>
      <c r="P51" s="50"/>
      <c r="Q51" s="50"/>
      <c r="R51" s="24"/>
      <c r="S51" s="99"/>
      <c r="T51" s="99"/>
      <c r="U51" s="99"/>
    </row>
    <row r="52" spans="2:21" x14ac:dyDescent="0.3">
      <c r="B52" s="99"/>
      <c r="C52" s="24" t="s">
        <v>67</v>
      </c>
      <c r="D52" s="24"/>
      <c r="E52" s="24"/>
      <c r="F52" s="24"/>
      <c r="G52" s="24"/>
      <c r="H52" s="24"/>
      <c r="J52" s="82" t="s">
        <v>99</v>
      </c>
      <c r="K52" s="24"/>
      <c r="M52" s="266">
        <v>0.05</v>
      </c>
      <c r="N52" s="266">
        <v>0.04</v>
      </c>
      <c r="O52" s="266">
        <v>0.04</v>
      </c>
      <c r="P52" s="266">
        <v>0.04</v>
      </c>
      <c r="Q52" s="266">
        <v>0.04</v>
      </c>
      <c r="R52" s="24"/>
      <c r="S52" s="99"/>
      <c r="T52" s="99"/>
      <c r="U52" s="99"/>
    </row>
    <row r="53" spans="2:21" ht="6.75" customHeight="1" x14ac:dyDescent="0.3">
      <c r="B53" s="99"/>
      <c r="C53" s="24"/>
      <c r="D53" s="24"/>
      <c r="E53" s="24"/>
      <c r="F53" s="24"/>
      <c r="G53" s="24"/>
      <c r="H53" s="24"/>
      <c r="J53" s="82"/>
      <c r="K53" s="24"/>
      <c r="M53" s="24"/>
      <c r="N53" s="24"/>
      <c r="O53" s="24"/>
      <c r="P53" s="24"/>
      <c r="Q53" s="24"/>
      <c r="R53" s="24"/>
      <c r="S53" s="99"/>
      <c r="T53" s="99"/>
      <c r="U53" s="99"/>
    </row>
    <row r="54" spans="2:21" x14ac:dyDescent="0.3">
      <c r="B54" s="99"/>
      <c r="C54" s="52" t="s">
        <v>83</v>
      </c>
      <c r="D54" s="24"/>
      <c r="E54" s="24"/>
      <c r="F54" s="24"/>
      <c r="G54" s="24"/>
      <c r="H54" s="24"/>
      <c r="J54" s="82" t="s">
        <v>102</v>
      </c>
      <c r="K54" s="24"/>
      <c r="M54" s="102">
        <v>16</v>
      </c>
      <c r="N54" s="102">
        <v>17.3</v>
      </c>
      <c r="O54" s="102">
        <v>17.5</v>
      </c>
      <c r="P54" s="102">
        <v>17.5</v>
      </c>
      <c r="Q54" s="102">
        <v>18</v>
      </c>
      <c r="R54" s="24"/>
      <c r="S54" s="99"/>
      <c r="T54" s="99"/>
      <c r="U54" s="99"/>
    </row>
    <row r="55" spans="2:21" ht="8.25" customHeight="1" x14ac:dyDescent="0.3">
      <c r="B55" s="99"/>
      <c r="C55" s="24"/>
      <c r="D55" s="24"/>
      <c r="E55" s="24"/>
      <c r="F55" s="24"/>
      <c r="G55" s="24"/>
      <c r="H55" s="24"/>
      <c r="J55" s="82"/>
      <c r="K55" s="24"/>
      <c r="M55" s="24"/>
      <c r="N55" s="24"/>
      <c r="O55" s="24"/>
      <c r="P55" s="24"/>
      <c r="Q55" s="24"/>
      <c r="R55" s="24"/>
      <c r="S55" s="99"/>
      <c r="T55" s="99"/>
      <c r="U55" s="99"/>
    </row>
    <row r="56" spans="2:21" x14ac:dyDescent="0.3">
      <c r="B56" s="99"/>
      <c r="C56" s="52" t="s">
        <v>69</v>
      </c>
      <c r="D56" s="24"/>
      <c r="E56" s="24"/>
      <c r="F56" s="24"/>
      <c r="G56" s="24"/>
      <c r="H56" s="24"/>
      <c r="J56" s="82"/>
      <c r="K56" s="24"/>
      <c r="M56" s="24"/>
      <c r="N56" s="24"/>
      <c r="O56" s="24"/>
      <c r="P56" s="24"/>
      <c r="Q56" s="24"/>
      <c r="R56" s="24"/>
      <c r="S56" s="99"/>
      <c r="T56" s="99"/>
      <c r="U56" s="99"/>
    </row>
    <row r="57" spans="2:21" x14ac:dyDescent="0.3">
      <c r="B57" s="99"/>
      <c r="C57" s="24"/>
      <c r="D57" s="24" t="s">
        <v>70</v>
      </c>
      <c r="E57" s="24"/>
      <c r="F57" s="24"/>
      <c r="G57" s="24"/>
      <c r="H57" s="24"/>
      <c r="J57" s="82" t="s">
        <v>102</v>
      </c>
      <c r="K57" s="24"/>
      <c r="M57" s="102">
        <v>5</v>
      </c>
      <c r="N57" s="102">
        <v>5</v>
      </c>
      <c r="O57" s="102">
        <v>5</v>
      </c>
      <c r="P57" s="102">
        <v>5</v>
      </c>
      <c r="Q57" s="102">
        <v>5</v>
      </c>
      <c r="R57" s="24"/>
      <c r="S57" s="99"/>
      <c r="T57" s="99"/>
      <c r="U57" s="99"/>
    </row>
    <row r="58" spans="2:21" ht="7.5" customHeight="1" x14ac:dyDescent="0.3">
      <c r="B58" s="99"/>
      <c r="C58" s="24"/>
      <c r="D58" s="24"/>
      <c r="E58" s="24"/>
      <c r="F58" s="24"/>
      <c r="G58" s="24"/>
      <c r="H58" s="24"/>
      <c r="J58" s="82"/>
      <c r="K58" s="24"/>
      <c r="M58" s="24"/>
      <c r="N58" s="24"/>
      <c r="O58" s="24"/>
      <c r="P58" s="24"/>
      <c r="Q58" s="24"/>
      <c r="R58" s="24"/>
      <c r="S58" s="99"/>
      <c r="T58" s="99"/>
      <c r="U58" s="99"/>
    </row>
    <row r="59" spans="2:21" x14ac:dyDescent="0.3">
      <c r="B59" s="99"/>
      <c r="C59" s="52" t="s">
        <v>71</v>
      </c>
      <c r="D59" s="24"/>
      <c r="E59" s="24"/>
      <c r="F59" s="24"/>
      <c r="G59" s="24"/>
      <c r="H59" s="24"/>
      <c r="J59" s="82"/>
      <c r="K59" s="24"/>
      <c r="M59" s="24"/>
      <c r="N59" s="24"/>
      <c r="O59" s="24"/>
      <c r="P59" s="24"/>
      <c r="Q59" s="24"/>
      <c r="R59" s="24"/>
      <c r="S59" s="99"/>
      <c r="T59" s="99"/>
      <c r="U59" s="99"/>
    </row>
    <row r="60" spans="2:21" x14ac:dyDescent="0.3">
      <c r="B60" s="99"/>
      <c r="C60" s="24"/>
      <c r="D60" s="2" t="s">
        <v>73</v>
      </c>
      <c r="E60" s="24"/>
      <c r="F60" s="24"/>
      <c r="G60" s="24"/>
      <c r="H60" s="24"/>
      <c r="J60" s="82" t="s">
        <v>103</v>
      </c>
      <c r="K60" s="24"/>
      <c r="M60" s="128">
        <f>Model!M247</f>
        <v>45</v>
      </c>
      <c r="N60" s="128">
        <f>Model!N247</f>
        <v>40</v>
      </c>
      <c r="O60" s="128">
        <f>Model!O247</f>
        <v>40</v>
      </c>
      <c r="P60" s="128">
        <f>Model!P247</f>
        <v>40</v>
      </c>
      <c r="Q60" s="128">
        <f>Model!Q247</f>
        <v>40</v>
      </c>
      <c r="R60" s="24"/>
      <c r="S60" s="99"/>
      <c r="T60" s="99"/>
      <c r="U60" s="99"/>
    </row>
    <row r="61" spans="2:21" x14ac:dyDescent="0.3">
      <c r="B61" s="99"/>
      <c r="C61" s="24"/>
      <c r="D61" s="2" t="s">
        <v>74</v>
      </c>
      <c r="E61" s="24"/>
      <c r="F61" s="24"/>
      <c r="G61" s="24"/>
      <c r="H61" s="24"/>
      <c r="J61" s="82" t="s">
        <v>103</v>
      </c>
      <c r="K61" s="24"/>
      <c r="M61" s="128">
        <f>Model!M248</f>
        <v>70</v>
      </c>
      <c r="N61" s="128">
        <f>Model!N248</f>
        <v>65</v>
      </c>
      <c r="O61" s="128">
        <f>Model!O248</f>
        <v>60</v>
      </c>
      <c r="P61" s="128">
        <f>Model!P248</f>
        <v>60</v>
      </c>
      <c r="Q61" s="128">
        <f>Model!Q248</f>
        <v>55</v>
      </c>
      <c r="R61" s="24"/>
      <c r="S61" s="99"/>
      <c r="T61" s="99"/>
      <c r="U61" s="99"/>
    </row>
    <row r="62" spans="2:21" x14ac:dyDescent="0.3">
      <c r="B62" s="99"/>
      <c r="C62" s="24"/>
      <c r="D62" s="2" t="s">
        <v>75</v>
      </c>
      <c r="E62" s="24"/>
      <c r="F62" s="24"/>
      <c r="G62" s="24"/>
      <c r="H62" s="24"/>
      <c r="J62" s="82" t="s">
        <v>103</v>
      </c>
      <c r="K62" s="24"/>
      <c r="M62" s="128">
        <f>Model!M249</f>
        <v>30</v>
      </c>
      <c r="N62" s="128">
        <f>Model!N249</f>
        <v>30</v>
      </c>
      <c r="O62" s="128">
        <f>Model!O249</f>
        <v>30</v>
      </c>
      <c r="P62" s="128">
        <f>Model!P249</f>
        <v>30</v>
      </c>
      <c r="Q62" s="128">
        <f>Model!Q249</f>
        <v>30</v>
      </c>
      <c r="R62" s="24"/>
      <c r="S62" s="99"/>
      <c r="T62" s="99"/>
      <c r="U62" s="99"/>
    </row>
    <row r="63" spans="2:21" x14ac:dyDescent="0.3">
      <c r="B63" s="99"/>
      <c r="C63" s="24"/>
      <c r="D63" s="103" t="s">
        <v>77</v>
      </c>
      <c r="E63" s="24"/>
      <c r="F63" s="24"/>
      <c r="G63" s="24"/>
      <c r="H63" s="24"/>
      <c r="J63" s="82" t="s">
        <v>103</v>
      </c>
      <c r="K63" s="24"/>
      <c r="M63" s="128">
        <f>Model!M250</f>
        <v>3</v>
      </c>
      <c r="N63" s="128">
        <f>Model!N250</f>
        <v>3</v>
      </c>
      <c r="O63" s="128">
        <f>Model!O250</f>
        <v>3</v>
      </c>
      <c r="P63" s="128">
        <f>Model!P250</f>
        <v>3</v>
      </c>
      <c r="Q63" s="128">
        <f>Model!Q250</f>
        <v>3</v>
      </c>
      <c r="R63" s="24"/>
      <c r="S63" s="99"/>
      <c r="T63" s="99"/>
      <c r="U63" s="99"/>
    </row>
    <row r="64" spans="2:21" x14ac:dyDescent="0.3">
      <c r="B64" s="99"/>
      <c r="C64" s="24"/>
      <c r="D64" s="103" t="s">
        <v>76</v>
      </c>
      <c r="E64" s="24"/>
      <c r="F64" s="24"/>
      <c r="G64" s="24"/>
      <c r="H64" s="24"/>
      <c r="J64" s="82" t="s">
        <v>103</v>
      </c>
      <c r="K64" s="24"/>
      <c r="M64" s="128">
        <f>Model!M251</f>
        <v>40</v>
      </c>
      <c r="N64" s="128">
        <f>Model!N251</f>
        <v>40</v>
      </c>
      <c r="O64" s="128">
        <f>Model!O251</f>
        <v>40</v>
      </c>
      <c r="P64" s="128">
        <f>Model!P251</f>
        <v>40</v>
      </c>
      <c r="Q64" s="128">
        <f>Model!Q251</f>
        <v>40</v>
      </c>
      <c r="R64" s="24"/>
      <c r="S64" s="99"/>
      <c r="T64" s="99"/>
      <c r="U64" s="99"/>
    </row>
    <row r="65" spans="2:21" x14ac:dyDescent="0.3">
      <c r="B65" s="99"/>
      <c r="C65" s="24"/>
      <c r="D65" s="103" t="s">
        <v>78</v>
      </c>
      <c r="E65" s="24"/>
      <c r="F65" s="24"/>
      <c r="G65" s="24"/>
      <c r="H65" s="24"/>
      <c r="J65" s="82" t="s">
        <v>103</v>
      </c>
      <c r="K65" s="24"/>
      <c r="M65" s="128">
        <f>Model!M252</f>
        <v>10</v>
      </c>
      <c r="N65" s="128">
        <f>Model!N252</f>
        <v>10</v>
      </c>
      <c r="O65" s="128">
        <f>Model!O252</f>
        <v>10</v>
      </c>
      <c r="P65" s="128">
        <f>Model!P252</f>
        <v>10</v>
      </c>
      <c r="Q65" s="128">
        <f>Model!Q252</f>
        <v>10</v>
      </c>
      <c r="R65" s="24"/>
      <c r="S65" s="99"/>
      <c r="T65" s="99"/>
      <c r="U65" s="99"/>
    </row>
    <row r="66" spans="2:21" ht="8.25" customHeight="1" x14ac:dyDescent="0.3">
      <c r="B66" s="99"/>
      <c r="C66" s="24"/>
      <c r="D66" s="24"/>
      <c r="E66" s="24"/>
      <c r="F66" s="24"/>
      <c r="G66" s="24"/>
      <c r="H66" s="24"/>
      <c r="J66" s="82"/>
      <c r="K66" s="24"/>
      <c r="M66" s="24"/>
      <c r="N66" s="24"/>
      <c r="O66" s="24"/>
      <c r="P66" s="24"/>
      <c r="Q66" s="24"/>
      <c r="R66" s="24"/>
      <c r="S66" s="99"/>
      <c r="T66" s="99"/>
      <c r="U66" s="99"/>
    </row>
    <row r="67" spans="2:21" x14ac:dyDescent="0.3">
      <c r="B67" s="99"/>
      <c r="C67" s="52" t="s">
        <v>79</v>
      </c>
      <c r="D67" s="24"/>
      <c r="E67" s="24"/>
      <c r="F67" s="24"/>
      <c r="G67" s="24"/>
      <c r="H67" s="24"/>
      <c r="J67" s="82"/>
      <c r="K67" s="24"/>
      <c r="M67" s="24"/>
      <c r="N67" s="24"/>
      <c r="O67" s="24"/>
      <c r="P67" s="24"/>
      <c r="Q67" s="24"/>
      <c r="R67" s="24"/>
      <c r="S67" s="99"/>
      <c r="T67" s="99"/>
      <c r="U67" s="99"/>
    </row>
    <row r="68" spans="2:21" x14ac:dyDescent="0.3">
      <c r="B68" s="99"/>
      <c r="C68" s="52"/>
      <c r="D68" s="24" t="s">
        <v>80</v>
      </c>
      <c r="E68" s="24"/>
      <c r="F68" s="24"/>
      <c r="G68" s="24"/>
      <c r="H68" s="24"/>
      <c r="J68" s="82" t="s">
        <v>102</v>
      </c>
      <c r="K68" s="24"/>
      <c r="M68" s="105">
        <v>-25</v>
      </c>
      <c r="N68" s="105">
        <v>-25</v>
      </c>
      <c r="O68" s="105">
        <v>-25</v>
      </c>
      <c r="P68" s="105">
        <v>-25</v>
      </c>
      <c r="Q68" s="105">
        <v>-25</v>
      </c>
      <c r="R68" s="24"/>
      <c r="S68" s="99"/>
      <c r="T68" s="99"/>
      <c r="U68" s="99"/>
    </row>
    <row r="69" spans="2:21" x14ac:dyDescent="0.3">
      <c r="B69" s="99"/>
      <c r="C69" s="99"/>
      <c r="D69" s="24" t="s">
        <v>66</v>
      </c>
      <c r="E69" s="24"/>
      <c r="F69" s="24"/>
      <c r="G69" s="24"/>
      <c r="H69" s="24"/>
      <c r="J69" s="82" t="s">
        <v>102</v>
      </c>
      <c r="K69" s="24"/>
      <c r="M69" s="102">
        <v>0</v>
      </c>
      <c r="N69" s="102">
        <v>0</v>
      </c>
      <c r="O69" s="102">
        <v>0</v>
      </c>
      <c r="P69" s="102">
        <v>0</v>
      </c>
      <c r="Q69" s="102">
        <v>0</v>
      </c>
      <c r="R69" s="99"/>
      <c r="S69" s="99"/>
      <c r="T69" s="99"/>
      <c r="U69" s="99"/>
    </row>
    <row r="70" spans="2:21" x14ac:dyDescent="0.3">
      <c r="B70" s="99"/>
      <c r="C70" s="99"/>
      <c r="D70" s="24"/>
      <c r="E70" s="24"/>
      <c r="F70" s="24"/>
      <c r="G70" s="24"/>
      <c r="H70" s="24"/>
      <c r="J70" s="82"/>
      <c r="K70" s="24"/>
      <c r="M70" s="102"/>
      <c r="N70" s="102"/>
      <c r="O70" s="102"/>
      <c r="P70" s="102"/>
      <c r="Q70" s="102"/>
      <c r="R70" s="99"/>
      <c r="S70" s="99"/>
      <c r="T70" s="99"/>
      <c r="U70" s="99"/>
    </row>
    <row r="71" spans="2:21" x14ac:dyDescent="0.3">
      <c r="B71" s="99"/>
      <c r="C71" s="99"/>
      <c r="D71" s="99"/>
      <c r="E71" s="99"/>
      <c r="F71" s="99"/>
      <c r="G71" s="99"/>
      <c r="H71" s="99"/>
      <c r="J71" s="101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</row>
    <row r="72" spans="2:21" x14ac:dyDescent="0.3">
      <c r="B72" s="255"/>
      <c r="C72" s="255"/>
      <c r="D72" s="255"/>
      <c r="E72" s="255"/>
      <c r="F72" s="255"/>
      <c r="G72" s="255"/>
      <c r="H72" s="255"/>
      <c r="I72" s="335"/>
      <c r="J72" s="256"/>
      <c r="K72" s="255"/>
      <c r="L72" s="255"/>
      <c r="M72" s="255"/>
      <c r="N72" s="255"/>
      <c r="O72" s="255"/>
      <c r="P72" s="255"/>
      <c r="Q72" s="255"/>
      <c r="R72" s="255"/>
      <c r="S72" s="99"/>
      <c r="T72" s="99"/>
      <c r="U72" s="99"/>
    </row>
    <row r="73" spans="2:21" x14ac:dyDescent="0.3">
      <c r="B73" s="99"/>
      <c r="C73" s="99"/>
      <c r="D73" s="99"/>
      <c r="E73" s="99"/>
      <c r="F73" s="99"/>
      <c r="G73" s="99"/>
      <c r="H73" s="99"/>
      <c r="J73" s="101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</row>
    <row r="74" spans="2:21" x14ac:dyDescent="0.3">
      <c r="B74" s="99"/>
      <c r="C74" s="99"/>
      <c r="D74" s="99"/>
      <c r="E74" s="99"/>
      <c r="F74" s="99"/>
      <c r="G74" s="99"/>
      <c r="H74" s="99"/>
      <c r="J74" s="101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</row>
    <row r="75" spans="2:21" x14ac:dyDescent="0.3">
      <c r="B75" s="99"/>
      <c r="C75" s="99"/>
      <c r="D75" s="99"/>
      <c r="E75" s="99"/>
      <c r="F75" s="99"/>
      <c r="G75" s="99"/>
      <c r="H75" s="99"/>
      <c r="J75" s="101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</row>
    <row r="76" spans="2:21" x14ac:dyDescent="0.3">
      <c r="B76" s="99"/>
      <c r="C76" s="99"/>
      <c r="D76" s="99"/>
      <c r="E76" s="99"/>
      <c r="F76" s="99"/>
      <c r="G76" s="99"/>
      <c r="H76" s="99"/>
      <c r="J76" s="101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</row>
    <row r="77" spans="2:21" x14ac:dyDescent="0.3">
      <c r="B77" s="99"/>
      <c r="C77" s="99"/>
      <c r="D77" s="99"/>
      <c r="E77" s="99"/>
      <c r="F77" s="99"/>
      <c r="G77" s="99"/>
      <c r="H77" s="99"/>
      <c r="J77" s="101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</row>
    <row r="78" spans="2:21" x14ac:dyDescent="0.3">
      <c r="B78" s="99"/>
      <c r="C78" s="99"/>
      <c r="D78" s="99"/>
      <c r="E78" s="99"/>
      <c r="F78" s="99"/>
      <c r="G78" s="99"/>
      <c r="H78" s="99"/>
      <c r="J78" s="101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</row>
    <row r="79" spans="2:21" x14ac:dyDescent="0.3">
      <c r="B79" s="99"/>
      <c r="C79" s="99"/>
      <c r="D79" s="99"/>
      <c r="E79" s="99"/>
      <c r="F79" s="99"/>
      <c r="G79" s="99"/>
      <c r="H79" s="99"/>
      <c r="J79" s="101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</row>
    <row r="80" spans="2:21" x14ac:dyDescent="0.3">
      <c r="B80" s="99"/>
      <c r="C80" s="99"/>
      <c r="D80" s="99"/>
      <c r="E80" s="99"/>
      <c r="F80" s="99"/>
      <c r="G80" s="99"/>
      <c r="H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</row>
    <row r="81" spans="2:21" x14ac:dyDescent="0.3">
      <c r="B81" s="99"/>
      <c r="C81" s="99"/>
      <c r="D81" s="99"/>
      <c r="E81" s="99"/>
      <c r="F81" s="99"/>
      <c r="G81" s="99"/>
      <c r="H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</row>
    <row r="82" spans="2:21" x14ac:dyDescent="0.3">
      <c r="B82" s="99"/>
      <c r="C82" s="99"/>
      <c r="D82" s="99"/>
      <c r="E82" s="99"/>
      <c r="F82" s="99"/>
      <c r="G82" s="99"/>
      <c r="H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</row>
    <row r="83" spans="2:21" x14ac:dyDescent="0.3">
      <c r="B83" s="99"/>
      <c r="C83" s="99"/>
      <c r="D83" s="99"/>
      <c r="E83" s="99"/>
      <c r="F83" s="99"/>
      <c r="G83" s="99"/>
      <c r="H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</row>
    <row r="84" spans="2:21" x14ac:dyDescent="0.3">
      <c r="B84" s="99"/>
      <c r="C84" s="99"/>
      <c r="D84" s="99"/>
      <c r="E84" s="99"/>
      <c r="F84" s="99"/>
      <c r="G84" s="99"/>
      <c r="H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</row>
    <row r="85" spans="2:21" x14ac:dyDescent="0.3">
      <c r="B85" s="99"/>
      <c r="C85" s="99"/>
      <c r="D85" s="99"/>
      <c r="E85" s="99"/>
      <c r="F85" s="99"/>
      <c r="G85" s="99"/>
      <c r="H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</row>
    <row r="86" spans="2:21" x14ac:dyDescent="0.3">
      <c r="B86" s="99"/>
      <c r="C86" s="99"/>
      <c r="D86" s="99"/>
      <c r="E86" s="99"/>
      <c r="F86" s="99"/>
      <c r="G86" s="99"/>
      <c r="H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</row>
    <row r="87" spans="2:21" x14ac:dyDescent="0.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</row>
    <row r="88" spans="2:21" x14ac:dyDescent="0.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</row>
    <row r="89" spans="2:21" x14ac:dyDescent="0.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</row>
    <row r="90" spans="2:21" x14ac:dyDescent="0.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</row>
    <row r="91" spans="2:21" x14ac:dyDescent="0.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</row>
    <row r="92" spans="2:21" x14ac:dyDescent="0.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</row>
    <row r="93" spans="2:21" x14ac:dyDescent="0.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</row>
    <row r="94" spans="2:21" x14ac:dyDescent="0.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</row>
    <row r="95" spans="2:21" x14ac:dyDescent="0.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</row>
    <row r="96" spans="2:21" x14ac:dyDescent="0.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</row>
    <row r="97" spans="2:21" x14ac:dyDescent="0.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</row>
    <row r="98" spans="2:21" x14ac:dyDescent="0.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</row>
    <row r="99" spans="2:21" x14ac:dyDescent="0.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</row>
  </sheetData>
  <printOptions horizontalCentered="1"/>
  <pageMargins left="0.39370078740157483" right="0.11811023622047245" top="0.11811023622047245" bottom="0.19685039370078741" header="7.874015748031496E-2" footer="3.937007874015748E-2"/>
  <pageSetup paperSize="9" scale="80" fitToWidth="0" orientation="landscape" horizontalDpi="4294967293" verticalDpi="4294967293" r:id="rId1"/>
  <headerFooter scaleWithDoc="0">
    <oddFooter>&amp;L&amp;"Times New Roman,Bold"&amp;9HANDERSON MANUFACTURING
&amp;"Times New Roman,Regular"C:\Users\Desktop\Handerson_Oni-SJ&amp;C&amp;"Times New Roman,Regular"&amp;9Page &amp;P of &amp;N&amp;R&amp;"Times New Roman,Regular"&amp;9&amp;D &amp;T</oddFooter>
  </headerFooter>
  <rowBreaks count="1" manualBreakCount="1">
    <brk id="3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5F003-E50F-4ABA-BC0D-7F1B9B95E458}">
  <dimension ref="A2:Q51"/>
  <sheetViews>
    <sheetView showGridLines="0" workbookViewId="0">
      <selection activeCell="H9" sqref="H9"/>
    </sheetView>
  </sheetViews>
  <sheetFormatPr defaultColWidth="9.109375" defaultRowHeight="13.8" x14ac:dyDescent="0.25"/>
  <cols>
    <col min="1" max="2" width="3.44140625" style="10" customWidth="1"/>
    <col min="3" max="3" width="14" style="10" customWidth="1"/>
    <col min="4" max="4" width="5.5546875" style="10" customWidth="1"/>
    <col min="5" max="12" width="9.109375" style="10"/>
    <col min="13" max="13" width="4.88671875" style="10" customWidth="1"/>
    <col min="14" max="16384" width="9.109375" style="10"/>
  </cols>
  <sheetData>
    <row r="2" spans="1:12" ht="17.25" customHeight="1" x14ac:dyDescent="0.25">
      <c r="B2" s="2"/>
      <c r="C2" s="2"/>
      <c r="D2" s="2"/>
      <c r="E2" s="2"/>
      <c r="F2" s="2"/>
      <c r="G2" s="3"/>
      <c r="H2" s="3"/>
      <c r="I2" s="3"/>
      <c r="J2" s="3"/>
      <c r="K2" s="3"/>
      <c r="L2" s="3"/>
    </row>
    <row r="3" spans="1:12" ht="22.8" x14ac:dyDescent="0.4">
      <c r="B3" s="4" t="str">
        <f>Cover!E14</f>
        <v>HANDERSON MANUFACTURING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7.399999999999999" x14ac:dyDescent="0.3">
      <c r="B4" s="5" t="s">
        <v>94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s="305" customFormat="1" ht="4.5" customHeight="1" thickBot="1" x14ac:dyDescent="0.35">
      <c r="B5" s="309"/>
      <c r="C5" s="309"/>
      <c r="D5" s="309"/>
      <c r="E5" s="309"/>
      <c r="F5" s="309"/>
      <c r="G5" s="309"/>
      <c r="H5" s="309"/>
      <c r="I5" s="309"/>
      <c r="J5" s="309"/>
      <c r="K5" s="309"/>
      <c r="L5" s="309"/>
    </row>
    <row r="6" spans="1:12" x14ac:dyDescent="0.25">
      <c r="B6" s="7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B7" s="7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4.5" customHeight="1" x14ac:dyDescent="0.25">
      <c r="A8" s="2"/>
      <c r="B8" s="17"/>
      <c r="C8" s="18"/>
      <c r="D8" s="18"/>
      <c r="E8" s="19"/>
      <c r="F8" s="8"/>
      <c r="G8" s="2"/>
      <c r="H8" s="2"/>
      <c r="I8" s="2"/>
      <c r="J8" s="2"/>
      <c r="K8" s="2"/>
      <c r="L8" s="2"/>
    </row>
    <row r="9" spans="1:12" x14ac:dyDescent="0.25">
      <c r="B9" s="47" t="s">
        <v>18</v>
      </c>
      <c r="C9" s="24"/>
      <c r="D9" s="24">
        <v>3</v>
      </c>
      <c r="E9" s="48"/>
      <c r="F9" s="24"/>
      <c r="H9" s="326">
        <f>Assumptions!J9</f>
        <v>2021</v>
      </c>
      <c r="I9" s="326">
        <f>H9+1</f>
        <v>2022</v>
      </c>
      <c r="J9" s="326">
        <f t="shared" ref="J9:L9" si="0">I9+1</f>
        <v>2023</v>
      </c>
      <c r="K9" s="326">
        <f t="shared" si="0"/>
        <v>2024</v>
      </c>
      <c r="L9" s="326">
        <f t="shared" si="0"/>
        <v>2025</v>
      </c>
    </row>
    <row r="10" spans="1:12" ht="4.5" customHeight="1" x14ac:dyDescent="0.25">
      <c r="B10" s="49"/>
      <c r="C10" s="50"/>
      <c r="D10" s="50"/>
      <c r="E10" s="51"/>
      <c r="F10" s="24"/>
      <c r="H10" s="326"/>
      <c r="I10" s="326"/>
      <c r="J10" s="326"/>
      <c r="K10" s="326"/>
      <c r="L10" s="326"/>
    </row>
    <row r="11" spans="1:12" x14ac:dyDescent="0.25">
      <c r="B11" s="24"/>
      <c r="C11" s="24"/>
      <c r="D11" s="24"/>
      <c r="E11" s="24"/>
      <c r="F11" s="24"/>
    </row>
    <row r="12" spans="1:12" x14ac:dyDescent="0.25">
      <c r="B12" s="52" t="s">
        <v>19</v>
      </c>
      <c r="C12" s="24"/>
      <c r="D12" s="24"/>
      <c r="E12" s="24"/>
      <c r="F12" s="24"/>
    </row>
    <row r="13" spans="1:12" x14ac:dyDescent="0.25">
      <c r="B13" s="52"/>
      <c r="C13" s="24"/>
      <c r="D13" s="24"/>
      <c r="E13" s="24"/>
      <c r="F13" s="24"/>
    </row>
    <row r="14" spans="1:12" x14ac:dyDescent="0.25">
      <c r="B14" s="52" t="s">
        <v>153</v>
      </c>
      <c r="C14" s="24"/>
      <c r="D14" s="24"/>
      <c r="E14" s="24"/>
      <c r="F14" s="24"/>
      <c r="H14" s="21">
        <f t="shared" ref="H14:L14" si="1">CHOOSE($D$9,H16,H17,H18)</f>
        <v>2.5000000000000001E-2</v>
      </c>
      <c r="I14" s="22">
        <f t="shared" si="1"/>
        <v>2.5000000000000001E-2</v>
      </c>
      <c r="J14" s="22">
        <f t="shared" si="1"/>
        <v>2.5000000000000001E-2</v>
      </c>
      <c r="K14" s="22">
        <f t="shared" si="1"/>
        <v>2.5000000000000001E-2</v>
      </c>
      <c r="L14" s="23">
        <f t="shared" si="1"/>
        <v>2.5000000000000001E-2</v>
      </c>
    </row>
    <row r="15" spans="1:12" ht="6.75" customHeight="1" x14ac:dyDescent="0.25">
      <c r="B15" s="24"/>
      <c r="C15" s="24"/>
      <c r="D15" s="24"/>
      <c r="E15" s="24"/>
      <c r="F15" s="24"/>
      <c r="H15" s="24"/>
      <c r="I15" s="24"/>
      <c r="J15" s="24"/>
      <c r="K15" s="24"/>
      <c r="L15" s="24"/>
    </row>
    <row r="16" spans="1:12" x14ac:dyDescent="0.25">
      <c r="B16" s="24"/>
      <c r="C16" s="24" t="s">
        <v>7</v>
      </c>
      <c r="D16" s="24"/>
      <c r="E16" s="24"/>
      <c r="F16" s="24"/>
      <c r="H16" s="25">
        <v>0.02</v>
      </c>
      <c r="I16" s="26">
        <v>0.02</v>
      </c>
      <c r="J16" s="26">
        <v>0.02</v>
      </c>
      <c r="K16" s="26">
        <v>2.5000000000000001E-2</v>
      </c>
      <c r="L16" s="27">
        <v>2.5000000000000001E-2</v>
      </c>
    </row>
    <row r="17" spans="2:17" x14ac:dyDescent="0.25">
      <c r="B17" s="24"/>
      <c r="C17" s="24" t="s">
        <v>8</v>
      </c>
      <c r="D17" s="24"/>
      <c r="E17" s="24"/>
      <c r="F17" s="24"/>
      <c r="H17" s="28">
        <v>1.7999999999999999E-2</v>
      </c>
      <c r="I17" s="29">
        <v>1.7999999999999999E-2</v>
      </c>
      <c r="J17" s="29">
        <v>1.7999999999999999E-2</v>
      </c>
      <c r="K17" s="29">
        <v>0.02</v>
      </c>
      <c r="L17" s="30">
        <v>0.02</v>
      </c>
    </row>
    <row r="18" spans="2:17" x14ac:dyDescent="0.25">
      <c r="B18" s="24"/>
      <c r="C18" s="24" t="s">
        <v>9</v>
      </c>
      <c r="D18" s="24"/>
      <c r="E18" s="24"/>
      <c r="F18" s="24"/>
      <c r="H18" s="31">
        <v>2.5000000000000001E-2</v>
      </c>
      <c r="I18" s="32">
        <v>2.5000000000000001E-2</v>
      </c>
      <c r="J18" s="32">
        <v>2.5000000000000001E-2</v>
      </c>
      <c r="K18" s="32">
        <v>2.5000000000000001E-2</v>
      </c>
      <c r="L18" s="33">
        <v>2.5000000000000001E-2</v>
      </c>
    </row>
    <row r="19" spans="2:17" x14ac:dyDescent="0.25">
      <c r="B19" s="24"/>
      <c r="C19" s="50"/>
      <c r="D19" s="50"/>
      <c r="E19" s="50"/>
      <c r="F19" s="50"/>
      <c r="G19" s="274"/>
      <c r="H19" s="50"/>
      <c r="I19" s="50"/>
      <c r="J19" s="50"/>
      <c r="K19" s="50"/>
      <c r="L19" s="50"/>
      <c r="M19" s="274"/>
      <c r="N19" s="274"/>
      <c r="O19" s="274"/>
      <c r="P19" s="274"/>
      <c r="Q19" s="274"/>
    </row>
    <row r="20" spans="2:17" x14ac:dyDescent="0.25">
      <c r="B20" s="34"/>
      <c r="C20" s="34"/>
      <c r="D20" s="34"/>
      <c r="E20" s="34"/>
      <c r="F20" s="34"/>
      <c r="G20" s="20"/>
      <c r="H20" s="34"/>
      <c r="I20" s="34"/>
      <c r="J20" s="34"/>
      <c r="K20" s="34"/>
      <c r="L20" s="34"/>
    </row>
    <row r="21" spans="2:17" s="305" customFormat="1" x14ac:dyDescent="0.3">
      <c r="B21" s="301"/>
      <c r="C21" s="301"/>
      <c r="D21" s="301"/>
      <c r="E21" s="301"/>
      <c r="F21" s="301"/>
      <c r="H21" s="301"/>
      <c r="I21" s="301"/>
      <c r="J21" s="301"/>
      <c r="K21" s="301"/>
      <c r="L21" s="301"/>
    </row>
    <row r="22" spans="2:17" x14ac:dyDescent="0.25">
      <c r="B22" s="52" t="s">
        <v>13</v>
      </c>
      <c r="C22" s="24"/>
      <c r="D22" s="24"/>
      <c r="E22" s="24"/>
      <c r="F22" s="24"/>
      <c r="H22" s="24"/>
      <c r="I22" s="24"/>
      <c r="J22" s="24"/>
      <c r="K22" s="24"/>
      <c r="L22" s="24"/>
    </row>
    <row r="23" spans="2:17" x14ac:dyDescent="0.25">
      <c r="B23" s="52"/>
      <c r="C23" s="24"/>
      <c r="D23" s="24"/>
      <c r="E23" s="24"/>
      <c r="F23" s="24"/>
      <c r="H23" s="24"/>
      <c r="I23" s="24"/>
      <c r="J23" s="24"/>
      <c r="K23" s="24"/>
      <c r="L23" s="24"/>
    </row>
    <row r="24" spans="2:17" x14ac:dyDescent="0.25">
      <c r="B24" s="52" t="s">
        <v>101</v>
      </c>
      <c r="C24" s="24"/>
      <c r="D24" s="24"/>
      <c r="E24" s="24"/>
      <c r="F24" s="24"/>
      <c r="H24" s="35">
        <f>CHOOSE($D$9,H26,H27,H28)</f>
        <v>768</v>
      </c>
      <c r="I24" s="36">
        <f t="shared" ref="I24:L24" si="2">CHOOSE($D$9,I26,I27,I28)</f>
        <v>696</v>
      </c>
      <c r="J24" s="36">
        <f t="shared" si="2"/>
        <v>792</v>
      </c>
      <c r="K24" s="36">
        <f t="shared" si="2"/>
        <v>768</v>
      </c>
      <c r="L24" s="37">
        <f t="shared" si="2"/>
        <v>720</v>
      </c>
    </row>
    <row r="25" spans="2:17" ht="7.5" customHeight="1" x14ac:dyDescent="0.25">
      <c r="B25" s="24"/>
      <c r="C25" s="24"/>
      <c r="D25" s="24"/>
      <c r="E25" s="24"/>
      <c r="F25" s="24"/>
      <c r="H25" s="24"/>
      <c r="I25" s="24"/>
      <c r="J25" s="24"/>
      <c r="K25" s="24"/>
      <c r="L25" s="24"/>
    </row>
    <row r="26" spans="2:17" x14ac:dyDescent="0.25">
      <c r="B26" s="24"/>
      <c r="C26" s="24" t="str">
        <f>Assumptions!D16</f>
        <v>Base case</v>
      </c>
      <c r="D26" s="24"/>
      <c r="E26" s="24"/>
      <c r="F26" s="24"/>
      <c r="H26" s="38">
        <v>800</v>
      </c>
      <c r="I26" s="39">
        <v>725</v>
      </c>
      <c r="J26" s="39">
        <v>825</v>
      </c>
      <c r="K26" s="39">
        <v>800</v>
      </c>
      <c r="L26" s="40">
        <v>750</v>
      </c>
    </row>
    <row r="27" spans="2:17" x14ac:dyDescent="0.25">
      <c r="B27" s="24"/>
      <c r="C27" s="24" t="str">
        <f>Assumptions!D17</f>
        <v>Best Case</v>
      </c>
      <c r="D27" s="53">
        <f>Assumptions!F17</f>
        <v>0.04</v>
      </c>
      <c r="E27" s="24"/>
      <c r="F27" s="24"/>
      <c r="H27" s="41">
        <f>H26*(1+$D$27)</f>
        <v>832</v>
      </c>
      <c r="I27" s="42">
        <f t="shared" ref="I27:L27" si="3">I26*(1+$D$27)</f>
        <v>754</v>
      </c>
      <c r="J27" s="42">
        <f t="shared" si="3"/>
        <v>858</v>
      </c>
      <c r="K27" s="42">
        <f t="shared" si="3"/>
        <v>832</v>
      </c>
      <c r="L27" s="43">
        <f t="shared" si="3"/>
        <v>780</v>
      </c>
    </row>
    <row r="28" spans="2:17" x14ac:dyDescent="0.25">
      <c r="B28" s="24"/>
      <c r="C28" s="24" t="str">
        <f>Assumptions!D18</f>
        <v>Worse Case</v>
      </c>
      <c r="D28" s="53">
        <f>Assumptions!F18</f>
        <v>-0.04</v>
      </c>
      <c r="E28" s="24"/>
      <c r="F28" s="24"/>
      <c r="H28" s="44">
        <f>H26*(1+$D$28)</f>
        <v>768</v>
      </c>
      <c r="I28" s="45">
        <f t="shared" ref="I28:L28" si="4">I26*(1+$D$28)</f>
        <v>696</v>
      </c>
      <c r="J28" s="45">
        <f t="shared" si="4"/>
        <v>792</v>
      </c>
      <c r="K28" s="45">
        <f t="shared" si="4"/>
        <v>768</v>
      </c>
      <c r="L28" s="46">
        <f t="shared" si="4"/>
        <v>720</v>
      </c>
    </row>
    <row r="29" spans="2:17" ht="9.75" customHeight="1" x14ac:dyDescent="0.25">
      <c r="B29" s="24"/>
      <c r="C29" s="24"/>
      <c r="D29" s="24"/>
      <c r="E29" s="24"/>
      <c r="F29" s="24"/>
      <c r="H29" s="24"/>
      <c r="I29" s="24"/>
      <c r="J29" s="24"/>
      <c r="K29" s="24"/>
      <c r="L29" s="24"/>
    </row>
    <row r="30" spans="2:17" ht="9.75" customHeight="1" x14ac:dyDescent="0.25">
      <c r="B30" s="24"/>
      <c r="C30" s="24"/>
      <c r="D30" s="24"/>
      <c r="E30" s="24"/>
      <c r="F30" s="24"/>
      <c r="H30" s="24"/>
      <c r="I30" s="24"/>
      <c r="J30" s="24"/>
      <c r="K30" s="24"/>
      <c r="L30" s="24"/>
    </row>
    <row r="31" spans="2:17" x14ac:dyDescent="0.25">
      <c r="B31" s="52" t="s">
        <v>11</v>
      </c>
      <c r="C31" s="24"/>
      <c r="D31" s="24"/>
      <c r="E31" s="24"/>
      <c r="F31" s="24"/>
      <c r="H31" s="21">
        <f>CHOOSE($D$9,H33,H34,H35)</f>
        <v>0.04</v>
      </c>
      <c r="I31" s="22">
        <f t="shared" ref="I31:L31" si="5">CHOOSE($D$9,I33,I34,I35)</f>
        <v>0.04</v>
      </c>
      <c r="J31" s="22">
        <f t="shared" si="5"/>
        <v>0.03</v>
      </c>
      <c r="K31" s="22">
        <f t="shared" si="5"/>
        <v>0.03</v>
      </c>
      <c r="L31" s="23">
        <f t="shared" si="5"/>
        <v>0.02</v>
      </c>
    </row>
    <row r="32" spans="2:17" ht="6.75" customHeight="1" x14ac:dyDescent="0.25">
      <c r="B32" s="24"/>
      <c r="C32" s="24"/>
      <c r="D32" s="24"/>
      <c r="E32" s="24"/>
      <c r="F32" s="24"/>
      <c r="H32" s="269"/>
      <c r="I32" s="269"/>
      <c r="J32" s="269"/>
      <c r="K32" s="269"/>
      <c r="L32" s="269"/>
    </row>
    <row r="33" spans="2:17" x14ac:dyDescent="0.25">
      <c r="B33" s="24"/>
      <c r="C33" s="24" t="s">
        <v>7</v>
      </c>
      <c r="D33" s="24"/>
      <c r="E33" s="24"/>
      <c r="F33" s="24"/>
      <c r="H33" s="28">
        <v>0.05</v>
      </c>
      <c r="I33" s="29">
        <v>0.04</v>
      </c>
      <c r="J33" s="29">
        <v>0.04</v>
      </c>
      <c r="K33" s="29">
        <v>0.04</v>
      </c>
      <c r="L33" s="29">
        <v>0.04</v>
      </c>
    </row>
    <row r="34" spans="2:17" x14ac:dyDescent="0.25">
      <c r="B34" s="24"/>
      <c r="C34" s="24" t="s">
        <v>8</v>
      </c>
      <c r="D34" s="24"/>
      <c r="E34" s="24"/>
      <c r="F34" s="24"/>
      <c r="H34" s="28">
        <v>0.05</v>
      </c>
      <c r="I34" s="29">
        <v>0.04</v>
      </c>
      <c r="J34" s="29">
        <v>0.05</v>
      </c>
      <c r="K34" s="29">
        <v>0.05</v>
      </c>
      <c r="L34" s="29">
        <v>0.04</v>
      </c>
    </row>
    <row r="35" spans="2:17" x14ac:dyDescent="0.25">
      <c r="B35" s="24"/>
      <c r="C35" s="50" t="s">
        <v>9</v>
      </c>
      <c r="D35" s="50"/>
      <c r="E35" s="50"/>
      <c r="F35" s="50"/>
      <c r="G35" s="274"/>
      <c r="H35" s="340">
        <v>0.04</v>
      </c>
      <c r="I35" s="341">
        <v>0.04</v>
      </c>
      <c r="J35" s="341">
        <v>0.03</v>
      </c>
      <c r="K35" s="341">
        <v>0.03</v>
      </c>
      <c r="L35" s="342">
        <v>0.02</v>
      </c>
      <c r="M35" s="274"/>
      <c r="N35" s="274"/>
      <c r="O35" s="274"/>
      <c r="P35" s="274"/>
      <c r="Q35" s="274"/>
    </row>
    <row r="36" spans="2:17" x14ac:dyDescent="0.25">
      <c r="B36" s="24"/>
      <c r="C36" s="24"/>
      <c r="D36" s="24"/>
      <c r="E36" s="24"/>
      <c r="F36" s="24"/>
      <c r="H36" s="29"/>
      <c r="I36" s="29"/>
      <c r="J36" s="29"/>
      <c r="K36" s="29"/>
      <c r="L36" s="29"/>
    </row>
    <row r="37" spans="2:17" s="305" customFormat="1" x14ac:dyDescent="0.3">
      <c r="B37" s="301"/>
      <c r="C37" s="301"/>
      <c r="D37" s="301"/>
      <c r="E37" s="301"/>
      <c r="F37" s="301"/>
      <c r="H37" s="301"/>
      <c r="I37" s="301"/>
      <c r="J37" s="301"/>
      <c r="K37" s="301"/>
      <c r="L37" s="301"/>
    </row>
    <row r="38" spans="2:17" x14ac:dyDescent="0.25">
      <c r="B38" s="350"/>
      <c r="C38" s="350"/>
      <c r="D38" s="350"/>
      <c r="E38" s="350"/>
      <c r="F38" s="350"/>
      <c r="G38" s="351"/>
      <c r="H38" s="351"/>
      <c r="I38" s="351"/>
      <c r="J38" s="351"/>
      <c r="K38" s="351"/>
      <c r="L38" s="351"/>
    </row>
    <row r="39" spans="2:17" x14ac:dyDescent="0.25">
      <c r="B39" s="24"/>
      <c r="C39" s="24"/>
      <c r="D39" s="24"/>
      <c r="E39" s="24"/>
      <c r="F39" s="24"/>
    </row>
    <row r="51" spans="3:17" x14ac:dyDescent="0.25">
      <c r="C51" s="274"/>
      <c r="D51" s="274"/>
      <c r="E51" s="274"/>
      <c r="F51" s="274"/>
      <c r="G51" s="274"/>
      <c r="H51" s="274"/>
      <c r="I51" s="274"/>
      <c r="J51" s="274"/>
      <c r="K51" s="274"/>
      <c r="L51" s="274"/>
      <c r="M51" s="274"/>
      <c r="N51" s="274"/>
      <c r="O51" s="274"/>
      <c r="P51" s="274"/>
      <c r="Q51" s="274"/>
    </row>
  </sheetData>
  <printOptions horizontalCentered="1"/>
  <pageMargins left="0.39370078740157483" right="0.11811023622047245" top="0.11811023622047245" bottom="0.19685039370078741" header="7.874015748031496E-2" footer="3.937007874015748E-2"/>
  <pageSetup paperSize="9" scale="80" orientation="landscape" horizontalDpi="4294967293" verticalDpi="4294967293" r:id="rId1"/>
  <headerFooter scaleWithDoc="0">
    <oddFooter>&amp;L&amp;"Times New Roman,Bold"&amp;9HANDERSON MANUFACTURING
&amp;"Times New Roman,Regular"C:\Users\Desktop\Handerson_Oni-SJ&amp;C&amp;"Times New Roman,Regular"&amp;9Page &amp;P of &amp;N&amp;R&amp;"Times New Roman,Regular"&amp;9&amp;D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2</xdr:col>
                    <xdr:colOff>906780</xdr:colOff>
                    <xdr:row>7</xdr:row>
                    <xdr:rowOff>45720</xdr:rowOff>
                  </from>
                  <to>
                    <xdr:col>4</xdr:col>
                    <xdr:colOff>579120</xdr:colOff>
                    <xdr:row>9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2D1E-7D14-467C-AED9-E0B2D83585F8}">
  <dimension ref="A1:T367"/>
  <sheetViews>
    <sheetView showGridLines="0" tabSelected="1" topLeftCell="A361" zoomScaleNormal="100" workbookViewId="0">
      <selection activeCell="D223" sqref="D223"/>
    </sheetView>
  </sheetViews>
  <sheetFormatPr defaultColWidth="9.109375" defaultRowHeight="13.2" x14ac:dyDescent="0.25"/>
  <cols>
    <col min="1" max="2" width="3.5546875" style="24" customWidth="1"/>
    <col min="3" max="3" width="3" style="24" customWidth="1"/>
    <col min="4" max="4" width="6.109375" style="24" customWidth="1"/>
    <col min="5" max="5" width="14.33203125" style="24" customWidth="1"/>
    <col min="6" max="6" width="4" style="24" customWidth="1"/>
    <col min="7" max="8" width="9.109375" style="82"/>
    <col min="9" max="12" width="9.109375" style="24"/>
    <col min="13" max="17" width="10" style="24" bestFit="1" customWidth="1"/>
    <col min="18" max="18" width="5.5546875" style="24" customWidth="1"/>
    <col min="19" max="16384" width="9.109375" style="24"/>
  </cols>
  <sheetData>
    <row r="1" spans="2:19" s="10" customFormat="1" ht="13.8" x14ac:dyDescent="0.25">
      <c r="B1" s="2"/>
      <c r="C1" s="2"/>
      <c r="D1" s="2"/>
      <c r="E1" s="2"/>
      <c r="F1" s="2"/>
      <c r="G1" s="115"/>
      <c r="H1" s="115"/>
      <c r="I1" s="3"/>
      <c r="J1" s="3"/>
      <c r="K1" s="3"/>
      <c r="L1" s="3"/>
      <c r="M1" s="3"/>
      <c r="N1" s="135"/>
      <c r="O1" s="3"/>
      <c r="P1" s="3"/>
      <c r="Q1" s="136" t="str">
        <f>UPPER("currently running: "&amp;CHOOSE(Scenarios!$D$9,Scenarios!$C$16,Scenarios!$C$17,Scenarios!$C$18)&amp; " Scenario")</f>
        <v>CURRENTLY RUNNING: WORSE CASE SCENARIO</v>
      </c>
      <c r="R1" s="136"/>
      <c r="S1" s="2"/>
    </row>
    <row r="2" spans="2:19" s="10" customFormat="1" ht="17.25" customHeight="1" x14ac:dyDescent="0.4">
      <c r="B2" s="4" t="str">
        <f>Cover!$E$14</f>
        <v>HANDERSON MANUFACTURING</v>
      </c>
      <c r="C2" s="4"/>
      <c r="D2" s="4"/>
      <c r="E2" s="4"/>
      <c r="F2" s="4"/>
      <c r="G2" s="116"/>
      <c r="H2" s="116"/>
      <c r="I2" s="4"/>
      <c r="J2" s="4"/>
      <c r="K2" s="4"/>
      <c r="L2" s="4"/>
      <c r="M2" s="4"/>
      <c r="N2" s="4"/>
      <c r="O2" s="4"/>
      <c r="P2" s="4"/>
      <c r="Q2" s="4"/>
      <c r="R2" s="4"/>
      <c r="S2" s="2"/>
    </row>
    <row r="3" spans="2:19" s="10" customFormat="1" ht="17.399999999999999" x14ac:dyDescent="0.3">
      <c r="B3" s="5" t="s">
        <v>93</v>
      </c>
      <c r="C3" s="5"/>
      <c r="D3" s="5"/>
      <c r="E3" s="5"/>
      <c r="F3" s="5"/>
      <c r="G3" s="117"/>
      <c r="H3" s="117"/>
      <c r="I3" s="5"/>
      <c r="J3" s="5"/>
      <c r="K3" s="5"/>
      <c r="L3" s="5"/>
      <c r="M3" s="5"/>
      <c r="N3" s="5"/>
      <c r="O3" s="5"/>
      <c r="P3" s="5"/>
      <c r="Q3" s="5"/>
      <c r="R3" s="5"/>
      <c r="S3" s="2"/>
    </row>
    <row r="4" spans="2:19" s="10" customFormat="1" ht="4.5" customHeight="1" thickBot="1" x14ac:dyDescent="0.35">
      <c r="B4" s="6"/>
      <c r="C4" s="6"/>
      <c r="D4" s="6"/>
      <c r="E4" s="6"/>
      <c r="F4" s="6"/>
      <c r="G4" s="118"/>
      <c r="H4" s="118"/>
      <c r="I4" s="6"/>
      <c r="J4" s="6"/>
      <c r="K4" s="6"/>
      <c r="L4" s="6"/>
      <c r="M4" s="6"/>
      <c r="N4" s="6"/>
      <c r="O4" s="6"/>
      <c r="P4" s="6"/>
      <c r="Q4" s="6"/>
      <c r="R4" s="5"/>
      <c r="S4" s="2"/>
    </row>
    <row r="5" spans="2:19" s="301" customFormat="1" x14ac:dyDescent="0.3">
      <c r="B5" s="306" t="s">
        <v>1</v>
      </c>
      <c r="C5" s="304"/>
      <c r="D5" s="304"/>
      <c r="E5" s="304"/>
      <c r="F5" s="304"/>
      <c r="G5" s="307"/>
      <c r="H5" s="307"/>
      <c r="I5" s="304"/>
      <c r="J5" s="304"/>
      <c r="K5" s="304"/>
      <c r="L5" s="304"/>
      <c r="M5" s="304"/>
      <c r="N5" s="304"/>
      <c r="O5" s="304"/>
      <c r="P5" s="304"/>
      <c r="Q5" s="304"/>
      <c r="R5" s="304"/>
      <c r="S5" s="304"/>
    </row>
    <row r="6" spans="2:19" x14ac:dyDescent="0.25">
      <c r="B6" s="2"/>
      <c r="C6" s="2"/>
      <c r="D6" s="2"/>
      <c r="E6" s="2"/>
      <c r="F6" s="8"/>
      <c r="I6" s="2"/>
      <c r="J6" s="2"/>
      <c r="K6" s="2"/>
      <c r="L6" s="2"/>
      <c r="M6" s="107" t="s">
        <v>3</v>
      </c>
      <c r="N6" s="106"/>
      <c r="O6" s="106"/>
      <c r="P6" s="106"/>
      <c r="Q6" s="106"/>
      <c r="R6" s="2"/>
      <c r="S6" s="2"/>
    </row>
    <row r="7" spans="2:19" s="352" customFormat="1" x14ac:dyDescent="0.25">
      <c r="G7" s="353"/>
      <c r="H7" s="353" t="s">
        <v>5</v>
      </c>
      <c r="I7" s="353"/>
      <c r="J7" s="354">
        <f t="shared" ref="J7:K7" si="0">K7-1</f>
        <v>2018</v>
      </c>
      <c r="K7" s="354">
        <f t="shared" si="0"/>
        <v>2019</v>
      </c>
      <c r="L7" s="354">
        <f>M7-1</f>
        <v>2020</v>
      </c>
      <c r="M7" s="355">
        <f>Assumptions!J9</f>
        <v>2021</v>
      </c>
      <c r="N7" s="355">
        <f t="shared" ref="N7:Q7" si="1">M7+1</f>
        <v>2022</v>
      </c>
      <c r="O7" s="355">
        <f t="shared" si="1"/>
        <v>2023</v>
      </c>
      <c r="P7" s="355">
        <f t="shared" si="1"/>
        <v>2024</v>
      </c>
      <c r="Q7" s="355">
        <f t="shared" si="1"/>
        <v>2025</v>
      </c>
    </row>
    <row r="10" spans="2:19" x14ac:dyDescent="0.25">
      <c r="B10" s="52" t="s">
        <v>6</v>
      </c>
    </row>
    <row r="11" spans="2:19" x14ac:dyDescent="0.25">
      <c r="C11" s="24" t="s">
        <v>152</v>
      </c>
      <c r="G11" s="24"/>
      <c r="H11" s="82" t="s">
        <v>100</v>
      </c>
      <c r="I11" s="82"/>
      <c r="L11" s="128">
        <v>694.44</v>
      </c>
      <c r="M11" s="175">
        <f>Scenarios!H24</f>
        <v>768</v>
      </c>
      <c r="N11" s="175">
        <f>Scenarios!I24</f>
        <v>696</v>
      </c>
      <c r="O11" s="175">
        <f>Scenarios!J24</f>
        <v>792</v>
      </c>
      <c r="P11" s="175">
        <f>Scenarios!K24</f>
        <v>768</v>
      </c>
      <c r="Q11" s="175">
        <f>Scenarios!L24</f>
        <v>720</v>
      </c>
    </row>
    <row r="12" spans="2:19" x14ac:dyDescent="0.25">
      <c r="C12" s="24" t="s">
        <v>12</v>
      </c>
      <c r="G12" s="24"/>
      <c r="H12" s="82" t="s">
        <v>99</v>
      </c>
      <c r="I12" s="82"/>
      <c r="L12" s="146"/>
      <c r="M12" s="270">
        <f>Scenarios!H14</f>
        <v>2.5000000000000001E-2</v>
      </c>
      <c r="N12" s="270">
        <f>Scenarios!I14</f>
        <v>2.5000000000000001E-2</v>
      </c>
      <c r="O12" s="270">
        <f>Scenarios!J14</f>
        <v>2.5000000000000001E-2</v>
      </c>
      <c r="P12" s="270">
        <f>Scenarios!K14</f>
        <v>2.5000000000000001E-2</v>
      </c>
      <c r="Q12" s="270">
        <f>Scenarios!L14</f>
        <v>2.5000000000000001E-2</v>
      </c>
    </row>
    <row r="13" spans="2:19" x14ac:dyDescent="0.25">
      <c r="C13" s="24" t="s">
        <v>97</v>
      </c>
      <c r="G13" s="24"/>
      <c r="H13" s="82" t="s">
        <v>100</v>
      </c>
      <c r="I13" s="82"/>
      <c r="L13" s="128">
        <v>100</v>
      </c>
      <c r="M13" s="146">
        <f>L13*(1+M12)</f>
        <v>102.49999999999999</v>
      </c>
      <c r="N13" s="146">
        <f t="shared" ref="N13:P13" si="2">M13*(1+N12)</f>
        <v>105.06249999999997</v>
      </c>
      <c r="O13" s="146">
        <f t="shared" si="2"/>
        <v>107.68906249999996</v>
      </c>
      <c r="P13" s="146">
        <f t="shared" si="2"/>
        <v>110.38128906249996</v>
      </c>
      <c r="Q13" s="146">
        <f>P13*(1+Q12)</f>
        <v>113.14082128906244</v>
      </c>
      <c r="R13" s="109"/>
    </row>
    <row r="14" spans="2:19" s="52" customFormat="1" x14ac:dyDescent="0.25">
      <c r="C14" s="52" t="s">
        <v>98</v>
      </c>
      <c r="H14" s="82" t="s">
        <v>100</v>
      </c>
      <c r="I14" s="82"/>
      <c r="L14" s="134">
        <f>L11-L13</f>
        <v>594.44000000000005</v>
      </c>
      <c r="M14" s="134">
        <f t="shared" ref="M14:Q14" si="3">M11-M13</f>
        <v>665.5</v>
      </c>
      <c r="N14" s="134">
        <f t="shared" si="3"/>
        <v>590.9375</v>
      </c>
      <c r="O14" s="134">
        <f t="shared" si="3"/>
        <v>684.31093750000002</v>
      </c>
      <c r="P14" s="134">
        <f t="shared" si="3"/>
        <v>657.61871093750005</v>
      </c>
      <c r="Q14" s="134">
        <f t="shared" si="3"/>
        <v>606.85917871093761</v>
      </c>
      <c r="R14" s="132"/>
    </row>
    <row r="15" spans="2:19" x14ac:dyDescent="0.25">
      <c r="L15" s="109"/>
      <c r="M15" s="109"/>
      <c r="N15" s="109"/>
      <c r="O15" s="109"/>
      <c r="P15" s="109"/>
      <c r="Q15" s="109"/>
      <c r="R15" s="109"/>
    </row>
    <row r="17" spans="2:18" x14ac:dyDescent="0.25">
      <c r="B17" s="52" t="s">
        <v>10</v>
      </c>
    </row>
    <row r="19" spans="2:18" x14ac:dyDescent="0.25">
      <c r="C19" s="50" t="s">
        <v>104</v>
      </c>
      <c r="D19" s="50"/>
      <c r="E19" s="50"/>
      <c r="F19" s="50"/>
      <c r="G19" s="83"/>
      <c r="H19" s="83" t="s">
        <v>108</v>
      </c>
      <c r="I19" s="50"/>
      <c r="J19" s="50"/>
      <c r="K19" s="50"/>
      <c r="L19" s="50"/>
      <c r="M19" s="336">
        <f>Assumptions!Q19</f>
        <v>420</v>
      </c>
      <c r="N19" s="337">
        <f>M19</f>
        <v>420</v>
      </c>
      <c r="O19" s="337">
        <f t="shared" ref="O19:Q19" si="4">N19</f>
        <v>420</v>
      </c>
      <c r="P19" s="337">
        <f t="shared" si="4"/>
        <v>420</v>
      </c>
      <c r="Q19" s="337">
        <f t="shared" si="4"/>
        <v>420</v>
      </c>
    </row>
    <row r="21" spans="2:18" s="301" customFormat="1" x14ac:dyDescent="0.3">
      <c r="C21" s="301" t="s">
        <v>105</v>
      </c>
      <c r="G21" s="307"/>
      <c r="H21" s="307" t="s">
        <v>99</v>
      </c>
      <c r="M21" s="308">
        <f>Scenarios!H31</f>
        <v>0.04</v>
      </c>
      <c r="N21" s="308">
        <f>Scenarios!I31</f>
        <v>0.04</v>
      </c>
      <c r="O21" s="308">
        <f>Scenarios!J31</f>
        <v>0.03</v>
      </c>
      <c r="P21" s="308">
        <f>Scenarios!K31</f>
        <v>0.03</v>
      </c>
      <c r="Q21" s="308">
        <f>Scenarios!L31</f>
        <v>0.02</v>
      </c>
    </row>
    <row r="22" spans="2:18" s="52" customFormat="1" x14ac:dyDescent="0.25">
      <c r="C22" s="52" t="s">
        <v>154</v>
      </c>
      <c r="G22" s="140"/>
      <c r="H22" s="82" t="s">
        <v>108</v>
      </c>
      <c r="L22" s="139">
        <f>ROUND(L30/L14*1000,1)</f>
        <v>344.5</v>
      </c>
      <c r="M22" s="349">
        <f>MIN(M19,L22*(1+M21))</f>
        <v>358.28000000000003</v>
      </c>
      <c r="N22" s="349">
        <f>MIN(N19,M22*(1+N21))</f>
        <v>372.61120000000005</v>
      </c>
      <c r="O22" s="349">
        <f t="shared" ref="O22:Q22" si="5">MIN(O19,N22*(1+O21))</f>
        <v>383.78953600000006</v>
      </c>
      <c r="P22" s="349">
        <f t="shared" si="5"/>
        <v>395.30322208000007</v>
      </c>
      <c r="Q22" s="349">
        <f t="shared" si="5"/>
        <v>403.20928652160006</v>
      </c>
    </row>
    <row r="24" spans="2:18" x14ac:dyDescent="0.25">
      <c r="C24" s="24" t="s">
        <v>107</v>
      </c>
      <c r="H24" s="82" t="s">
        <v>99</v>
      </c>
      <c r="M24" s="147">
        <f>MIN(M22/M19,M19/M19)</f>
        <v>0.85304761904761917</v>
      </c>
      <c r="N24" s="147">
        <f t="shared" ref="N24:Q24" si="6">MIN(N22/N19,N19/N19)</f>
        <v>0.88716952380952396</v>
      </c>
      <c r="O24" s="147">
        <f t="shared" si="6"/>
        <v>0.91378460952380969</v>
      </c>
      <c r="P24" s="147">
        <f t="shared" si="6"/>
        <v>0.94119814780952393</v>
      </c>
      <c r="Q24" s="147">
        <f t="shared" si="6"/>
        <v>0.96002211076571442</v>
      </c>
    </row>
    <row r="25" spans="2:18" x14ac:dyDescent="0.25">
      <c r="B25" s="34"/>
      <c r="C25" s="34"/>
      <c r="D25" s="34"/>
      <c r="E25" s="34"/>
      <c r="F25" s="34"/>
      <c r="G25" s="142"/>
      <c r="H25" s="142"/>
      <c r="I25" s="34"/>
      <c r="J25" s="34"/>
      <c r="K25" s="34"/>
      <c r="L25" s="143"/>
      <c r="M25" s="143"/>
      <c r="N25" s="143"/>
      <c r="O25" s="143"/>
      <c r="P25" s="143"/>
      <c r="Q25" s="143"/>
      <c r="R25" s="109"/>
    </row>
    <row r="27" spans="2:18" x14ac:dyDescent="0.25">
      <c r="B27" s="52" t="s">
        <v>95</v>
      </c>
    </row>
    <row r="28" spans="2:18" x14ac:dyDescent="0.25">
      <c r="C28" s="24" t="s">
        <v>96</v>
      </c>
      <c r="H28" s="82" t="s">
        <v>102</v>
      </c>
      <c r="J28" s="144"/>
      <c r="K28" s="144"/>
      <c r="L28" s="174">
        <f>L92</f>
        <v>239.2</v>
      </c>
      <c r="M28" s="109">
        <f>M11*M22/1000</f>
        <v>275.15904000000006</v>
      </c>
      <c r="N28" s="109">
        <f t="shared" ref="N28:Q28" si="7">N11*N22/1000</f>
        <v>259.3373952</v>
      </c>
      <c r="O28" s="109">
        <f t="shared" si="7"/>
        <v>303.96131251200001</v>
      </c>
      <c r="P28" s="109">
        <f t="shared" si="7"/>
        <v>303.59287455744004</v>
      </c>
      <c r="Q28" s="109">
        <f t="shared" si="7"/>
        <v>290.31068629555205</v>
      </c>
    </row>
    <row r="29" spans="2:18" x14ac:dyDescent="0.25">
      <c r="C29" s="24" t="s">
        <v>106</v>
      </c>
      <c r="H29" s="82" t="s">
        <v>102</v>
      </c>
      <c r="J29" s="144"/>
      <c r="K29" s="144"/>
      <c r="L29" s="174">
        <f>L93</f>
        <v>34.4</v>
      </c>
      <c r="M29" s="109">
        <f>M13*M22/1000</f>
        <v>36.723699999999994</v>
      </c>
      <c r="N29" s="109">
        <f t="shared" ref="N29:Q29" si="8">N13*N22/1000</f>
        <v>39.147464199999995</v>
      </c>
      <c r="O29" s="109">
        <f t="shared" si="8"/>
        <v>41.329935329149997</v>
      </c>
      <c r="P29" s="109">
        <f>P13*P22/1000</f>
        <v>43.634079223750099</v>
      </c>
      <c r="Q29" s="109">
        <f t="shared" si="8"/>
        <v>45.619429828430732</v>
      </c>
    </row>
    <row r="30" spans="2:18" s="52" customFormat="1" x14ac:dyDescent="0.25">
      <c r="C30" s="52" t="s">
        <v>86</v>
      </c>
      <c r="G30" s="140"/>
      <c r="H30" s="140" t="s">
        <v>102</v>
      </c>
      <c r="J30" s="145"/>
      <c r="K30" s="145"/>
      <c r="L30" s="172">
        <f t="shared" ref="L30:P30" si="9">L28-L29</f>
        <v>204.79999999999998</v>
      </c>
      <c r="M30" s="172">
        <f t="shared" si="9"/>
        <v>238.43534000000005</v>
      </c>
      <c r="N30" s="172">
        <f t="shared" si="9"/>
        <v>220.189931</v>
      </c>
      <c r="O30" s="172">
        <f t="shared" si="9"/>
        <v>262.63137718285003</v>
      </c>
      <c r="P30" s="172">
        <f t="shared" si="9"/>
        <v>259.95879533368992</v>
      </c>
      <c r="Q30" s="172">
        <f>Q28-Q29</f>
        <v>244.69125646712132</v>
      </c>
    </row>
    <row r="31" spans="2:18" s="52" customFormat="1" x14ac:dyDescent="0.25">
      <c r="G31" s="140"/>
      <c r="H31" s="140"/>
      <c r="J31" s="145"/>
      <c r="K31" s="145"/>
      <c r="L31" s="257"/>
      <c r="M31" s="257"/>
      <c r="N31" s="257"/>
      <c r="O31" s="257"/>
      <c r="P31" s="257"/>
      <c r="Q31" s="257"/>
    </row>
    <row r="32" spans="2:18" s="52" customFormat="1" x14ac:dyDescent="0.25">
      <c r="B32" s="237"/>
      <c r="C32" s="237"/>
      <c r="D32" s="237"/>
      <c r="E32" s="237"/>
      <c r="F32" s="237"/>
      <c r="G32" s="238"/>
      <c r="H32" s="238"/>
      <c r="I32" s="237"/>
      <c r="J32" s="258"/>
      <c r="K32" s="258"/>
      <c r="L32" s="259"/>
      <c r="M32" s="259"/>
      <c r="N32" s="259"/>
      <c r="O32" s="259"/>
      <c r="P32" s="259"/>
      <c r="Q32" s="259"/>
    </row>
    <row r="34" spans="1:19" s="10" customFormat="1" ht="13.8" x14ac:dyDescent="0.25">
      <c r="B34" s="2"/>
      <c r="C34" s="2"/>
      <c r="D34" s="2"/>
      <c r="E34" s="2"/>
      <c r="F34" s="2"/>
      <c r="G34" s="115"/>
      <c r="H34" s="115"/>
      <c r="I34" s="3"/>
      <c r="J34" s="3"/>
      <c r="K34" s="3"/>
      <c r="L34" s="3"/>
      <c r="M34" s="3"/>
      <c r="N34" s="135"/>
      <c r="O34" s="3"/>
      <c r="P34" s="3"/>
      <c r="Q34" s="136" t="str">
        <f>UPPER("currently running: "&amp;CHOOSE(Scenarios!$D$9,Scenarios!$C$16,Scenarios!$C$17,Scenarios!$C$18)&amp; " Scenario")</f>
        <v>CURRENTLY RUNNING: WORSE CASE SCENARIO</v>
      </c>
      <c r="R34" s="136"/>
      <c r="S34" s="2"/>
    </row>
    <row r="35" spans="1:19" s="10" customFormat="1" ht="22.8" x14ac:dyDescent="0.4">
      <c r="B35" s="4" t="str">
        <f>Cover!$E$14</f>
        <v>HANDERSON MANUFACTURING</v>
      </c>
      <c r="C35" s="338"/>
      <c r="D35" s="338"/>
      <c r="E35" s="338"/>
      <c r="F35" s="338"/>
      <c r="G35" s="339"/>
      <c r="H35" s="339"/>
      <c r="I35" s="338"/>
      <c r="J35" s="338"/>
      <c r="K35" s="338"/>
      <c r="L35" s="338"/>
      <c r="M35" s="338"/>
      <c r="N35" s="338"/>
      <c r="O35" s="338"/>
      <c r="P35" s="338"/>
      <c r="Q35" s="338"/>
      <c r="R35" s="4"/>
      <c r="S35" s="2"/>
    </row>
    <row r="36" spans="1:19" s="10" customFormat="1" ht="17.399999999999999" x14ac:dyDescent="0.3">
      <c r="B36" s="5" t="s">
        <v>151</v>
      </c>
      <c r="C36" s="5"/>
      <c r="D36" s="5"/>
      <c r="E36" s="5"/>
      <c r="F36" s="5"/>
      <c r="G36" s="117"/>
      <c r="H36" s="117"/>
      <c r="I36" s="5"/>
      <c r="J36" s="5"/>
      <c r="K36" s="5"/>
      <c r="L36" s="5"/>
      <c r="M36" s="5"/>
      <c r="N36" s="5"/>
      <c r="O36" s="5"/>
      <c r="P36" s="5"/>
      <c r="Q36" s="5"/>
      <c r="R36" s="5"/>
      <c r="S36" s="2"/>
    </row>
    <row r="37" spans="1:19" s="305" customFormat="1" ht="3" customHeight="1" thickBot="1" x14ac:dyDescent="0.35">
      <c r="B37" s="309"/>
      <c r="C37" s="309"/>
      <c r="D37" s="309"/>
      <c r="E37" s="309"/>
      <c r="F37" s="309"/>
      <c r="G37" s="310"/>
      <c r="H37" s="310"/>
      <c r="I37" s="309"/>
      <c r="J37" s="309"/>
      <c r="K37" s="309"/>
      <c r="L37" s="309"/>
      <c r="M37" s="309"/>
      <c r="N37" s="309"/>
      <c r="O37" s="309"/>
      <c r="P37" s="309"/>
      <c r="Q37" s="309"/>
      <c r="R37" s="311"/>
      <c r="S37" s="304"/>
    </row>
    <row r="38" spans="1:19" x14ac:dyDescent="0.25">
      <c r="B38" s="7" t="s">
        <v>1</v>
      </c>
      <c r="C38" s="2"/>
      <c r="D38" s="2"/>
      <c r="E38" s="2"/>
      <c r="F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25">
      <c r="B39" s="2"/>
      <c r="C39" s="2"/>
      <c r="D39" s="2"/>
      <c r="E39" s="2"/>
      <c r="F39" s="8"/>
      <c r="I39" s="2"/>
      <c r="J39" s="2"/>
      <c r="K39" s="2"/>
      <c r="L39" s="2"/>
      <c r="M39" s="107" t="s">
        <v>3</v>
      </c>
      <c r="N39" s="106"/>
      <c r="O39" s="106"/>
      <c r="P39" s="106"/>
      <c r="Q39" s="106"/>
      <c r="R39" s="2"/>
      <c r="S39" s="2"/>
    </row>
    <row r="40" spans="1:19" s="352" customFormat="1" x14ac:dyDescent="0.25">
      <c r="G40" s="353"/>
      <c r="H40" s="353" t="s">
        <v>5</v>
      </c>
      <c r="I40" s="353"/>
      <c r="J40" s="354">
        <f>$J$7</f>
        <v>2018</v>
      </c>
      <c r="K40" s="354">
        <f>$K$7</f>
        <v>2019</v>
      </c>
      <c r="L40" s="354">
        <f>$L$7</f>
        <v>2020</v>
      </c>
      <c r="M40" s="355">
        <f>$M$7</f>
        <v>2021</v>
      </c>
      <c r="N40" s="355">
        <f>$N$7</f>
        <v>2022</v>
      </c>
      <c r="O40" s="355">
        <f>$O$7</f>
        <v>2023</v>
      </c>
      <c r="P40" s="355">
        <f>$P$7</f>
        <v>2024</v>
      </c>
      <c r="Q40" s="355">
        <f>$Q$7</f>
        <v>2025</v>
      </c>
    </row>
    <row r="41" spans="1:19" x14ac:dyDescent="0.25">
      <c r="C41" s="2"/>
      <c r="D41" s="2"/>
      <c r="E41" s="2"/>
      <c r="F41" s="2"/>
      <c r="G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9" x14ac:dyDescent="0.25">
      <c r="A42" s="137"/>
      <c r="B42" s="2"/>
      <c r="C42" s="2"/>
      <c r="E42" s="2"/>
      <c r="F42" s="2"/>
      <c r="G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9" x14ac:dyDescent="0.25">
      <c r="B43" s="17" t="s">
        <v>207</v>
      </c>
      <c r="C43" s="18"/>
      <c r="D43" s="91"/>
      <c r="E43" s="18"/>
      <c r="F43" s="18"/>
      <c r="G43" s="18"/>
      <c r="H43" s="183" t="s">
        <v>108</v>
      </c>
      <c r="I43" s="18"/>
      <c r="J43" s="18"/>
      <c r="K43" s="18"/>
      <c r="L43" s="18">
        <f>L22</f>
        <v>344.5</v>
      </c>
      <c r="M43" s="18">
        <f t="shared" ref="M43:Q43" si="10">M22</f>
        <v>358.28000000000003</v>
      </c>
      <c r="N43" s="18">
        <f t="shared" si="10"/>
        <v>372.61120000000005</v>
      </c>
      <c r="O43" s="18">
        <f t="shared" si="10"/>
        <v>383.78953600000006</v>
      </c>
      <c r="P43" s="18">
        <f t="shared" si="10"/>
        <v>395.30322208000007</v>
      </c>
      <c r="Q43" s="271">
        <f t="shared" si="10"/>
        <v>403.20928652160006</v>
      </c>
      <c r="R43" s="2"/>
    </row>
    <row r="44" spans="1:19" x14ac:dyDescent="0.25">
      <c r="B44" s="185" t="s">
        <v>12</v>
      </c>
      <c r="C44" s="9"/>
      <c r="D44" s="50"/>
      <c r="E44" s="9"/>
      <c r="F44" s="9"/>
      <c r="G44" s="9"/>
      <c r="H44" s="83" t="s">
        <v>99</v>
      </c>
      <c r="I44" s="9"/>
      <c r="J44" s="9"/>
      <c r="K44" s="9"/>
      <c r="L44" s="9"/>
      <c r="M44" s="186"/>
      <c r="N44" s="186">
        <f>N12</f>
        <v>2.5000000000000001E-2</v>
      </c>
      <c r="O44" s="186">
        <f t="shared" ref="O44:Q44" si="11">O12</f>
        <v>2.5000000000000001E-2</v>
      </c>
      <c r="P44" s="186">
        <f t="shared" si="11"/>
        <v>2.5000000000000001E-2</v>
      </c>
      <c r="Q44" s="186">
        <f t="shared" si="11"/>
        <v>2.5000000000000001E-2</v>
      </c>
      <c r="R44" s="2"/>
    </row>
    <row r="45" spans="1:19" x14ac:dyDescent="0.25">
      <c r="B45" s="2"/>
      <c r="C45" s="2"/>
      <c r="E45" s="2"/>
      <c r="F45" s="2"/>
      <c r="G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9" x14ac:dyDescent="0.25">
      <c r="B46" s="108" t="s">
        <v>155</v>
      </c>
      <c r="C46" s="2"/>
      <c r="E46" s="2"/>
      <c r="F46" s="2"/>
      <c r="G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9" x14ac:dyDescent="0.25">
      <c r="B47" s="2"/>
      <c r="C47" s="108" t="s">
        <v>156</v>
      </c>
      <c r="E47" s="2"/>
      <c r="F47" s="2"/>
    </row>
    <row r="48" spans="1:19" x14ac:dyDescent="0.25">
      <c r="B48" s="2"/>
      <c r="C48" s="2"/>
      <c r="D48" s="2" t="str">
        <f>Assumptions!D22</f>
        <v>Raw Material</v>
      </c>
      <c r="F48" s="2"/>
      <c r="H48" s="82" t="s">
        <v>100</v>
      </c>
      <c r="M48" s="175">
        <f>Assumptions!F22</f>
        <v>226</v>
      </c>
      <c r="N48" s="146">
        <f>M48*(1+N$44)</f>
        <v>231.64999999999998</v>
      </c>
      <c r="O48" s="146">
        <f t="shared" ref="O48:Q48" si="12">N48*(1+O$44)</f>
        <v>237.44124999999997</v>
      </c>
      <c r="P48" s="146">
        <f t="shared" si="12"/>
        <v>243.37728124999995</v>
      </c>
      <c r="Q48" s="146">
        <f t="shared" si="12"/>
        <v>249.46171328124993</v>
      </c>
    </row>
    <row r="49" spans="2:17" x14ac:dyDescent="0.25">
      <c r="B49" s="2"/>
      <c r="C49" s="2"/>
      <c r="D49" s="2" t="str">
        <f>Assumptions!D23</f>
        <v>Utilities</v>
      </c>
      <c r="F49" s="2"/>
      <c r="H49" s="82" t="s">
        <v>100</v>
      </c>
      <c r="M49" s="127">
        <f>Assumptions!F23</f>
        <v>66.2</v>
      </c>
      <c r="N49" s="146">
        <f>M49*(1+N$44)</f>
        <v>67.855000000000004</v>
      </c>
      <c r="O49" s="146">
        <f t="shared" ref="O49:Q49" si="13">N49*(1+O$44)</f>
        <v>69.551374999999993</v>
      </c>
      <c r="P49" s="146">
        <f t="shared" si="13"/>
        <v>71.290159374999988</v>
      </c>
      <c r="Q49" s="146">
        <f t="shared" si="13"/>
        <v>73.072413359374977</v>
      </c>
    </row>
    <row r="50" spans="2:17" s="52" customFormat="1" x14ac:dyDescent="0.25">
      <c r="B50" s="108"/>
      <c r="C50" s="108"/>
      <c r="D50" s="108" t="s">
        <v>157</v>
      </c>
      <c r="F50" s="108"/>
      <c r="G50" s="140"/>
      <c r="H50" s="140" t="s">
        <v>100</v>
      </c>
      <c r="M50" s="191">
        <f>SUM(M48:M49)</f>
        <v>292.2</v>
      </c>
      <c r="N50" s="190">
        <f t="shared" ref="N50:Q50" si="14">SUM(N48:N49)</f>
        <v>299.505</v>
      </c>
      <c r="O50" s="190">
        <f t="shared" si="14"/>
        <v>306.99262499999998</v>
      </c>
      <c r="P50" s="190">
        <f t="shared" si="14"/>
        <v>314.66744062499993</v>
      </c>
      <c r="Q50" s="190">
        <f t="shared" si="14"/>
        <v>322.53412664062489</v>
      </c>
    </row>
    <row r="51" spans="2:17" x14ac:dyDescent="0.25">
      <c r="B51" s="2"/>
      <c r="C51" s="9"/>
      <c r="D51" s="9"/>
      <c r="E51" s="50"/>
      <c r="F51" s="9"/>
      <c r="G51" s="83"/>
      <c r="H51" s="83"/>
      <c r="I51" s="50"/>
      <c r="J51" s="50"/>
      <c r="K51" s="50"/>
      <c r="L51" s="344"/>
      <c r="M51" s="50"/>
      <c r="N51" s="50"/>
      <c r="O51" s="50"/>
      <c r="P51" s="50"/>
      <c r="Q51" s="50"/>
    </row>
    <row r="52" spans="2:17" x14ac:dyDescent="0.25">
      <c r="B52" s="2"/>
      <c r="C52" s="2" t="s">
        <v>158</v>
      </c>
      <c r="D52" s="2"/>
      <c r="F52" s="2"/>
      <c r="L52" s="127"/>
    </row>
    <row r="53" spans="2:17" x14ac:dyDescent="0.25">
      <c r="B53" s="2"/>
      <c r="C53" s="2"/>
      <c r="D53" s="2" t="str">
        <f>Assumptions!D24</f>
        <v>Rent</v>
      </c>
      <c r="F53" s="2"/>
      <c r="H53" s="82" t="s">
        <v>100</v>
      </c>
      <c r="L53" s="127"/>
      <c r="M53" s="146">
        <f>M68/M$43*1000</f>
        <v>65.591157753712167</v>
      </c>
      <c r="N53" s="146">
        <f t="shared" ref="N53:Q53" si="15">N68/N$43*1000</f>
        <v>64.6451314399567</v>
      </c>
      <c r="O53" s="146">
        <f t="shared" si="15"/>
        <v>64.331320122287011</v>
      </c>
      <c r="P53" s="146">
        <f t="shared" si="15"/>
        <v>64.019032160528326</v>
      </c>
      <c r="Q53" s="146">
        <f t="shared" si="15"/>
        <v>64.332850945628948</v>
      </c>
    </row>
    <row r="54" spans="2:17" x14ac:dyDescent="0.25">
      <c r="B54" s="2"/>
      <c r="C54" s="2"/>
      <c r="D54" s="2" t="str">
        <f>Assumptions!D25</f>
        <v>Operating Labour</v>
      </c>
      <c r="F54" s="2"/>
      <c r="H54" s="82" t="s">
        <v>100</v>
      </c>
      <c r="L54" s="127"/>
      <c r="M54" s="146">
        <f t="shared" ref="M54:Q55" si="16">M69/M$43*1000</f>
        <v>121.4134196717651</v>
      </c>
      <c r="N54" s="146">
        <f t="shared" si="16"/>
        <v>119.66226458034539</v>
      </c>
      <c r="O54" s="146">
        <f t="shared" si="16"/>
        <v>119.08137980082914</v>
      </c>
      <c r="P54" s="146">
        <f t="shared" si="16"/>
        <v>118.50331485033966</v>
      </c>
      <c r="Q54" s="146">
        <f t="shared" si="16"/>
        <v>119.0842134525472</v>
      </c>
    </row>
    <row r="55" spans="2:17" x14ac:dyDescent="0.25">
      <c r="B55" s="2"/>
      <c r="C55" s="2"/>
      <c r="D55" s="2" t="str">
        <f>Assumptions!D26</f>
        <v>Other Expenses</v>
      </c>
      <c r="F55" s="2"/>
      <c r="H55" s="82" t="s">
        <v>100</v>
      </c>
      <c r="L55" s="175"/>
      <c r="M55" s="146">
        <f t="shared" si="16"/>
        <v>5.5822261918052911</v>
      </c>
      <c r="N55" s="146">
        <f t="shared" si="16"/>
        <v>5.5017133140388683</v>
      </c>
      <c r="O55" s="146">
        <f t="shared" si="16"/>
        <v>5.4750059678542131</v>
      </c>
      <c r="P55" s="146">
        <f t="shared" si="16"/>
        <v>5.4484282689811341</v>
      </c>
      <c r="Q55" s="146">
        <f t="shared" si="16"/>
        <v>5.4751362506918264</v>
      </c>
    </row>
    <row r="56" spans="2:17" s="52" customFormat="1" x14ac:dyDescent="0.25">
      <c r="B56" s="108"/>
      <c r="C56" s="108"/>
      <c r="D56" s="108" t="s">
        <v>159</v>
      </c>
      <c r="F56" s="108"/>
      <c r="G56" s="140"/>
      <c r="H56" s="140" t="s">
        <v>100</v>
      </c>
      <c r="L56" s="189"/>
      <c r="M56" s="190">
        <f>SUM(M53:M55)</f>
        <v>192.58680361728256</v>
      </c>
      <c r="N56" s="190">
        <f>SUM(N53:N55)</f>
        <v>189.80910933434097</v>
      </c>
      <c r="O56" s="190">
        <f>SUM(O53:O55)</f>
        <v>188.88770589097035</v>
      </c>
      <c r="P56" s="190">
        <f>SUM(P53:P55)</f>
        <v>187.97077527984911</v>
      </c>
      <c r="Q56" s="190">
        <f>SUM(Q53:Q55)</f>
        <v>188.89220064886797</v>
      </c>
    </row>
    <row r="57" spans="2:17" s="52" customFormat="1" x14ac:dyDescent="0.25">
      <c r="B57" s="108"/>
      <c r="C57" s="108"/>
      <c r="D57" s="108"/>
      <c r="F57" s="108"/>
      <c r="G57" s="140"/>
      <c r="H57" s="140"/>
      <c r="L57" s="189"/>
      <c r="M57" s="189"/>
      <c r="N57" s="189"/>
      <c r="O57" s="189"/>
      <c r="P57" s="189"/>
      <c r="Q57" s="189"/>
    </row>
    <row r="58" spans="2:17" s="52" customFormat="1" ht="13.8" thickBot="1" x14ac:dyDescent="0.3">
      <c r="B58" s="108"/>
      <c r="C58" s="108" t="s">
        <v>110</v>
      </c>
      <c r="D58" s="108"/>
      <c r="F58" s="108"/>
      <c r="G58" s="140"/>
      <c r="H58" s="140"/>
      <c r="L58" s="189"/>
      <c r="M58" s="192">
        <f>M56+M50</f>
        <v>484.78680361728254</v>
      </c>
      <c r="N58" s="192">
        <f t="shared" ref="N58:Q58" si="17">N56+N50</f>
        <v>489.31410933434097</v>
      </c>
      <c r="O58" s="192">
        <f t="shared" si="17"/>
        <v>495.8803308909703</v>
      </c>
      <c r="P58" s="192">
        <f t="shared" si="17"/>
        <v>502.63821590484906</v>
      </c>
      <c r="Q58" s="192">
        <f t="shared" si="17"/>
        <v>511.42632728949286</v>
      </c>
    </row>
    <row r="59" spans="2:17" ht="13.8" thickTop="1" x14ac:dyDescent="0.25">
      <c r="B59" s="2"/>
      <c r="C59" s="2"/>
      <c r="D59" s="2"/>
      <c r="F59" s="2"/>
    </row>
    <row r="61" spans="2:17" s="52" customFormat="1" x14ac:dyDescent="0.25">
      <c r="B61" s="187" t="s">
        <v>160</v>
      </c>
      <c r="C61" s="187"/>
      <c r="D61" s="187"/>
      <c r="F61" s="187"/>
      <c r="G61" s="140"/>
      <c r="H61" s="140"/>
    </row>
    <row r="62" spans="2:17" s="52" customFormat="1" x14ac:dyDescent="0.25">
      <c r="B62" s="187"/>
      <c r="C62" s="187" t="s">
        <v>156</v>
      </c>
      <c r="D62" s="187"/>
      <c r="F62" s="187"/>
      <c r="G62" s="140"/>
      <c r="H62" s="140"/>
    </row>
    <row r="63" spans="2:17" x14ac:dyDescent="0.25">
      <c r="B63" s="188"/>
      <c r="C63" s="188"/>
      <c r="D63" s="188" t="s">
        <v>24</v>
      </c>
      <c r="F63" s="188"/>
      <c r="H63" s="82" t="s">
        <v>102</v>
      </c>
      <c r="L63" s="175"/>
      <c r="M63" s="175">
        <f>M48*M$43/1000</f>
        <v>80.971280000000007</v>
      </c>
      <c r="N63" s="175">
        <f t="shared" ref="N63:Q63" si="18">N48*N$43/1000</f>
        <v>86.315384480000006</v>
      </c>
      <c r="O63" s="175">
        <f t="shared" si="18"/>
        <v>91.127467164760006</v>
      </c>
      <c r="P63" s="175">
        <f t="shared" si="18"/>
        <v>96.207823459195367</v>
      </c>
      <c r="Q63" s="175">
        <f t="shared" si="18"/>
        <v>100.58527942658876</v>
      </c>
    </row>
    <row r="64" spans="2:17" x14ac:dyDescent="0.25">
      <c r="B64" s="188"/>
      <c r="C64" s="188"/>
      <c r="D64" s="188" t="s">
        <v>25</v>
      </c>
      <c r="F64" s="188"/>
      <c r="H64" s="82" t="s">
        <v>102</v>
      </c>
      <c r="L64" s="175"/>
      <c r="M64" s="175">
        <f>M49*M$43/1000</f>
        <v>23.718136000000001</v>
      </c>
      <c r="N64" s="175">
        <f t="shared" ref="N64:Q64" si="19">N49*N$43/1000</f>
        <v>25.283532976000007</v>
      </c>
      <c r="O64" s="175">
        <f t="shared" si="19"/>
        <v>26.693089939412001</v>
      </c>
      <c r="P64" s="175">
        <f>P49*P$43/1000</f>
        <v>28.181229703534221</v>
      </c>
      <c r="Q64" s="175">
        <f t="shared" si="19"/>
        <v>29.463475655045023</v>
      </c>
    </row>
    <row r="65" spans="2:17" s="52" customFormat="1" x14ac:dyDescent="0.25">
      <c r="B65" s="187"/>
      <c r="C65" s="187"/>
      <c r="D65" s="187" t="s">
        <v>157</v>
      </c>
      <c r="F65" s="187"/>
      <c r="G65" s="140"/>
      <c r="H65" s="140" t="s">
        <v>102</v>
      </c>
      <c r="L65" s="189"/>
      <c r="M65" s="190">
        <f t="shared" ref="M65" si="20">SUM(M63:M64)</f>
        <v>104.68941600000001</v>
      </c>
      <c r="N65" s="190">
        <f t="shared" ref="N65" si="21">SUM(N63:N64)</f>
        <v>111.59891745600001</v>
      </c>
      <c r="O65" s="190">
        <f t="shared" ref="O65" si="22">SUM(O63:O64)</f>
        <v>117.82055710417201</v>
      </c>
      <c r="P65" s="190">
        <f>SUM(P63:P64)</f>
        <v>124.3890531627296</v>
      </c>
      <c r="Q65" s="190">
        <f t="shared" ref="Q65" si="23">SUM(Q63:Q64)</f>
        <v>130.04875508163377</v>
      </c>
    </row>
    <row r="66" spans="2:17" x14ac:dyDescent="0.25">
      <c r="B66" s="188"/>
      <c r="C66" s="188"/>
      <c r="D66" s="188"/>
      <c r="F66" s="188"/>
    </row>
    <row r="67" spans="2:17" s="52" customFormat="1" x14ac:dyDescent="0.25">
      <c r="B67" s="187"/>
      <c r="C67" s="187" t="s">
        <v>158</v>
      </c>
      <c r="D67" s="187"/>
      <c r="F67" s="187"/>
      <c r="G67" s="140"/>
      <c r="H67" s="140"/>
    </row>
    <row r="68" spans="2:17" x14ac:dyDescent="0.25">
      <c r="B68" s="188"/>
      <c r="C68" s="188"/>
      <c r="D68" s="188" t="s">
        <v>26</v>
      </c>
      <c r="F68" s="188"/>
      <c r="H68" s="82" t="s">
        <v>102</v>
      </c>
      <c r="M68" s="175">
        <f>Assumptions!F24</f>
        <v>23.5</v>
      </c>
      <c r="N68" s="146">
        <f>M68*(1+N$44)</f>
        <v>24.087499999999999</v>
      </c>
      <c r="O68" s="146">
        <f t="shared" ref="O68:Q68" si="24">N68*(1+O$44)</f>
        <v>24.689687499999998</v>
      </c>
      <c r="P68" s="146">
        <f t="shared" si="24"/>
        <v>25.306929687499995</v>
      </c>
      <c r="Q68" s="146">
        <f t="shared" si="24"/>
        <v>25.939602929687492</v>
      </c>
    </row>
    <row r="69" spans="2:17" x14ac:dyDescent="0.25">
      <c r="B69" s="188"/>
      <c r="C69" s="188"/>
      <c r="D69" s="188" t="s">
        <v>27</v>
      </c>
      <c r="F69" s="188"/>
      <c r="H69" s="82" t="s">
        <v>102</v>
      </c>
      <c r="M69" s="175">
        <f>Assumptions!F25</f>
        <v>43.5</v>
      </c>
      <c r="N69" s="146">
        <f>M69*(1+N$44)</f>
        <v>44.587499999999999</v>
      </c>
      <c r="O69" s="146">
        <f t="shared" ref="O69:Q69" si="25">N69*(1+O$44)</f>
        <v>45.702187499999994</v>
      </c>
      <c r="P69" s="146">
        <f t="shared" si="25"/>
        <v>46.844742187499989</v>
      </c>
      <c r="Q69" s="146">
        <f t="shared" si="25"/>
        <v>48.015860742187485</v>
      </c>
    </row>
    <row r="70" spans="2:17" x14ac:dyDescent="0.25">
      <c r="B70" s="188"/>
      <c r="C70" s="188"/>
      <c r="D70" s="188" t="s">
        <v>82</v>
      </c>
      <c r="F70" s="188"/>
      <c r="H70" s="82" t="s">
        <v>102</v>
      </c>
      <c r="M70" s="175">
        <f>Assumptions!F26</f>
        <v>2</v>
      </c>
      <c r="N70" s="146">
        <f>M70*(1+N$44)</f>
        <v>2.0499999999999998</v>
      </c>
      <c r="O70" s="146">
        <f>N70*(1+O$44)</f>
        <v>2.1012499999999998</v>
      </c>
      <c r="P70" s="146">
        <f t="shared" ref="P70" si="26">O70*(1+P$44)</f>
        <v>2.1537812499999998</v>
      </c>
      <c r="Q70" s="146">
        <f>P70*(1+Q$44)</f>
        <v>2.2076257812499995</v>
      </c>
    </row>
    <row r="71" spans="2:17" s="52" customFormat="1" x14ac:dyDescent="0.25">
      <c r="B71" s="187"/>
      <c r="C71" s="187"/>
      <c r="D71" s="187" t="s">
        <v>159</v>
      </c>
      <c r="F71" s="187"/>
      <c r="G71" s="140"/>
      <c r="H71" s="140" t="s">
        <v>102</v>
      </c>
      <c r="M71" s="190">
        <f>SUM(M68:M70)</f>
        <v>69</v>
      </c>
      <c r="N71" s="190">
        <f>SUM(N68:N70)</f>
        <v>70.724999999999994</v>
      </c>
      <c r="O71" s="190">
        <f>SUM(O68:O70)</f>
        <v>72.493124999999992</v>
      </c>
      <c r="P71" s="190">
        <f>SUM(P68:P70)</f>
        <v>74.305453124999971</v>
      </c>
      <c r="Q71" s="190">
        <f>SUM(Q68:Q70)</f>
        <v>76.163089453124982</v>
      </c>
    </row>
    <row r="73" spans="2:17" s="52" customFormat="1" ht="13.8" thickBot="1" x14ac:dyDescent="0.3">
      <c r="B73" s="108"/>
      <c r="C73" s="108" t="s">
        <v>110</v>
      </c>
      <c r="D73" s="108"/>
      <c r="F73" s="108"/>
      <c r="G73" s="140"/>
      <c r="H73" s="140" t="s">
        <v>102</v>
      </c>
      <c r="L73" s="189"/>
      <c r="M73" s="192">
        <f>M71+M65</f>
        <v>173.68941599999999</v>
      </c>
      <c r="N73" s="192">
        <f t="shared" ref="N73:Q73" si="27">N71+N65</f>
        <v>182.323917456</v>
      </c>
      <c r="O73" s="192">
        <f t="shared" si="27"/>
        <v>190.31368210417202</v>
      </c>
      <c r="P73" s="192">
        <f>P71+P65</f>
        <v>198.69450628772955</v>
      </c>
      <c r="Q73" s="192">
        <f t="shared" si="27"/>
        <v>206.21184453475877</v>
      </c>
    </row>
    <row r="74" spans="2:17" s="52" customFormat="1" ht="13.8" thickTop="1" x14ac:dyDescent="0.25">
      <c r="B74" s="108"/>
      <c r="C74" s="108"/>
      <c r="D74" s="108"/>
      <c r="F74" s="108"/>
      <c r="G74" s="140"/>
      <c r="H74" s="140"/>
      <c r="L74" s="189"/>
      <c r="M74" s="216"/>
      <c r="N74" s="216"/>
      <c r="O74" s="216"/>
      <c r="P74" s="216"/>
      <c r="Q74" s="216"/>
    </row>
    <row r="75" spans="2:17" s="52" customFormat="1" x14ac:dyDescent="0.25">
      <c r="B75" s="108"/>
      <c r="C75" s="108"/>
      <c r="D75" s="108"/>
      <c r="F75" s="108"/>
      <c r="G75" s="140"/>
      <c r="H75" s="140"/>
      <c r="L75" s="189"/>
      <c r="M75" s="216"/>
      <c r="N75" s="216"/>
      <c r="O75" s="216"/>
      <c r="P75" s="216"/>
      <c r="Q75" s="216"/>
    </row>
    <row r="76" spans="2:17" s="52" customFormat="1" x14ac:dyDescent="0.25">
      <c r="B76" s="108"/>
      <c r="C76" s="108" t="s">
        <v>41</v>
      </c>
      <c r="D76" s="108"/>
      <c r="F76" s="108"/>
      <c r="G76" s="140"/>
      <c r="H76" s="140"/>
      <c r="L76" s="189"/>
      <c r="M76" s="217">
        <f>Assumptions!F27</f>
        <v>3.9</v>
      </c>
      <c r="N76" s="216">
        <f>M76*(1+N44)</f>
        <v>3.9974999999999996</v>
      </c>
      <c r="O76" s="216">
        <f t="shared" ref="O76:Q76" si="28">N76*(1+O44)</f>
        <v>4.097437499999999</v>
      </c>
      <c r="P76" s="216">
        <f t="shared" si="28"/>
        <v>4.1998734374999982</v>
      </c>
      <c r="Q76" s="216">
        <f t="shared" si="28"/>
        <v>4.3048702734374977</v>
      </c>
    </row>
    <row r="77" spans="2:17" s="52" customFormat="1" x14ac:dyDescent="0.25">
      <c r="B77" s="108"/>
      <c r="C77" s="108"/>
      <c r="D77" s="108"/>
      <c r="F77" s="108"/>
      <c r="G77" s="140"/>
      <c r="H77" s="140"/>
      <c r="L77" s="189"/>
      <c r="M77" s="217"/>
      <c r="N77" s="216"/>
      <c r="O77" s="216"/>
      <c r="P77" s="216"/>
      <c r="Q77" s="216"/>
    </row>
    <row r="79" spans="2:17" ht="6" customHeight="1" x14ac:dyDescent="0.25">
      <c r="B79" s="50"/>
      <c r="C79" s="50"/>
      <c r="D79" s="50"/>
      <c r="E79" s="50"/>
      <c r="F79" s="50"/>
      <c r="G79" s="83"/>
      <c r="H79" s="83"/>
      <c r="I79" s="50"/>
      <c r="J79" s="50"/>
      <c r="K79" s="50"/>
      <c r="L79" s="50"/>
      <c r="M79" s="50"/>
      <c r="N79" s="50"/>
      <c r="O79" s="50"/>
      <c r="P79" s="50"/>
      <c r="Q79" s="50"/>
    </row>
    <row r="81" spans="2:19" s="10" customFormat="1" ht="13.8" x14ac:dyDescent="0.25">
      <c r="B81" s="2"/>
      <c r="C81" s="2"/>
      <c r="D81" s="2"/>
      <c r="E81" s="2"/>
      <c r="F81" s="2"/>
      <c r="G81" s="115"/>
      <c r="H81" s="115"/>
      <c r="I81" s="3"/>
      <c r="J81" s="3"/>
      <c r="K81" s="3"/>
      <c r="L81" s="3"/>
      <c r="M81" s="3"/>
      <c r="N81" s="135"/>
      <c r="O81" s="3"/>
      <c r="P81" s="3"/>
      <c r="Q81" s="136" t="str">
        <f>UPPER("currently running: "&amp;CHOOSE(Scenarios!$D$9,Scenarios!$C$16,Scenarios!$C$17,Scenarios!$C$18)&amp; " Scenario")</f>
        <v>CURRENTLY RUNNING: WORSE CASE SCENARIO</v>
      </c>
      <c r="R81" s="136"/>
      <c r="S81" s="2"/>
    </row>
    <row r="82" spans="2:19" s="10" customFormat="1" ht="22.8" x14ac:dyDescent="0.4">
      <c r="B82" s="4" t="str">
        <f>Cover!$E$14</f>
        <v>HANDERSON MANUFACTURING</v>
      </c>
      <c r="C82" s="4"/>
      <c r="D82" s="4"/>
      <c r="E82" s="4"/>
      <c r="F82" s="4"/>
      <c r="G82" s="116"/>
      <c r="H82" s="116"/>
      <c r="I82" s="4"/>
      <c r="J82" s="4"/>
      <c r="K82" s="4"/>
      <c r="L82" s="4"/>
      <c r="M82" s="4"/>
      <c r="N82" s="4"/>
      <c r="O82" s="4"/>
      <c r="P82" s="4"/>
      <c r="Q82" s="4"/>
      <c r="R82" s="4"/>
      <c r="S82" s="2"/>
    </row>
    <row r="83" spans="2:19" s="10" customFormat="1" ht="17.399999999999999" x14ac:dyDescent="0.3">
      <c r="B83" s="5" t="s">
        <v>0</v>
      </c>
      <c r="C83" s="5"/>
      <c r="D83" s="5"/>
      <c r="E83" s="5"/>
      <c r="F83" s="5"/>
      <c r="G83" s="117"/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2"/>
    </row>
    <row r="84" spans="2:19" s="10" customFormat="1" ht="3" customHeight="1" thickBot="1" x14ac:dyDescent="0.35">
      <c r="B84" s="6"/>
      <c r="C84" s="6"/>
      <c r="D84" s="6"/>
      <c r="E84" s="6"/>
      <c r="F84" s="6"/>
      <c r="G84" s="118"/>
      <c r="H84" s="118"/>
      <c r="I84" s="6"/>
      <c r="J84" s="6"/>
      <c r="K84" s="6"/>
      <c r="L84" s="6"/>
      <c r="M84" s="6"/>
      <c r="N84" s="6"/>
      <c r="O84" s="6"/>
      <c r="P84" s="6"/>
      <c r="Q84" s="6"/>
      <c r="R84" s="5"/>
      <c r="S84" s="2"/>
    </row>
    <row r="85" spans="2:19" x14ac:dyDescent="0.25">
      <c r="B85" s="7" t="s">
        <v>1</v>
      </c>
      <c r="C85" s="2"/>
      <c r="D85" s="2"/>
      <c r="E85" s="2"/>
      <c r="F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2:19" x14ac:dyDescent="0.25">
      <c r="B86" s="2"/>
      <c r="C86" s="2"/>
      <c r="D86" s="2"/>
      <c r="E86" s="2"/>
      <c r="F86" s="8"/>
      <c r="I86" s="2"/>
      <c r="J86" s="2"/>
      <c r="K86" s="2"/>
      <c r="L86" s="2"/>
      <c r="M86" s="107" t="s">
        <v>3</v>
      </c>
      <c r="N86" s="106"/>
      <c r="O86" s="106"/>
      <c r="P86" s="106"/>
      <c r="Q86" s="106"/>
      <c r="R86" s="2"/>
      <c r="S86" s="2"/>
    </row>
    <row r="87" spans="2:19" s="352" customFormat="1" x14ac:dyDescent="0.25">
      <c r="G87" s="353"/>
      <c r="H87" s="353" t="s">
        <v>5</v>
      </c>
      <c r="I87" s="353"/>
      <c r="J87" s="354">
        <f>$J$7</f>
        <v>2018</v>
      </c>
      <c r="K87" s="354">
        <f>$K$7</f>
        <v>2019</v>
      </c>
      <c r="L87" s="354">
        <f>$L$7</f>
        <v>2020</v>
      </c>
      <c r="M87" s="355">
        <f>$M$7</f>
        <v>2021</v>
      </c>
      <c r="N87" s="355">
        <f>$N$7</f>
        <v>2022</v>
      </c>
      <c r="O87" s="355">
        <f>$O$7</f>
        <v>2023</v>
      </c>
      <c r="P87" s="355">
        <f>$P$7</f>
        <v>2024</v>
      </c>
      <c r="Q87" s="355">
        <f>$Q$7</f>
        <v>2025</v>
      </c>
    </row>
    <row r="88" spans="2:19" x14ac:dyDescent="0.25">
      <c r="G88" s="140"/>
      <c r="H88" s="140"/>
      <c r="I88" s="140"/>
      <c r="J88" s="325"/>
      <c r="K88" s="325"/>
      <c r="L88" s="325"/>
      <c r="M88" s="326"/>
      <c r="N88" s="326"/>
      <c r="O88" s="326"/>
      <c r="P88" s="326"/>
      <c r="Q88" s="326"/>
    </row>
    <row r="89" spans="2:19" x14ac:dyDescent="0.25">
      <c r="B89" s="120" t="s">
        <v>10</v>
      </c>
      <c r="C89" s="121"/>
      <c r="D89" s="121"/>
      <c r="E89" s="121"/>
      <c r="F89" s="121"/>
      <c r="G89" s="327"/>
      <c r="H89" s="124" t="s">
        <v>108</v>
      </c>
      <c r="I89" s="327"/>
      <c r="J89" s="193"/>
      <c r="K89" s="193"/>
      <c r="L89" s="194">
        <f t="shared" ref="L89:Q89" si="29">L22</f>
        <v>344.5</v>
      </c>
      <c r="M89" s="194">
        <f t="shared" si="29"/>
        <v>358.28000000000003</v>
      </c>
      <c r="N89" s="194">
        <f t="shared" si="29"/>
        <v>372.61120000000005</v>
      </c>
      <c r="O89" s="194">
        <f t="shared" si="29"/>
        <v>383.78953600000006</v>
      </c>
      <c r="P89" s="194">
        <f t="shared" si="29"/>
        <v>395.30322208000007</v>
      </c>
      <c r="Q89" s="195">
        <f t="shared" si="29"/>
        <v>403.20928652160006</v>
      </c>
    </row>
    <row r="91" spans="2:19" x14ac:dyDescent="0.25">
      <c r="B91" s="52" t="s">
        <v>95</v>
      </c>
    </row>
    <row r="92" spans="2:19" x14ac:dyDescent="0.25">
      <c r="C92" s="2" t="s">
        <v>96</v>
      </c>
      <c r="E92" s="2"/>
      <c r="F92" s="108"/>
      <c r="H92" s="82" t="s">
        <v>102</v>
      </c>
      <c r="J92" s="176">
        <v>244.79999999999998</v>
      </c>
      <c r="K92" s="176">
        <v>269.3</v>
      </c>
      <c r="L92" s="176">
        <v>239.2</v>
      </c>
      <c r="M92" s="125">
        <f t="shared" ref="M92:Q93" si="30">M28</f>
        <v>275.15904000000006</v>
      </c>
      <c r="N92" s="125">
        <f t="shared" si="30"/>
        <v>259.3373952</v>
      </c>
      <c r="O92" s="125">
        <f t="shared" si="30"/>
        <v>303.96131251200001</v>
      </c>
      <c r="P92" s="125">
        <f t="shared" si="30"/>
        <v>303.59287455744004</v>
      </c>
      <c r="Q92" s="125">
        <f t="shared" si="30"/>
        <v>290.31068629555205</v>
      </c>
    </row>
    <row r="93" spans="2:19" x14ac:dyDescent="0.25">
      <c r="C93" s="2" t="s">
        <v>109</v>
      </c>
      <c r="E93" s="2"/>
      <c r="F93" s="108"/>
      <c r="H93" s="82" t="s">
        <v>102</v>
      </c>
      <c r="J93" s="177">
        <v>31.3</v>
      </c>
      <c r="K93" s="177">
        <v>32.700000000000003</v>
      </c>
      <c r="L93" s="176">
        <v>34.4</v>
      </c>
      <c r="M93" s="125">
        <f t="shared" si="30"/>
        <v>36.723699999999994</v>
      </c>
      <c r="N93" s="125">
        <f t="shared" si="30"/>
        <v>39.147464199999995</v>
      </c>
      <c r="O93" s="125">
        <f t="shared" si="30"/>
        <v>41.329935329149997</v>
      </c>
      <c r="P93" s="125">
        <f t="shared" si="30"/>
        <v>43.634079223750099</v>
      </c>
      <c r="Q93" s="125">
        <f t="shared" si="30"/>
        <v>45.619429828430732</v>
      </c>
    </row>
    <row r="94" spans="2:19" s="52" customFormat="1" x14ac:dyDescent="0.25">
      <c r="C94" s="108" t="s">
        <v>86</v>
      </c>
      <c r="E94" s="108"/>
      <c r="F94" s="108"/>
      <c r="G94" s="140"/>
      <c r="H94" s="140" t="s">
        <v>102</v>
      </c>
      <c r="J94" s="178">
        <f>J92-J93</f>
        <v>213.49999999999997</v>
      </c>
      <c r="K94" s="178">
        <f t="shared" ref="K94:Q94" si="31">K92-K93</f>
        <v>236.60000000000002</v>
      </c>
      <c r="L94" s="179">
        <f t="shared" si="31"/>
        <v>204.79999999999998</v>
      </c>
      <c r="M94" s="179">
        <f t="shared" si="31"/>
        <v>238.43534000000005</v>
      </c>
      <c r="N94" s="179">
        <f t="shared" si="31"/>
        <v>220.189931</v>
      </c>
      <c r="O94" s="179">
        <f t="shared" si="31"/>
        <v>262.63137718285003</v>
      </c>
      <c r="P94" s="179">
        <f t="shared" si="31"/>
        <v>259.95879533368992</v>
      </c>
      <c r="Q94" s="179">
        <f t="shared" si="31"/>
        <v>244.69125646712132</v>
      </c>
    </row>
    <row r="95" spans="2:19" x14ac:dyDescent="0.25">
      <c r="C95" s="2"/>
      <c r="E95" s="2"/>
      <c r="F95" s="108"/>
      <c r="J95" s="328"/>
      <c r="K95" s="328"/>
      <c r="L95" s="328"/>
      <c r="M95" s="125"/>
      <c r="N95" s="125"/>
      <c r="O95" s="125"/>
      <c r="P95" s="125"/>
      <c r="Q95" s="125"/>
    </row>
    <row r="96" spans="2:19" x14ac:dyDescent="0.25">
      <c r="C96" s="2" t="s">
        <v>87</v>
      </c>
      <c r="E96" s="2"/>
      <c r="F96" s="108"/>
      <c r="H96" s="82" t="s">
        <v>102</v>
      </c>
      <c r="J96" s="176">
        <v>159.9</v>
      </c>
      <c r="K96" s="176">
        <v>164.6</v>
      </c>
      <c r="L96" s="176">
        <v>167.9</v>
      </c>
      <c r="M96" s="125">
        <f>M73</f>
        <v>173.68941599999999</v>
      </c>
      <c r="N96" s="125">
        <f>N73</f>
        <v>182.323917456</v>
      </c>
      <c r="O96" s="125">
        <f>O73</f>
        <v>190.31368210417202</v>
      </c>
      <c r="P96" s="125">
        <f>P73</f>
        <v>198.69450628772955</v>
      </c>
      <c r="Q96" s="125">
        <f>Q73</f>
        <v>206.21184453475877</v>
      </c>
    </row>
    <row r="97" spans="3:17" x14ac:dyDescent="0.25">
      <c r="C97" s="96" t="s">
        <v>41</v>
      </c>
      <c r="E97" s="2"/>
      <c r="F97" s="108"/>
      <c r="H97" s="82" t="s">
        <v>102</v>
      </c>
      <c r="J97" s="176">
        <v>3.4</v>
      </c>
      <c r="K97" s="176">
        <v>3.6</v>
      </c>
      <c r="L97" s="176">
        <v>3.8</v>
      </c>
      <c r="M97" s="163">
        <f>M76</f>
        <v>3.9</v>
      </c>
      <c r="N97" s="163">
        <f>N76</f>
        <v>3.9974999999999996</v>
      </c>
      <c r="O97" s="163">
        <f>O76</f>
        <v>4.097437499999999</v>
      </c>
      <c r="P97" s="163">
        <f>P76</f>
        <v>4.1998734374999982</v>
      </c>
      <c r="Q97" s="163">
        <f>Q76</f>
        <v>4.3048702734374977</v>
      </c>
    </row>
    <row r="98" spans="3:17" s="52" customFormat="1" x14ac:dyDescent="0.25">
      <c r="C98" s="148" t="s">
        <v>110</v>
      </c>
      <c r="E98" s="108"/>
      <c r="F98" s="108"/>
      <c r="G98" s="140"/>
      <c r="H98" s="140" t="s">
        <v>102</v>
      </c>
      <c r="J98" s="180">
        <f t="shared" ref="J98:Q98" si="32">SUM(J96:J97)</f>
        <v>163.30000000000001</v>
      </c>
      <c r="K98" s="180">
        <f t="shared" si="32"/>
        <v>168.2</v>
      </c>
      <c r="L98" s="180">
        <f t="shared" si="32"/>
        <v>171.70000000000002</v>
      </c>
      <c r="M98" s="180">
        <f t="shared" si="32"/>
        <v>177.589416</v>
      </c>
      <c r="N98" s="180">
        <f t="shared" si="32"/>
        <v>186.32141745600001</v>
      </c>
      <c r="O98" s="180">
        <f t="shared" si="32"/>
        <v>194.41111960417203</v>
      </c>
      <c r="P98" s="180">
        <f t="shared" si="32"/>
        <v>202.89437972522956</v>
      </c>
      <c r="Q98" s="180">
        <f t="shared" si="32"/>
        <v>210.51671480819627</v>
      </c>
    </row>
    <row r="99" spans="3:17" x14ac:dyDescent="0.25">
      <c r="C99" s="148"/>
      <c r="E99" s="2"/>
      <c r="F99" s="108"/>
      <c r="J99" s="328"/>
      <c r="K99" s="328"/>
      <c r="L99" s="328"/>
      <c r="M99" s="125"/>
      <c r="N99" s="125"/>
      <c r="O99" s="125"/>
      <c r="P99" s="125"/>
      <c r="Q99" s="125"/>
    </row>
    <row r="100" spans="3:17" x14ac:dyDescent="0.25">
      <c r="C100" s="96" t="s">
        <v>62</v>
      </c>
      <c r="E100" s="2"/>
      <c r="F100" s="108"/>
      <c r="H100" s="82" t="s">
        <v>102</v>
      </c>
      <c r="J100" s="176">
        <v>0</v>
      </c>
      <c r="K100" s="176">
        <v>0</v>
      </c>
      <c r="L100" s="176">
        <v>0</v>
      </c>
      <c r="M100" s="125">
        <f>Assumptions!M47</f>
        <v>0</v>
      </c>
      <c r="N100" s="125">
        <f>Assumptions!N47</f>
        <v>0</v>
      </c>
      <c r="O100" s="125">
        <f>Assumptions!O47</f>
        <v>0</v>
      </c>
      <c r="P100" s="125">
        <f>Assumptions!P47</f>
        <v>0</v>
      </c>
      <c r="Q100" s="125">
        <f>Assumptions!Q47</f>
        <v>0</v>
      </c>
    </row>
    <row r="101" spans="3:17" s="52" customFormat="1" x14ac:dyDescent="0.25">
      <c r="C101" s="108" t="s">
        <v>111</v>
      </c>
      <c r="E101" s="108"/>
      <c r="F101" s="108"/>
      <c r="G101" s="140"/>
      <c r="H101" s="140" t="s">
        <v>102</v>
      </c>
      <c r="J101" s="181">
        <f>J94-J98+J100</f>
        <v>50.19999999999996</v>
      </c>
      <c r="K101" s="181">
        <f t="shared" ref="K101:Q101" si="33">K94-K98+K100</f>
        <v>68.400000000000034</v>
      </c>
      <c r="L101" s="181">
        <f t="shared" si="33"/>
        <v>33.099999999999966</v>
      </c>
      <c r="M101" s="181">
        <f t="shared" si="33"/>
        <v>60.845924000000053</v>
      </c>
      <c r="N101" s="181">
        <f t="shared" si="33"/>
        <v>33.868513543999995</v>
      </c>
      <c r="O101" s="181">
        <f t="shared" si="33"/>
        <v>68.220257578678002</v>
      </c>
      <c r="P101" s="181">
        <f t="shared" si="33"/>
        <v>57.064415608460365</v>
      </c>
      <c r="Q101" s="181">
        <f t="shared" si="33"/>
        <v>34.174541658925051</v>
      </c>
    </row>
    <row r="102" spans="3:17" x14ac:dyDescent="0.25">
      <c r="C102" s="2"/>
      <c r="E102" s="2"/>
      <c r="F102" s="2"/>
      <c r="J102" s="163"/>
      <c r="K102" s="163"/>
      <c r="L102" s="163"/>
      <c r="M102" s="125"/>
      <c r="N102" s="125"/>
      <c r="O102" s="125"/>
      <c r="P102" s="125"/>
      <c r="Q102" s="125"/>
    </row>
    <row r="103" spans="3:17" x14ac:dyDescent="0.25">
      <c r="C103" s="2" t="s">
        <v>112</v>
      </c>
      <c r="E103" s="2"/>
      <c r="F103" s="2"/>
      <c r="H103" s="82" t="s">
        <v>102</v>
      </c>
      <c r="J103" s="182">
        <v>15.4</v>
      </c>
      <c r="K103" s="182">
        <v>15.5</v>
      </c>
      <c r="L103" s="182">
        <v>15.8</v>
      </c>
      <c r="M103" s="125">
        <f>M228</f>
        <v>16.174666666666667</v>
      </c>
      <c r="N103" s="125">
        <f t="shared" ref="N103:Q103" si="34">N228</f>
        <v>16.729666666666667</v>
      </c>
      <c r="O103" s="125">
        <f t="shared" si="34"/>
        <v>17.309666666666669</v>
      </c>
      <c r="P103" s="125">
        <f t="shared" si="34"/>
        <v>17.893000000000001</v>
      </c>
      <c r="Q103" s="125">
        <f t="shared" si="34"/>
        <v>18.484666666666666</v>
      </c>
    </row>
    <row r="104" spans="3:17" s="52" customFormat="1" x14ac:dyDescent="0.25">
      <c r="C104" s="148" t="s">
        <v>113</v>
      </c>
      <c r="E104" s="108"/>
      <c r="F104" s="108"/>
      <c r="G104" s="140"/>
      <c r="H104" s="140" t="s">
        <v>102</v>
      </c>
      <c r="J104" s="181">
        <f>J101-J103</f>
        <v>34.799999999999962</v>
      </c>
      <c r="K104" s="181">
        <f t="shared" ref="K104:Q104" si="35">K101-K103</f>
        <v>52.900000000000034</v>
      </c>
      <c r="L104" s="181">
        <f t="shared" si="35"/>
        <v>17.299999999999965</v>
      </c>
      <c r="M104" s="181">
        <f t="shared" si="35"/>
        <v>44.671257333333386</v>
      </c>
      <c r="N104" s="181">
        <f t="shared" si="35"/>
        <v>17.138846877333329</v>
      </c>
      <c r="O104" s="181">
        <f t="shared" si="35"/>
        <v>50.91059091201133</v>
      </c>
      <c r="P104" s="181">
        <f t="shared" si="35"/>
        <v>39.171415608460364</v>
      </c>
      <c r="Q104" s="181">
        <f t="shared" si="35"/>
        <v>15.689874992258385</v>
      </c>
    </row>
    <row r="105" spans="3:17" x14ac:dyDescent="0.25">
      <c r="C105" s="148"/>
      <c r="E105" s="2"/>
      <c r="F105" s="2"/>
      <c r="J105" s="163"/>
      <c r="K105" s="163"/>
      <c r="L105" s="163"/>
      <c r="M105" s="125"/>
      <c r="N105" s="125"/>
      <c r="O105" s="125"/>
      <c r="P105" s="125"/>
      <c r="Q105" s="125"/>
    </row>
    <row r="106" spans="3:17" x14ac:dyDescent="0.25">
      <c r="C106" s="103" t="s">
        <v>114</v>
      </c>
      <c r="E106" s="2"/>
      <c r="F106" s="2"/>
      <c r="H106" s="82" t="s">
        <v>102</v>
      </c>
      <c r="J106" s="182">
        <v>15</v>
      </c>
      <c r="K106" s="182">
        <v>15</v>
      </c>
      <c r="L106" s="182">
        <v>14</v>
      </c>
      <c r="M106" s="125">
        <f>M336</f>
        <v>11.997</v>
      </c>
      <c r="N106" s="125">
        <f t="shared" ref="N106:Q106" si="36">N336</f>
        <v>10.734090735254792</v>
      </c>
      <c r="O106" s="125">
        <f>O336</f>
        <v>10.072909619767914</v>
      </c>
      <c r="P106" s="125">
        <f t="shared" si="36"/>
        <v>8.8908813289138209</v>
      </c>
      <c r="Q106" s="125">
        <f t="shared" si="36"/>
        <v>7.8507076969600815</v>
      </c>
    </row>
    <row r="107" spans="3:17" s="52" customFormat="1" x14ac:dyDescent="0.25">
      <c r="C107" s="150" t="s">
        <v>115</v>
      </c>
      <c r="E107" s="108"/>
      <c r="F107" s="108"/>
      <c r="G107" s="140"/>
      <c r="H107" s="140" t="s">
        <v>102</v>
      </c>
      <c r="J107" s="181">
        <f>J104-J106</f>
        <v>19.799999999999962</v>
      </c>
      <c r="K107" s="181">
        <f t="shared" ref="K107:Q107" si="37">K104-K106</f>
        <v>37.900000000000034</v>
      </c>
      <c r="L107" s="181">
        <f t="shared" si="37"/>
        <v>3.2999999999999652</v>
      </c>
      <c r="M107" s="181">
        <f t="shared" si="37"/>
        <v>32.674257333333387</v>
      </c>
      <c r="N107" s="181">
        <f t="shared" si="37"/>
        <v>6.4047561420785364</v>
      </c>
      <c r="O107" s="181">
        <f t="shared" si="37"/>
        <v>40.837681292243417</v>
      </c>
      <c r="P107" s="181">
        <f t="shared" si="37"/>
        <v>30.280534279546544</v>
      </c>
      <c r="Q107" s="181">
        <f t="shared" si="37"/>
        <v>7.8391672952983038</v>
      </c>
    </row>
    <row r="108" spans="3:17" x14ac:dyDescent="0.25">
      <c r="C108" s="148"/>
      <c r="E108" s="2"/>
      <c r="F108" s="2"/>
      <c r="J108" s="163"/>
      <c r="K108" s="163"/>
      <c r="L108" s="163"/>
      <c r="M108" s="125"/>
      <c r="N108" s="125"/>
      <c r="O108" s="125"/>
      <c r="P108" s="125"/>
      <c r="Q108" s="125"/>
    </row>
    <row r="109" spans="3:17" x14ac:dyDescent="0.25">
      <c r="C109" s="2" t="s">
        <v>116</v>
      </c>
      <c r="E109" s="2"/>
      <c r="F109" s="2"/>
      <c r="H109" s="82" t="s">
        <v>102</v>
      </c>
      <c r="J109" s="182">
        <v>3</v>
      </c>
      <c r="K109" s="182">
        <v>8</v>
      </c>
      <c r="L109" s="182">
        <v>0</v>
      </c>
      <c r="M109" s="125">
        <f>M287</f>
        <v>9.6859900666666849</v>
      </c>
      <c r="N109" s="125">
        <f t="shared" ref="N109:Q109" si="38">N287</f>
        <v>0.49166464972748769</v>
      </c>
      <c r="O109" s="125">
        <f t="shared" si="38"/>
        <v>12.543188452285195</v>
      </c>
      <c r="P109" s="125">
        <f t="shared" si="38"/>
        <v>8.8481869978412888</v>
      </c>
      <c r="Q109" s="125">
        <f t="shared" si="38"/>
        <v>0.99370855335440622</v>
      </c>
    </row>
    <row r="110" spans="3:17" x14ac:dyDescent="0.25">
      <c r="C110" s="2" t="s">
        <v>117</v>
      </c>
      <c r="E110" s="2"/>
      <c r="F110" s="2"/>
      <c r="H110" s="82" t="s">
        <v>102</v>
      </c>
      <c r="J110" s="182">
        <v>2.7</v>
      </c>
      <c r="K110" s="182">
        <v>6.2</v>
      </c>
      <c r="L110" s="182">
        <v>1.1000000000000001</v>
      </c>
      <c r="M110" s="125">
        <f>M288</f>
        <v>1.75</v>
      </c>
      <c r="N110" s="125">
        <f t="shared" ref="N110:Q110" si="39">N288</f>
        <v>1.7499999999999998</v>
      </c>
      <c r="O110" s="125">
        <f t="shared" si="39"/>
        <v>1.75</v>
      </c>
      <c r="P110" s="125">
        <f t="shared" si="39"/>
        <v>1.75</v>
      </c>
      <c r="Q110" s="125">
        <f t="shared" si="39"/>
        <v>1.75</v>
      </c>
    </row>
    <row r="111" spans="3:17" s="52" customFormat="1" x14ac:dyDescent="0.25">
      <c r="C111" s="108" t="s">
        <v>118</v>
      </c>
      <c r="E111" s="108"/>
      <c r="F111" s="108"/>
      <c r="G111" s="140"/>
      <c r="H111" s="140" t="s">
        <v>102</v>
      </c>
      <c r="J111" s="181">
        <f>SUM(J109:J110)</f>
        <v>5.7</v>
      </c>
      <c r="K111" s="181">
        <f t="shared" ref="K111:Q111" si="40">SUM(K109:K110)</f>
        <v>14.2</v>
      </c>
      <c r="L111" s="181">
        <f t="shared" si="40"/>
        <v>1.1000000000000001</v>
      </c>
      <c r="M111" s="181">
        <f t="shared" si="40"/>
        <v>11.435990066666685</v>
      </c>
      <c r="N111" s="181">
        <f t="shared" si="40"/>
        <v>2.2416646497274875</v>
      </c>
      <c r="O111" s="181">
        <f t="shared" si="40"/>
        <v>14.293188452285195</v>
      </c>
      <c r="P111" s="181">
        <f t="shared" si="40"/>
        <v>10.598186997841289</v>
      </c>
      <c r="Q111" s="181">
        <f t="shared" si="40"/>
        <v>2.7437085533544061</v>
      </c>
    </row>
    <row r="112" spans="3:17" x14ac:dyDescent="0.25">
      <c r="C112" s="2"/>
      <c r="E112" s="2"/>
      <c r="F112" s="2"/>
      <c r="J112" s="42"/>
      <c r="K112" s="42"/>
      <c r="L112" s="42"/>
      <c r="M112" s="109"/>
      <c r="N112" s="109"/>
      <c r="O112" s="109"/>
      <c r="P112" s="109"/>
      <c r="Q112" s="109"/>
    </row>
    <row r="113" spans="1:18" s="52" customFormat="1" ht="13.8" thickBot="1" x14ac:dyDescent="0.3">
      <c r="C113" s="151" t="s">
        <v>119</v>
      </c>
      <c r="E113" s="108"/>
      <c r="F113" s="108"/>
      <c r="G113" s="140"/>
      <c r="H113" s="140" t="s">
        <v>102</v>
      </c>
      <c r="J113" s="173">
        <f>J107-J111</f>
        <v>14.099999999999962</v>
      </c>
      <c r="K113" s="173">
        <f t="shared" ref="K113:Q113" si="41">K107-K111</f>
        <v>23.700000000000035</v>
      </c>
      <c r="L113" s="173">
        <f t="shared" si="41"/>
        <v>2.1999999999999651</v>
      </c>
      <c r="M113" s="173">
        <f t="shared" si="41"/>
        <v>21.238267266666703</v>
      </c>
      <c r="N113" s="173">
        <f t="shared" si="41"/>
        <v>4.1630914923510485</v>
      </c>
      <c r="O113" s="173">
        <f t="shared" si="41"/>
        <v>26.544492839958224</v>
      </c>
      <c r="P113" s="173">
        <f t="shared" si="41"/>
        <v>19.682347281705255</v>
      </c>
      <c r="Q113" s="173">
        <f t="shared" si="41"/>
        <v>5.0954587419438973</v>
      </c>
    </row>
    <row r="114" spans="1:18" ht="13.8" thickTop="1" x14ac:dyDescent="0.25">
      <c r="J114" s="82"/>
    </row>
    <row r="115" spans="1:18" x14ac:dyDescent="0.25">
      <c r="J115" s="82"/>
    </row>
    <row r="116" spans="1:18" x14ac:dyDescent="0.25">
      <c r="B116" s="196" t="s">
        <v>161</v>
      </c>
      <c r="C116" s="91"/>
      <c r="D116" s="91"/>
      <c r="E116" s="91"/>
      <c r="F116" s="91"/>
      <c r="G116" s="183"/>
      <c r="H116" s="183"/>
      <c r="I116" s="91"/>
      <c r="J116" s="91"/>
      <c r="K116" s="91"/>
      <c r="L116" s="91"/>
      <c r="M116" s="91"/>
      <c r="N116" s="91"/>
      <c r="O116" s="91"/>
      <c r="P116" s="91"/>
      <c r="Q116" s="197"/>
    </row>
    <row r="117" spans="1:18" x14ac:dyDescent="0.25">
      <c r="B117" s="198"/>
      <c r="C117" s="24" t="s">
        <v>162</v>
      </c>
      <c r="H117" s="82" t="s">
        <v>99</v>
      </c>
      <c r="J117" s="199">
        <f>J101/J94</f>
        <v>0.23512880562060876</v>
      </c>
      <c r="K117" s="199">
        <f t="shared" ref="K117:Q117" si="42">K101/K94</f>
        <v>0.28909551986475074</v>
      </c>
      <c r="L117" s="199">
        <f t="shared" si="42"/>
        <v>0.16162109374999983</v>
      </c>
      <c r="M117" s="199">
        <f t="shared" si="42"/>
        <v>0.25518836259759159</v>
      </c>
      <c r="N117" s="199">
        <f t="shared" si="42"/>
        <v>0.15381499685378436</v>
      </c>
      <c r="O117" s="199">
        <f t="shared" si="42"/>
        <v>0.25975669133845147</v>
      </c>
      <c r="P117" s="199">
        <f t="shared" si="42"/>
        <v>0.21951330992748672</v>
      </c>
      <c r="Q117" s="200">
        <f t="shared" si="42"/>
        <v>0.1396639265020776</v>
      </c>
    </row>
    <row r="118" spans="1:18" x14ac:dyDescent="0.25">
      <c r="B118" s="198"/>
      <c r="C118" s="24" t="s">
        <v>163</v>
      </c>
      <c r="H118" s="82" t="s">
        <v>99</v>
      </c>
      <c r="J118" s="199">
        <f>J104/J94</f>
        <v>0.16299765807962513</v>
      </c>
      <c r="K118" s="199">
        <f t="shared" ref="K118:Q118" si="43">K104/K94</f>
        <v>0.22358410819949293</v>
      </c>
      <c r="L118" s="199">
        <f t="shared" si="43"/>
        <v>8.4472656249999833E-2</v>
      </c>
      <c r="M118" s="199">
        <f t="shared" si="43"/>
        <v>0.187351662439525</v>
      </c>
      <c r="N118" s="199">
        <f t="shared" si="43"/>
        <v>7.7836651292348735E-2</v>
      </c>
      <c r="O118" s="199">
        <f t="shared" si="43"/>
        <v>0.19384809027051708</v>
      </c>
      <c r="P118" s="199">
        <f t="shared" si="43"/>
        <v>0.15068317099322956</v>
      </c>
      <c r="Q118" s="200">
        <f t="shared" si="43"/>
        <v>6.4121110082928534E-2</v>
      </c>
    </row>
    <row r="119" spans="1:18" x14ac:dyDescent="0.25">
      <c r="B119" s="57"/>
      <c r="C119" s="50" t="s">
        <v>164</v>
      </c>
      <c r="D119" s="50"/>
      <c r="E119" s="50"/>
      <c r="F119" s="50"/>
      <c r="G119" s="83"/>
      <c r="H119" s="83" t="s">
        <v>99</v>
      </c>
      <c r="I119" s="50"/>
      <c r="J119" s="201">
        <f t="shared" ref="J119:Q119" si="44">J113/J198</f>
        <v>5.8823529411764545E-2</v>
      </c>
      <c r="K119" s="201">
        <f t="shared" si="44"/>
        <v>9.1611905682257563E-2</v>
      </c>
      <c r="L119" s="201">
        <f t="shared" si="44"/>
        <v>8.5106382978722053E-3</v>
      </c>
      <c r="M119" s="201">
        <f t="shared" si="44"/>
        <v>7.7092525849382657E-2</v>
      </c>
      <c r="N119" s="201">
        <f t="shared" si="44"/>
        <v>1.4931049645622148E-2</v>
      </c>
      <c r="O119" s="201">
        <f t="shared" si="44"/>
        <v>8.8464928448837021E-2</v>
      </c>
      <c r="P119" s="201">
        <f t="shared" si="44"/>
        <v>6.2324850493657658E-2</v>
      </c>
      <c r="Q119" s="201">
        <f t="shared" si="44"/>
        <v>1.5929335527346454E-2</v>
      </c>
    </row>
    <row r="120" spans="1:18" x14ac:dyDescent="0.25">
      <c r="J120" s="199"/>
      <c r="K120" s="199"/>
      <c r="L120" s="199"/>
      <c r="M120" s="199"/>
      <c r="N120" s="199"/>
      <c r="O120" s="199"/>
      <c r="P120" s="199"/>
      <c r="Q120" s="199"/>
    </row>
    <row r="121" spans="1:18" x14ac:dyDescent="0.25">
      <c r="J121" s="199"/>
      <c r="K121" s="199"/>
      <c r="L121" s="199"/>
      <c r="M121" s="199"/>
      <c r="N121" s="199"/>
      <c r="O121" s="199"/>
      <c r="P121" s="199"/>
      <c r="Q121" s="199"/>
    </row>
    <row r="122" spans="1:18" x14ac:dyDescent="0.25">
      <c r="B122" s="91"/>
      <c r="C122" s="91"/>
      <c r="D122" s="91"/>
      <c r="E122" s="91"/>
      <c r="F122" s="91"/>
      <c r="G122" s="183"/>
      <c r="H122" s="183"/>
      <c r="I122" s="91"/>
      <c r="J122" s="91"/>
      <c r="K122" s="91"/>
      <c r="L122" s="91"/>
      <c r="M122" s="91"/>
      <c r="N122" s="91"/>
      <c r="O122" s="91"/>
      <c r="P122" s="91"/>
      <c r="Q122" s="91"/>
    </row>
    <row r="123" spans="1:18" ht="13.8" x14ac:dyDescent="0.25">
      <c r="A123" s="10"/>
      <c r="B123" s="2"/>
      <c r="C123" s="2"/>
      <c r="D123" s="2"/>
      <c r="E123" s="2"/>
      <c r="F123" s="2"/>
      <c r="G123" s="115"/>
      <c r="H123" s="115"/>
      <c r="I123" s="3"/>
      <c r="J123" s="3"/>
      <c r="K123" s="3"/>
      <c r="L123" s="3"/>
      <c r="M123" s="3"/>
      <c r="N123" s="135"/>
      <c r="O123" s="3"/>
      <c r="P123" s="3"/>
      <c r="Q123" s="136" t="str">
        <f>UPPER("currently running: "&amp;CHOOSE(Scenarios!$D$9,Scenarios!$C$16,Scenarios!$C$17,Scenarios!$C$18)&amp; " Scenario")</f>
        <v>CURRENTLY RUNNING: WORSE CASE SCENARIO</v>
      </c>
      <c r="R123" s="136"/>
    </row>
    <row r="124" spans="1:18" ht="22.8" x14ac:dyDescent="0.4">
      <c r="A124" s="10"/>
      <c r="B124" s="4" t="str">
        <f>Cover!$E$14</f>
        <v>HANDERSON MANUFACTURING</v>
      </c>
      <c r="C124" s="4"/>
      <c r="D124" s="4"/>
      <c r="E124" s="4"/>
      <c r="F124" s="4"/>
      <c r="G124" s="116"/>
      <c r="H124" s="116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ht="17.399999999999999" x14ac:dyDescent="0.3">
      <c r="A125" s="10"/>
      <c r="B125" s="5" t="s">
        <v>120</v>
      </c>
      <c r="C125" s="5"/>
      <c r="D125" s="5"/>
      <c r="E125" s="5"/>
      <c r="F125" s="5"/>
      <c r="G125" s="117"/>
      <c r="H125" s="117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ht="3" customHeight="1" thickBot="1" x14ac:dyDescent="0.35">
      <c r="A126" s="10"/>
      <c r="B126" s="6"/>
      <c r="C126" s="6"/>
      <c r="D126" s="6"/>
      <c r="E126" s="6"/>
      <c r="F126" s="6"/>
      <c r="G126" s="118"/>
      <c r="H126" s="118"/>
      <c r="I126" s="6"/>
      <c r="J126" s="6"/>
      <c r="K126" s="6"/>
      <c r="L126" s="6"/>
      <c r="M126" s="6"/>
      <c r="N126" s="6"/>
      <c r="O126" s="6"/>
      <c r="P126" s="6"/>
      <c r="Q126" s="6"/>
      <c r="R126" s="5"/>
    </row>
    <row r="127" spans="1:18" x14ac:dyDescent="0.25">
      <c r="B127" s="7" t="s">
        <v>1</v>
      </c>
      <c r="C127" s="2"/>
      <c r="D127" s="2"/>
      <c r="E127" s="2"/>
      <c r="F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25">
      <c r="B128" s="2"/>
      <c r="C128" s="2"/>
      <c r="D128" s="2"/>
      <c r="E128" s="2"/>
      <c r="F128" s="8"/>
      <c r="I128" s="2"/>
      <c r="J128" s="2"/>
      <c r="K128" s="2"/>
      <c r="L128" s="2"/>
      <c r="M128" s="107" t="s">
        <v>3</v>
      </c>
      <c r="N128" s="106"/>
      <c r="O128" s="106"/>
      <c r="P128" s="106"/>
      <c r="Q128" s="106"/>
      <c r="R128" s="2"/>
    </row>
    <row r="129" spans="2:17" s="352" customFormat="1" x14ac:dyDescent="0.25">
      <c r="G129" s="353"/>
      <c r="H129" s="353" t="s">
        <v>5</v>
      </c>
      <c r="I129" s="353"/>
      <c r="J129" s="354">
        <f>$J$7</f>
        <v>2018</v>
      </c>
      <c r="K129" s="354">
        <f>$K$7</f>
        <v>2019</v>
      </c>
      <c r="L129" s="354">
        <f>$L$7</f>
        <v>2020</v>
      </c>
      <c r="M129" s="355">
        <f>$M$7</f>
        <v>2021</v>
      </c>
      <c r="N129" s="355">
        <f>$N$7</f>
        <v>2022</v>
      </c>
      <c r="O129" s="355">
        <f>$O$7</f>
        <v>2023</v>
      </c>
      <c r="P129" s="355">
        <f>$P$7</f>
        <v>2024</v>
      </c>
      <c r="Q129" s="355">
        <f>$Q$7</f>
        <v>2025</v>
      </c>
    </row>
    <row r="130" spans="2:17" x14ac:dyDescent="0.25">
      <c r="G130" s="140"/>
      <c r="H130" s="140"/>
      <c r="I130" s="140"/>
      <c r="J130" s="325"/>
      <c r="K130" s="325"/>
      <c r="L130" s="325"/>
      <c r="M130" s="326"/>
      <c r="N130" s="326"/>
      <c r="O130" s="326"/>
      <c r="P130" s="326"/>
      <c r="Q130" s="326"/>
    </row>
    <row r="132" spans="2:17" x14ac:dyDescent="0.25">
      <c r="B132" s="108" t="s">
        <v>121</v>
      </c>
      <c r="C132" s="2"/>
      <c r="E132" s="2"/>
      <c r="F132" s="2"/>
      <c r="J132" s="2"/>
      <c r="K132" s="2"/>
      <c r="L132" s="2"/>
    </row>
    <row r="133" spans="2:17" x14ac:dyDescent="0.25">
      <c r="B133" s="2"/>
      <c r="C133" s="2" t="s">
        <v>122</v>
      </c>
      <c r="E133" s="2"/>
      <c r="F133" s="152"/>
      <c r="H133" s="82" t="s">
        <v>102</v>
      </c>
      <c r="J133" s="153">
        <v>14.099999999999962</v>
      </c>
      <c r="K133" s="153">
        <v>23.700000000000035</v>
      </c>
      <c r="L133" s="153">
        <v>2.2000000000000002</v>
      </c>
      <c r="M133" s="125">
        <f>M113</f>
        <v>21.238267266666703</v>
      </c>
      <c r="N133" s="125">
        <f>N113</f>
        <v>4.1630914923510485</v>
      </c>
      <c r="O133" s="125">
        <f>O113</f>
        <v>26.544492839958224</v>
      </c>
      <c r="P133" s="125">
        <f>P113</f>
        <v>19.682347281705255</v>
      </c>
      <c r="Q133" s="125">
        <f>Q113</f>
        <v>5.0954587419438973</v>
      </c>
    </row>
    <row r="134" spans="2:17" x14ac:dyDescent="0.25">
      <c r="B134" s="2"/>
      <c r="C134" s="2" t="s">
        <v>112</v>
      </c>
      <c r="E134" s="2"/>
      <c r="F134" s="152"/>
      <c r="H134" s="82" t="s">
        <v>102</v>
      </c>
      <c r="J134" s="153">
        <v>15.4</v>
      </c>
      <c r="K134" s="153">
        <v>15.5</v>
      </c>
      <c r="L134" s="153">
        <v>15.8</v>
      </c>
      <c r="M134" s="125">
        <f>M103</f>
        <v>16.174666666666667</v>
      </c>
      <c r="N134" s="125">
        <f>N103</f>
        <v>16.729666666666667</v>
      </c>
      <c r="O134" s="125">
        <f>O103</f>
        <v>17.309666666666669</v>
      </c>
      <c r="P134" s="125">
        <f>P103</f>
        <v>17.893000000000001</v>
      </c>
      <c r="Q134" s="125">
        <f>Q103</f>
        <v>18.484666666666666</v>
      </c>
    </row>
    <row r="135" spans="2:17" x14ac:dyDescent="0.25">
      <c r="B135" s="2"/>
      <c r="C135" s="2" t="s">
        <v>117</v>
      </c>
      <c r="E135" s="2"/>
      <c r="F135" s="152"/>
      <c r="H135" s="82" t="s">
        <v>102</v>
      </c>
      <c r="J135" s="153">
        <v>2.7</v>
      </c>
      <c r="K135" s="153">
        <v>6.2</v>
      </c>
      <c r="L135" s="153">
        <v>1.1000000000000001</v>
      </c>
      <c r="M135" s="125">
        <f>M110</f>
        <v>1.75</v>
      </c>
      <c r="N135" s="125">
        <f>N110</f>
        <v>1.7499999999999998</v>
      </c>
      <c r="O135" s="125">
        <f>O110</f>
        <v>1.75</v>
      </c>
      <c r="P135" s="125">
        <f>P110</f>
        <v>1.75</v>
      </c>
      <c r="Q135" s="125">
        <f>Q110</f>
        <v>1.75</v>
      </c>
    </row>
    <row r="136" spans="2:17" x14ac:dyDescent="0.25">
      <c r="B136" s="2"/>
      <c r="C136" s="2" t="s">
        <v>123</v>
      </c>
      <c r="E136" s="2"/>
      <c r="F136" s="110"/>
      <c r="H136" s="82" t="s">
        <v>102</v>
      </c>
      <c r="J136" s="202">
        <v>0</v>
      </c>
      <c r="K136" s="202">
        <v>0</v>
      </c>
      <c r="L136" s="97">
        <v>0</v>
      </c>
      <c r="M136" s="227">
        <f>M263</f>
        <v>1.8832072657534411</v>
      </c>
      <c r="N136" s="227">
        <f t="shared" ref="N136:Q136" si="45">N263</f>
        <v>6.5095453975671163</v>
      </c>
      <c r="O136" s="227">
        <f t="shared" si="45"/>
        <v>-3.0947894243983498</v>
      </c>
      <c r="P136" s="227">
        <f t="shared" si="45"/>
        <v>-0.5526506261352182</v>
      </c>
      <c r="Q136" s="227">
        <f t="shared" si="45"/>
        <v>3.4705768365125067</v>
      </c>
    </row>
    <row r="137" spans="2:17" s="52" customFormat="1" x14ac:dyDescent="0.25">
      <c r="B137" s="108"/>
      <c r="C137" s="148" t="s">
        <v>124</v>
      </c>
      <c r="E137" s="108"/>
      <c r="F137" s="154"/>
      <c r="G137" s="140"/>
      <c r="H137" s="140" t="s">
        <v>102</v>
      </c>
      <c r="J137" s="203">
        <f>SUM(J133:J136)</f>
        <v>32.199999999999967</v>
      </c>
      <c r="K137" s="203">
        <f t="shared" ref="K137:Q137" si="46">SUM(K133:K136)</f>
        <v>45.400000000000034</v>
      </c>
      <c r="L137" s="203">
        <f t="shared" si="46"/>
        <v>19.100000000000001</v>
      </c>
      <c r="M137" s="203">
        <f t="shared" si="46"/>
        <v>41.046141199086811</v>
      </c>
      <c r="N137" s="203">
        <f t="shared" si="46"/>
        <v>29.152303556584833</v>
      </c>
      <c r="O137" s="203">
        <f t="shared" si="46"/>
        <v>42.509370082226546</v>
      </c>
      <c r="P137" s="203">
        <f t="shared" si="46"/>
        <v>38.772696655570037</v>
      </c>
      <c r="Q137" s="203">
        <f t="shared" si="46"/>
        <v>28.80070224512307</v>
      </c>
    </row>
    <row r="138" spans="2:17" x14ac:dyDescent="0.25">
      <c r="B138" s="96"/>
      <c r="C138" s="2"/>
      <c r="E138" s="2"/>
      <c r="F138" s="2"/>
      <c r="J138" s="2"/>
      <c r="K138" s="2"/>
      <c r="L138" s="2"/>
    </row>
    <row r="139" spans="2:17" x14ac:dyDescent="0.25">
      <c r="B139" s="96"/>
      <c r="C139" s="2"/>
      <c r="E139" s="2"/>
      <c r="F139" s="2"/>
      <c r="J139" s="2"/>
      <c r="K139" s="2"/>
      <c r="L139" s="2"/>
    </row>
    <row r="140" spans="2:17" x14ac:dyDescent="0.25">
      <c r="B140" s="108" t="s">
        <v>125</v>
      </c>
      <c r="C140" s="2"/>
      <c r="E140" s="2"/>
      <c r="F140" s="2"/>
      <c r="J140" s="2"/>
      <c r="K140" s="2"/>
      <c r="L140" s="2"/>
    </row>
    <row r="141" spans="2:17" x14ac:dyDescent="0.25">
      <c r="B141" s="2"/>
      <c r="C141" s="2" t="s">
        <v>68</v>
      </c>
      <c r="E141" s="2"/>
      <c r="F141" s="2"/>
      <c r="H141" s="82" t="s">
        <v>102</v>
      </c>
      <c r="J141" s="111">
        <v>-14.1</v>
      </c>
      <c r="K141" s="111">
        <v>-15</v>
      </c>
      <c r="L141" s="111">
        <v>-15.5</v>
      </c>
      <c r="M141" s="227">
        <f>-Assumptions!M54</f>
        <v>-16</v>
      </c>
      <c r="N141" s="227">
        <f>-Assumptions!N54</f>
        <v>-17.3</v>
      </c>
      <c r="O141" s="227">
        <f>-Assumptions!O54</f>
        <v>-17.5</v>
      </c>
      <c r="P141" s="227">
        <f>-Assumptions!P54</f>
        <v>-17.5</v>
      </c>
      <c r="Q141" s="227">
        <f>-Assumptions!Q54</f>
        <v>-18</v>
      </c>
    </row>
    <row r="142" spans="2:17" x14ac:dyDescent="0.25">
      <c r="B142" s="2"/>
      <c r="C142" s="2" t="s">
        <v>28</v>
      </c>
      <c r="E142" s="2"/>
      <c r="F142" s="2"/>
      <c r="H142" s="82" t="s">
        <v>102</v>
      </c>
      <c r="J142" s="113">
        <v>-5</v>
      </c>
      <c r="K142" s="113">
        <v>4</v>
      </c>
      <c r="L142" s="113">
        <v>3</v>
      </c>
      <c r="M142" s="146">
        <f>Assumptions!M50</f>
        <v>0</v>
      </c>
      <c r="N142" s="146">
        <f>Assumptions!N50</f>
        <v>0</v>
      </c>
      <c r="O142" s="146">
        <f>Assumptions!O50</f>
        <v>0</v>
      </c>
      <c r="P142" s="146">
        <f>Assumptions!P50</f>
        <v>0</v>
      </c>
      <c r="Q142" s="146">
        <f>Assumptions!Q50</f>
        <v>0</v>
      </c>
    </row>
    <row r="143" spans="2:17" s="52" customFormat="1" x14ac:dyDescent="0.25">
      <c r="B143" s="108"/>
      <c r="C143" s="108" t="s">
        <v>126</v>
      </c>
      <c r="E143" s="108"/>
      <c r="F143" s="154"/>
      <c r="G143" s="140"/>
      <c r="H143" s="140" t="s">
        <v>102</v>
      </c>
      <c r="J143" s="273">
        <f>SUM(J141:J142)</f>
        <v>-19.100000000000001</v>
      </c>
      <c r="K143" s="273">
        <f t="shared" ref="K143:Q143" si="47">SUM(K141:K142)</f>
        <v>-11</v>
      </c>
      <c r="L143" s="273">
        <f t="shared" si="47"/>
        <v>-12.5</v>
      </c>
      <c r="M143" s="273">
        <f t="shared" si="47"/>
        <v>-16</v>
      </c>
      <c r="N143" s="273">
        <f t="shared" si="47"/>
        <v>-17.3</v>
      </c>
      <c r="O143" s="273">
        <f t="shared" si="47"/>
        <v>-17.5</v>
      </c>
      <c r="P143" s="273">
        <f t="shared" si="47"/>
        <v>-17.5</v>
      </c>
      <c r="Q143" s="273">
        <f t="shared" si="47"/>
        <v>-18</v>
      </c>
    </row>
    <row r="144" spans="2:17" x14ac:dyDescent="0.25">
      <c r="B144" s="150"/>
      <c r="C144" s="2"/>
      <c r="E144" s="2"/>
      <c r="F144" s="155"/>
      <c r="J144" s="156"/>
      <c r="K144" s="155"/>
      <c r="L144" s="156"/>
    </row>
    <row r="145" spans="1:18" x14ac:dyDescent="0.25">
      <c r="B145" s="150"/>
      <c r="C145" s="2"/>
      <c r="E145" s="2"/>
      <c r="F145" s="155"/>
      <c r="J145" s="157"/>
      <c r="K145" s="158"/>
      <c r="L145" s="157"/>
    </row>
    <row r="146" spans="1:18" x14ac:dyDescent="0.25">
      <c r="B146" s="150" t="s">
        <v>127</v>
      </c>
      <c r="C146" s="2"/>
      <c r="E146" s="2"/>
      <c r="F146" s="155"/>
      <c r="J146" s="156"/>
      <c r="K146" s="156"/>
      <c r="L146" s="156"/>
    </row>
    <row r="147" spans="1:18" x14ac:dyDescent="0.25">
      <c r="B147" s="150"/>
      <c r="C147" s="2" t="s">
        <v>128</v>
      </c>
      <c r="E147" s="2"/>
      <c r="F147" s="154"/>
      <c r="H147" s="82" t="s">
        <v>102</v>
      </c>
      <c r="J147" s="111">
        <v>0</v>
      </c>
      <c r="K147" s="111">
        <v>0</v>
      </c>
      <c r="L147" s="111">
        <v>0</v>
      </c>
      <c r="M147" s="251">
        <f>M321</f>
        <v>3.9015122542465299</v>
      </c>
      <c r="N147" s="251">
        <f t="shared" ref="N147:Q147" si="48">N321</f>
        <v>13.980314741885381</v>
      </c>
      <c r="O147" s="251">
        <f t="shared" si="48"/>
        <v>5.2995284857651033</v>
      </c>
      <c r="P147" s="251">
        <f t="shared" si="48"/>
        <v>7.6637728007710182</v>
      </c>
      <c r="Q147" s="251">
        <f t="shared" si="48"/>
        <v>15.218389503265714</v>
      </c>
    </row>
    <row r="148" spans="1:18" x14ac:dyDescent="0.25">
      <c r="B148" s="150"/>
      <c r="C148" s="2" t="s">
        <v>129</v>
      </c>
      <c r="E148" s="2"/>
      <c r="F148" s="154"/>
      <c r="H148" s="82" t="s">
        <v>102</v>
      </c>
      <c r="J148" s="111">
        <v>-25</v>
      </c>
      <c r="K148" s="111">
        <v>-25</v>
      </c>
      <c r="L148" s="111">
        <v>-25</v>
      </c>
      <c r="M148" s="227">
        <f>Assumptions!M68</f>
        <v>-25</v>
      </c>
      <c r="N148" s="227">
        <f>Assumptions!N68</f>
        <v>-25</v>
      </c>
      <c r="O148" s="227">
        <f>Assumptions!O68</f>
        <v>-25</v>
      </c>
      <c r="P148" s="227">
        <f>Assumptions!P68</f>
        <v>-25</v>
      </c>
      <c r="Q148" s="227">
        <f>Assumptions!Q68</f>
        <v>-25</v>
      </c>
    </row>
    <row r="149" spans="1:18" x14ac:dyDescent="0.25">
      <c r="B149" s="2"/>
      <c r="C149" s="2" t="s">
        <v>130</v>
      </c>
      <c r="E149" s="2"/>
      <c r="F149" s="2"/>
      <c r="H149" s="82" t="s">
        <v>102</v>
      </c>
      <c r="J149" s="111">
        <v>0</v>
      </c>
      <c r="K149" s="111">
        <v>0</v>
      </c>
      <c r="L149" s="111">
        <v>0</v>
      </c>
      <c r="M149" s="146">
        <f>M353</f>
        <v>0</v>
      </c>
      <c r="N149" s="146">
        <f t="shared" ref="N149:Q149" si="49">N353</f>
        <v>0</v>
      </c>
      <c r="O149" s="146">
        <f t="shared" si="49"/>
        <v>0</v>
      </c>
      <c r="P149" s="146">
        <f t="shared" si="49"/>
        <v>0</v>
      </c>
      <c r="Q149" s="146">
        <f t="shared" si="49"/>
        <v>0</v>
      </c>
    </row>
    <row r="150" spans="1:18" x14ac:dyDescent="0.25">
      <c r="B150" s="150"/>
      <c r="C150" s="2" t="s">
        <v>131</v>
      </c>
      <c r="E150" s="2"/>
      <c r="F150" s="159"/>
      <c r="H150" s="82" t="s">
        <v>102</v>
      </c>
      <c r="J150" s="113">
        <v>-2.8</v>
      </c>
      <c r="K150" s="113">
        <v>-4.7</v>
      </c>
      <c r="L150" s="113">
        <v>-2.4</v>
      </c>
      <c r="M150" s="227">
        <f>-M358</f>
        <v>-4.2476534533333412</v>
      </c>
      <c r="N150" s="227">
        <f t="shared" ref="N150:Q150" si="50">-N358</f>
        <v>-0.83261829847020974</v>
      </c>
      <c r="O150" s="227">
        <f t="shared" si="50"/>
        <v>-5.3088985679916449</v>
      </c>
      <c r="P150" s="227">
        <f t="shared" si="50"/>
        <v>-3.9364694563410509</v>
      </c>
      <c r="Q150" s="227">
        <f t="shared" si="50"/>
        <v>-1.0190917483887796</v>
      </c>
    </row>
    <row r="151" spans="1:18" x14ac:dyDescent="0.25">
      <c r="B151" s="150"/>
      <c r="C151" s="108" t="s">
        <v>132</v>
      </c>
      <c r="E151" s="2"/>
      <c r="F151" s="154"/>
      <c r="H151" s="140" t="s">
        <v>102</v>
      </c>
      <c r="J151" s="203">
        <f>SUM(J147:J150)</f>
        <v>-27.8</v>
      </c>
      <c r="K151" s="203">
        <f t="shared" ref="K151:Q151" si="51">SUM(K147:K150)</f>
        <v>-29.7</v>
      </c>
      <c r="L151" s="203">
        <f t="shared" si="51"/>
        <v>-27.4</v>
      </c>
      <c r="M151" s="203">
        <f t="shared" si="51"/>
        <v>-25.346141199086812</v>
      </c>
      <c r="N151" s="203">
        <f t="shared" si="51"/>
        <v>-11.852303556584829</v>
      </c>
      <c r="O151" s="203">
        <f t="shared" si="51"/>
        <v>-25.009370082226543</v>
      </c>
      <c r="P151" s="203">
        <f t="shared" si="51"/>
        <v>-21.272696655570034</v>
      </c>
      <c r="Q151" s="203">
        <f t="shared" si="51"/>
        <v>-10.800702245123066</v>
      </c>
    </row>
    <row r="152" spans="1:18" x14ac:dyDescent="0.25">
      <c r="B152" s="150"/>
      <c r="C152" s="108"/>
      <c r="E152" s="2"/>
      <c r="F152" s="154"/>
      <c r="J152" s="160"/>
      <c r="K152" s="160"/>
      <c r="L152" s="161"/>
    </row>
    <row r="153" spans="1:18" x14ac:dyDescent="0.25">
      <c r="B153" s="150"/>
      <c r="C153" s="108"/>
      <c r="E153" s="2"/>
      <c r="F153" s="154"/>
      <c r="J153" s="162"/>
      <c r="K153" s="160"/>
      <c r="L153" s="161"/>
    </row>
    <row r="154" spans="1:18" x14ac:dyDescent="0.25">
      <c r="B154" s="204" t="s">
        <v>133</v>
      </c>
      <c r="C154" s="205"/>
      <c r="D154" s="205"/>
      <c r="E154" s="18"/>
      <c r="F154" s="205"/>
      <c r="G154" s="183"/>
      <c r="H154" s="183" t="s">
        <v>102</v>
      </c>
      <c r="I154" s="91"/>
      <c r="J154" s="166">
        <f>J151+J143+J137</f>
        <v>-14.700000000000038</v>
      </c>
      <c r="K154" s="166">
        <f>K151+K143+K137</f>
        <v>4.7000000000000313</v>
      </c>
      <c r="L154" s="166">
        <f>L151+L143+L137</f>
        <v>-20.799999999999997</v>
      </c>
      <c r="M154" s="166">
        <f t="shared" ref="M154:Q154" si="52">M151+M143+M137</f>
        <v>-0.30000000000000426</v>
      </c>
      <c r="N154" s="166">
        <f>N151+N143+N137</f>
        <v>0</v>
      </c>
      <c r="O154" s="166">
        <f t="shared" si="52"/>
        <v>0</v>
      </c>
      <c r="P154" s="166">
        <f t="shared" si="52"/>
        <v>0</v>
      </c>
      <c r="Q154" s="166">
        <f t="shared" si="52"/>
        <v>0</v>
      </c>
    </row>
    <row r="155" spans="1:18" x14ac:dyDescent="0.25">
      <c r="B155" s="206" t="s">
        <v>134</v>
      </c>
      <c r="C155" s="154"/>
      <c r="D155" s="154"/>
      <c r="E155" s="2"/>
      <c r="F155" s="154"/>
      <c r="H155" s="82" t="s">
        <v>102</v>
      </c>
      <c r="J155" s="113">
        <v>31.1</v>
      </c>
      <c r="K155" s="168">
        <f>+J156</f>
        <v>16.399999999999963</v>
      </c>
      <c r="L155" s="168">
        <f>+K156</f>
        <v>21.099999999999994</v>
      </c>
      <c r="M155" s="168">
        <f>+L156</f>
        <v>0.29999999999999716</v>
      </c>
      <c r="N155" s="168">
        <f t="shared" ref="N155:Q155" si="53">+M156</f>
        <v>-7.1054273576010019E-15</v>
      </c>
      <c r="O155" s="168">
        <f t="shared" si="53"/>
        <v>-7.1054273576010019E-15</v>
      </c>
      <c r="P155" s="168">
        <f t="shared" si="53"/>
        <v>-7.1054273576010019E-15</v>
      </c>
      <c r="Q155" s="168">
        <f t="shared" si="53"/>
        <v>-7.1054273576010019E-15</v>
      </c>
    </row>
    <row r="156" spans="1:18" x14ac:dyDescent="0.25">
      <c r="B156" s="207" t="s">
        <v>135</v>
      </c>
      <c r="C156" s="208"/>
      <c r="D156" s="208"/>
      <c r="E156" s="9"/>
      <c r="F156" s="208"/>
      <c r="G156" s="83"/>
      <c r="H156" s="238" t="s">
        <v>102</v>
      </c>
      <c r="I156" s="50"/>
      <c r="J156" s="209">
        <f>J155+J154</f>
        <v>16.399999999999963</v>
      </c>
      <c r="K156" s="209">
        <f t="shared" ref="K156:Q156" si="54">K155+K154</f>
        <v>21.099999999999994</v>
      </c>
      <c r="L156" s="209">
        <f t="shared" si="54"/>
        <v>0.29999999999999716</v>
      </c>
      <c r="M156" s="209">
        <f t="shared" si="54"/>
        <v>-7.1054273576010019E-15</v>
      </c>
      <c r="N156" s="209">
        <f t="shared" si="54"/>
        <v>-7.1054273576010019E-15</v>
      </c>
      <c r="O156" s="209">
        <f t="shared" si="54"/>
        <v>-7.1054273576010019E-15</v>
      </c>
      <c r="P156" s="209">
        <f t="shared" si="54"/>
        <v>-7.1054273576010019E-15</v>
      </c>
      <c r="Q156" s="209">
        <f t="shared" si="54"/>
        <v>-7.1054273576010019E-15</v>
      </c>
    </row>
    <row r="157" spans="1:18" x14ac:dyDescent="0.25">
      <c r="B157" s="148"/>
      <c r="C157" s="154"/>
      <c r="D157" s="154"/>
      <c r="E157" s="2"/>
      <c r="F157" s="154"/>
      <c r="H157" s="140"/>
      <c r="J157" s="149"/>
      <c r="K157" s="149"/>
      <c r="L157" s="149"/>
      <c r="M157" s="149"/>
      <c r="N157" s="149"/>
      <c r="O157" s="149"/>
      <c r="P157" s="149"/>
      <c r="Q157" s="149"/>
    </row>
    <row r="158" spans="1:18" x14ac:dyDescent="0.25">
      <c r="J158" s="82"/>
      <c r="K158" s="82"/>
    </row>
    <row r="159" spans="1:18" x14ac:dyDescent="0.25">
      <c r="B159" s="91"/>
      <c r="C159" s="91"/>
      <c r="D159" s="91"/>
      <c r="E159" s="91"/>
      <c r="F159" s="91"/>
      <c r="G159" s="183"/>
      <c r="H159" s="183"/>
      <c r="I159" s="91"/>
      <c r="J159" s="91"/>
      <c r="K159" s="91"/>
      <c r="L159" s="91"/>
      <c r="M159" s="91"/>
      <c r="N159" s="91"/>
      <c r="O159" s="91"/>
      <c r="P159" s="91"/>
      <c r="Q159" s="91"/>
    </row>
    <row r="160" spans="1:18" ht="13.8" x14ac:dyDescent="0.25">
      <c r="A160" s="10"/>
      <c r="B160" s="2"/>
      <c r="C160" s="2"/>
      <c r="D160" s="2"/>
      <c r="E160" s="2"/>
      <c r="F160" s="2"/>
      <c r="G160" s="115"/>
      <c r="H160" s="115"/>
      <c r="I160" s="3"/>
      <c r="J160" s="3"/>
      <c r="K160" s="3"/>
      <c r="L160" s="3"/>
      <c r="M160" s="3"/>
      <c r="N160" s="135"/>
      <c r="O160" s="3"/>
      <c r="P160" s="3"/>
      <c r="Q160" s="136" t="str">
        <f>UPPER("currently running: "&amp;CHOOSE(Scenarios!$D$9,Scenarios!$C$16,Scenarios!$C$17,Scenarios!$C$18)&amp; " Scenario")</f>
        <v>CURRENTLY RUNNING: WORSE CASE SCENARIO</v>
      </c>
      <c r="R160" s="136"/>
    </row>
    <row r="161" spans="1:18" ht="22.8" x14ac:dyDescent="0.4">
      <c r="A161" s="10"/>
      <c r="B161" s="4" t="str">
        <f>Cover!$E$14</f>
        <v>HANDERSON MANUFACTURING</v>
      </c>
      <c r="C161" s="4"/>
      <c r="D161" s="4"/>
      <c r="E161" s="4"/>
      <c r="F161" s="4"/>
      <c r="G161" s="116"/>
      <c r="H161" s="116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 ht="17.399999999999999" x14ac:dyDescent="0.3">
      <c r="A162" s="10"/>
      <c r="B162" s="5" t="s">
        <v>166</v>
      </c>
      <c r="C162" s="5"/>
      <c r="D162" s="5"/>
      <c r="E162" s="5"/>
      <c r="F162" s="5"/>
      <c r="G162" s="117"/>
      <c r="H162" s="117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spans="1:18" ht="3" customHeight="1" thickBot="1" x14ac:dyDescent="0.35">
      <c r="A163" s="10"/>
      <c r="B163" s="6"/>
      <c r="C163" s="6"/>
      <c r="D163" s="6"/>
      <c r="E163" s="6"/>
      <c r="F163" s="6"/>
      <c r="G163" s="118"/>
      <c r="H163" s="118"/>
      <c r="I163" s="6"/>
      <c r="J163" s="6"/>
      <c r="K163" s="6"/>
      <c r="L163" s="6"/>
      <c r="M163" s="6"/>
      <c r="N163" s="6"/>
      <c r="O163" s="6"/>
      <c r="P163" s="6"/>
      <c r="Q163" s="6"/>
      <c r="R163" s="5"/>
    </row>
    <row r="164" spans="1:18" x14ac:dyDescent="0.25">
      <c r="B164" s="7" t="s">
        <v>1</v>
      </c>
      <c r="C164" s="2"/>
      <c r="D164" s="2"/>
      <c r="E164" s="2"/>
      <c r="F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25">
      <c r="B165" s="2"/>
      <c r="C165" s="2"/>
      <c r="D165" s="2"/>
      <c r="E165" s="2"/>
      <c r="F165" s="8"/>
      <c r="I165" s="2"/>
      <c r="J165" s="2"/>
      <c r="K165" s="2"/>
      <c r="L165" s="2"/>
      <c r="M165" s="107" t="s">
        <v>3</v>
      </c>
      <c r="N165" s="106"/>
      <c r="O165" s="106"/>
      <c r="P165" s="106"/>
      <c r="Q165" s="106"/>
      <c r="R165" s="2"/>
    </row>
    <row r="166" spans="1:18" s="352" customFormat="1" x14ac:dyDescent="0.25">
      <c r="G166" s="353"/>
      <c r="H166" s="353" t="s">
        <v>5</v>
      </c>
      <c r="I166" s="353"/>
      <c r="J166" s="354">
        <f>$J$7</f>
        <v>2018</v>
      </c>
      <c r="K166" s="354">
        <f>$K$7</f>
        <v>2019</v>
      </c>
      <c r="L166" s="354">
        <f>$L$7</f>
        <v>2020</v>
      </c>
      <c r="M166" s="355">
        <f>$M$7</f>
        <v>2021</v>
      </c>
      <c r="N166" s="355">
        <f>$N$7</f>
        <v>2022</v>
      </c>
      <c r="O166" s="355">
        <f>$O$7</f>
        <v>2023</v>
      </c>
      <c r="P166" s="355">
        <f>$P$7</f>
        <v>2024</v>
      </c>
      <c r="Q166" s="355">
        <f>$Q$7</f>
        <v>2025</v>
      </c>
    </row>
    <row r="167" spans="1:18" x14ac:dyDescent="0.25">
      <c r="G167" s="140"/>
      <c r="H167" s="140"/>
      <c r="I167" s="140"/>
      <c r="J167" s="325"/>
      <c r="K167" s="325"/>
      <c r="L167" s="325"/>
      <c r="M167" s="326"/>
      <c r="N167" s="326"/>
      <c r="O167" s="326"/>
      <c r="P167" s="326"/>
      <c r="Q167" s="326"/>
    </row>
    <row r="169" spans="1:18" x14ac:dyDescent="0.25">
      <c r="B169" s="108" t="s">
        <v>136</v>
      </c>
      <c r="C169" s="2"/>
      <c r="F169" s="2"/>
      <c r="G169" s="2"/>
      <c r="H169" s="2"/>
      <c r="I169" s="2"/>
      <c r="J169" s="163"/>
      <c r="K169" s="2"/>
    </row>
    <row r="170" spans="1:18" x14ac:dyDescent="0.25">
      <c r="B170" s="2"/>
      <c r="C170" s="2" t="s">
        <v>72</v>
      </c>
      <c r="F170" s="2"/>
      <c r="G170" s="164"/>
      <c r="H170" s="82" t="s">
        <v>102</v>
      </c>
      <c r="J170" s="111">
        <v>16.399999999999963</v>
      </c>
      <c r="K170" s="111">
        <v>21.099999999999994</v>
      </c>
      <c r="L170" s="111">
        <v>0.3</v>
      </c>
      <c r="M170" s="254">
        <f>M156</f>
        <v>-7.1054273576010019E-15</v>
      </c>
      <c r="N170" s="254">
        <f>N156</f>
        <v>-7.1054273576010019E-15</v>
      </c>
      <c r="O170" s="254">
        <f>O156</f>
        <v>-7.1054273576010019E-15</v>
      </c>
      <c r="P170" s="254">
        <f>P156</f>
        <v>-7.1054273576010019E-15</v>
      </c>
      <c r="Q170" s="254">
        <f>Q156</f>
        <v>-7.1054273576010019E-15</v>
      </c>
    </row>
    <row r="171" spans="1:18" x14ac:dyDescent="0.25">
      <c r="B171" s="2"/>
      <c r="C171" s="2" t="s">
        <v>73</v>
      </c>
      <c r="F171" s="2"/>
      <c r="G171" s="110"/>
      <c r="H171" s="82" t="s">
        <v>102</v>
      </c>
      <c r="J171" s="111">
        <v>27</v>
      </c>
      <c r="K171" s="111">
        <v>27.8</v>
      </c>
      <c r="L171" s="111">
        <v>28.3</v>
      </c>
      <c r="M171" s="125">
        <f>M255</f>
        <v>29.396137808219184</v>
      </c>
      <c r="N171" s="125">
        <f t="shared" ref="N171:Q171" si="55">N255</f>
        <v>24.130403397260274</v>
      </c>
      <c r="O171" s="125">
        <f t="shared" si="55"/>
        <v>28.781520787161647</v>
      </c>
      <c r="P171" s="125">
        <f t="shared" si="55"/>
        <v>28.410797304228407</v>
      </c>
      <c r="Q171" s="125">
        <f t="shared" si="55"/>
        <v>26.815480160780417</v>
      </c>
    </row>
    <row r="172" spans="1:18" x14ac:dyDescent="0.25">
      <c r="B172" s="2"/>
      <c r="C172" s="2" t="s">
        <v>74</v>
      </c>
      <c r="F172" s="2"/>
      <c r="G172" s="110"/>
      <c r="H172" s="82" t="s">
        <v>102</v>
      </c>
      <c r="J172" s="111">
        <v>36.5</v>
      </c>
      <c r="K172" s="111">
        <v>36.1</v>
      </c>
      <c r="L172" s="111">
        <v>35.1</v>
      </c>
      <c r="M172" s="125">
        <f t="shared" ref="M172:Q174" si="56">M256</f>
        <v>33.310298958904106</v>
      </c>
      <c r="N172" s="125">
        <f t="shared" si="56"/>
        <v>32.468642834630138</v>
      </c>
      <c r="O172" s="125">
        <f t="shared" si="56"/>
        <v>31.284440893836496</v>
      </c>
      <c r="P172" s="125">
        <f t="shared" si="56"/>
        <v>32.572869883234354</v>
      </c>
      <c r="Q172" s="125">
        <f t="shared" si="56"/>
        <v>31.073017669621184</v>
      </c>
    </row>
    <row r="173" spans="1:18" x14ac:dyDescent="0.25">
      <c r="B173" s="2"/>
      <c r="C173" s="2" t="s">
        <v>75</v>
      </c>
      <c r="F173" s="2"/>
      <c r="G173" s="110"/>
      <c r="H173" s="82" t="s">
        <v>102</v>
      </c>
      <c r="J173" s="111">
        <v>14.6</v>
      </c>
      <c r="K173" s="111">
        <v>14.4</v>
      </c>
      <c r="L173" s="111">
        <v>14.9</v>
      </c>
      <c r="M173" s="125">
        <f t="shared" si="56"/>
        <v>14.275842410958903</v>
      </c>
      <c r="N173" s="125">
        <f t="shared" si="56"/>
        <v>14.985527462136986</v>
      </c>
      <c r="O173" s="125">
        <f t="shared" si="56"/>
        <v>15.642220446918246</v>
      </c>
      <c r="P173" s="125">
        <f t="shared" si="56"/>
        <v>16.286434941617177</v>
      </c>
      <c r="Q173" s="125">
        <f t="shared" si="56"/>
        <v>16.94891872888428</v>
      </c>
    </row>
    <row r="174" spans="1:18" x14ac:dyDescent="0.25">
      <c r="B174" s="2"/>
      <c r="C174" s="103" t="s">
        <v>28</v>
      </c>
      <c r="F174" s="2"/>
      <c r="G174" s="110"/>
      <c r="H174" s="82" t="s">
        <v>102</v>
      </c>
      <c r="J174" s="113">
        <v>1.4</v>
      </c>
      <c r="K174" s="113">
        <v>1.8</v>
      </c>
      <c r="L174" s="113">
        <v>1.2</v>
      </c>
      <c r="M174" s="125">
        <f t="shared" si="56"/>
        <v>1.4275842410958903</v>
      </c>
      <c r="N174" s="125">
        <f t="shared" si="56"/>
        <v>1.4985527462136985</v>
      </c>
      <c r="O174" s="125">
        <f t="shared" si="56"/>
        <v>1.5642220446918247</v>
      </c>
      <c r="P174" s="125">
        <f t="shared" si="56"/>
        <v>1.6286434941617178</v>
      </c>
      <c r="Q174" s="125">
        <f t="shared" si="56"/>
        <v>1.6948918728884281</v>
      </c>
    </row>
    <row r="175" spans="1:18" s="52" customFormat="1" x14ac:dyDescent="0.25">
      <c r="B175" s="108"/>
      <c r="C175" s="148" t="s">
        <v>137</v>
      </c>
      <c r="F175" s="108"/>
      <c r="G175" s="154"/>
      <c r="H175" s="140" t="s">
        <v>102</v>
      </c>
      <c r="J175" s="211">
        <f>SUM(J170:J174)</f>
        <v>95.899999999999963</v>
      </c>
      <c r="K175" s="211">
        <f t="shared" ref="K175:Q175" si="57">SUM(K170:K174)</f>
        <v>101.2</v>
      </c>
      <c r="L175" s="211">
        <f t="shared" si="57"/>
        <v>79.800000000000011</v>
      </c>
      <c r="M175" s="211">
        <f t="shared" si="57"/>
        <v>78.409863419178066</v>
      </c>
      <c r="N175" s="211">
        <f t="shared" si="57"/>
        <v>73.083126440241102</v>
      </c>
      <c r="O175" s="211">
        <f t="shared" si="57"/>
        <v>77.272404172608219</v>
      </c>
      <c r="P175" s="211">
        <f t="shared" si="57"/>
        <v>78.898745623241652</v>
      </c>
      <c r="Q175" s="211">
        <f t="shared" si="57"/>
        <v>76.532308432174304</v>
      </c>
    </row>
    <row r="176" spans="1:18" x14ac:dyDescent="0.25">
      <c r="B176" s="2"/>
      <c r="C176" s="2"/>
      <c r="F176" s="2"/>
      <c r="G176" s="152"/>
      <c r="J176" s="165"/>
      <c r="K176" s="152"/>
      <c r="L176" s="152"/>
    </row>
    <row r="177" spans="2:17" x14ac:dyDescent="0.25">
      <c r="B177" s="2"/>
      <c r="C177" s="2" t="s">
        <v>138</v>
      </c>
      <c r="F177" s="2"/>
      <c r="G177" s="110"/>
      <c r="H177" s="82" t="s">
        <v>102</v>
      </c>
      <c r="J177" s="111">
        <v>398.5</v>
      </c>
      <c r="K177" s="111">
        <v>398</v>
      </c>
      <c r="L177" s="111">
        <v>397.7</v>
      </c>
      <c r="M177" s="125">
        <f>L177-M134-M141</f>
        <v>397.52533333333332</v>
      </c>
      <c r="N177" s="125">
        <f>M177-N134-N141</f>
        <v>398.09566666666666</v>
      </c>
      <c r="O177" s="125">
        <f>N177-O134-O141</f>
        <v>398.286</v>
      </c>
      <c r="P177" s="125">
        <f>O177-P134-P141</f>
        <v>397.89300000000003</v>
      </c>
      <c r="Q177" s="125">
        <f>P177-Q134-Q141</f>
        <v>397.40833333333336</v>
      </c>
    </row>
    <row r="178" spans="2:17" x14ac:dyDescent="0.25">
      <c r="B178" s="2"/>
      <c r="C178" s="103" t="s">
        <v>28</v>
      </c>
      <c r="F178" s="2"/>
      <c r="G178" s="164"/>
      <c r="H178" s="82" t="s">
        <v>102</v>
      </c>
      <c r="J178" s="111">
        <v>19</v>
      </c>
      <c r="K178" s="111">
        <v>15</v>
      </c>
      <c r="L178" s="111">
        <v>12</v>
      </c>
      <c r="M178" s="125">
        <f>L178+Assumptions!M50</f>
        <v>12</v>
      </c>
      <c r="N178" s="125">
        <f>M178+Assumptions!N50</f>
        <v>12</v>
      </c>
      <c r="O178" s="125">
        <f>N178+Assumptions!O50</f>
        <v>12</v>
      </c>
      <c r="P178" s="125">
        <f>O178+Assumptions!P50</f>
        <v>12</v>
      </c>
      <c r="Q178" s="125">
        <f>P178+Assumptions!Q50</f>
        <v>12</v>
      </c>
    </row>
    <row r="179" spans="2:17" s="52" customFormat="1" x14ac:dyDescent="0.25">
      <c r="B179" s="108"/>
      <c r="C179" s="150" t="s">
        <v>139</v>
      </c>
      <c r="F179" s="108"/>
      <c r="G179" s="210"/>
      <c r="H179" s="140" t="s">
        <v>102</v>
      </c>
      <c r="J179" s="211">
        <f>SUM(J177:J178)</f>
        <v>417.5</v>
      </c>
      <c r="K179" s="211">
        <f t="shared" ref="K179:Q179" si="58">SUM(K177:K178)</f>
        <v>413</v>
      </c>
      <c r="L179" s="211">
        <f t="shared" si="58"/>
        <v>409.7</v>
      </c>
      <c r="M179" s="211">
        <f t="shared" si="58"/>
        <v>409.52533333333332</v>
      </c>
      <c r="N179" s="211">
        <f t="shared" si="58"/>
        <v>410.09566666666666</v>
      </c>
      <c r="O179" s="211">
        <f t="shared" si="58"/>
        <v>410.286</v>
      </c>
      <c r="P179" s="211">
        <f t="shared" si="58"/>
        <v>409.89300000000003</v>
      </c>
      <c r="Q179" s="211">
        <f t="shared" si="58"/>
        <v>409.40833333333336</v>
      </c>
    </row>
    <row r="180" spans="2:17" x14ac:dyDescent="0.25">
      <c r="B180" s="2"/>
      <c r="C180" s="103"/>
      <c r="F180" s="2"/>
      <c r="G180" s="152"/>
      <c r="J180" s="165"/>
      <c r="K180" s="152"/>
      <c r="L180" s="152"/>
    </row>
    <row r="181" spans="2:17" s="52" customFormat="1" ht="13.8" thickBot="1" x14ac:dyDescent="0.3">
      <c r="B181" s="108"/>
      <c r="C181" s="108" t="s">
        <v>140</v>
      </c>
      <c r="F181" s="108"/>
      <c r="G181" s="154"/>
      <c r="H181" s="140" t="s">
        <v>102</v>
      </c>
      <c r="J181" s="167">
        <f>J175+J179</f>
        <v>513.4</v>
      </c>
      <c r="K181" s="167">
        <f t="shared" ref="K181:Q181" si="59">K175+K179</f>
        <v>514.20000000000005</v>
      </c>
      <c r="L181" s="167">
        <f t="shared" si="59"/>
        <v>489.5</v>
      </c>
      <c r="M181" s="167">
        <f t="shared" si="59"/>
        <v>487.93519675251139</v>
      </c>
      <c r="N181" s="167">
        <f t="shared" si="59"/>
        <v>483.17879310690773</v>
      </c>
      <c r="O181" s="167">
        <f t="shared" si="59"/>
        <v>487.55840417260822</v>
      </c>
      <c r="P181" s="167">
        <f t="shared" si="59"/>
        <v>488.7917456232417</v>
      </c>
      <c r="Q181" s="167">
        <f t="shared" si="59"/>
        <v>485.94064176550768</v>
      </c>
    </row>
    <row r="182" spans="2:17" ht="13.8" thickTop="1" x14ac:dyDescent="0.25">
      <c r="B182" s="2"/>
      <c r="C182" s="2"/>
      <c r="F182" s="2"/>
      <c r="G182" s="152"/>
      <c r="H182" s="152"/>
      <c r="I182" s="152"/>
      <c r="J182" s="152"/>
      <c r="K182" s="2"/>
    </row>
    <row r="183" spans="2:17" x14ac:dyDescent="0.25">
      <c r="B183" s="2"/>
      <c r="C183" s="2"/>
      <c r="F183" s="2"/>
      <c r="G183" s="152"/>
      <c r="H183" s="152"/>
      <c r="I183" s="152"/>
      <c r="J183" s="152"/>
      <c r="K183" s="2"/>
    </row>
    <row r="184" spans="2:17" x14ac:dyDescent="0.25">
      <c r="B184" s="148" t="s">
        <v>141</v>
      </c>
      <c r="C184" s="2"/>
      <c r="F184" s="2"/>
      <c r="G184" s="152"/>
      <c r="H184" s="152"/>
      <c r="I184" s="152"/>
      <c r="J184" s="152"/>
      <c r="K184" s="2"/>
    </row>
    <row r="185" spans="2:17" x14ac:dyDescent="0.25">
      <c r="B185" s="2"/>
      <c r="C185" s="103" t="s">
        <v>142</v>
      </c>
      <c r="F185" s="2"/>
      <c r="G185" s="110"/>
      <c r="H185" s="82" t="s">
        <v>102</v>
      </c>
      <c r="J185" s="111">
        <v>0</v>
      </c>
      <c r="K185" s="111">
        <v>0</v>
      </c>
      <c r="L185" s="111">
        <v>0</v>
      </c>
      <c r="M185" s="251">
        <f>M322</f>
        <v>3.9015122542465299</v>
      </c>
      <c r="N185" s="251">
        <f t="shared" ref="N185:Q185" si="60">N322</f>
        <v>17.881826996131913</v>
      </c>
      <c r="O185" s="251">
        <f t="shared" si="60"/>
        <v>23.181355481897015</v>
      </c>
      <c r="P185" s="251">
        <f t="shared" si="60"/>
        <v>30.845128282668032</v>
      </c>
      <c r="Q185" s="251">
        <f t="shared" si="60"/>
        <v>46.063517785933747</v>
      </c>
    </row>
    <row r="186" spans="2:17" x14ac:dyDescent="0.25">
      <c r="B186" s="2"/>
      <c r="C186" s="103" t="s">
        <v>76</v>
      </c>
      <c r="F186" s="2"/>
      <c r="G186" s="110"/>
      <c r="H186" s="82" t="s">
        <v>102</v>
      </c>
      <c r="J186" s="114">
        <v>18.299999999999997</v>
      </c>
      <c r="K186" s="114">
        <v>18.700000000000003</v>
      </c>
      <c r="L186" s="114">
        <v>18.2</v>
      </c>
      <c r="M186" s="125">
        <f>M259</f>
        <v>19.034456547945204</v>
      </c>
      <c r="N186" s="125">
        <f t="shared" ref="N186:Q186" si="61">N259</f>
        <v>19.980703282849316</v>
      </c>
      <c r="O186" s="125">
        <f t="shared" si="61"/>
        <v>20.856293929224329</v>
      </c>
      <c r="P186" s="125">
        <f t="shared" si="61"/>
        <v>21.7152465888229</v>
      </c>
      <c r="Q186" s="125">
        <f t="shared" si="61"/>
        <v>22.598558305179044</v>
      </c>
    </row>
    <row r="187" spans="2:17" x14ac:dyDescent="0.25">
      <c r="B187" s="2"/>
      <c r="C187" s="103" t="s">
        <v>28</v>
      </c>
      <c r="F187" s="2"/>
      <c r="G187" s="110"/>
      <c r="H187" s="82" t="s">
        <v>102</v>
      </c>
      <c r="J187" s="113">
        <v>4.7</v>
      </c>
      <c r="K187" s="113">
        <v>4.9000000000000004</v>
      </c>
      <c r="L187" s="113">
        <v>4.8</v>
      </c>
      <c r="M187" s="125">
        <f>M260</f>
        <v>4.7586141369863011</v>
      </c>
      <c r="N187" s="125">
        <f t="shared" ref="N187:Q187" si="62">N260</f>
        <v>4.9951758207123289</v>
      </c>
      <c r="O187" s="125">
        <f t="shared" si="62"/>
        <v>5.2140734823060821</v>
      </c>
      <c r="P187" s="125">
        <f t="shared" si="62"/>
        <v>5.4288116472057251</v>
      </c>
      <c r="Q187" s="125">
        <f t="shared" si="62"/>
        <v>5.6496395762947609</v>
      </c>
    </row>
    <row r="188" spans="2:17" s="52" customFormat="1" x14ac:dyDescent="0.25">
      <c r="B188" s="108"/>
      <c r="C188" s="148" t="s">
        <v>143</v>
      </c>
      <c r="F188" s="108"/>
      <c r="G188" s="154"/>
      <c r="H188" s="140" t="s">
        <v>102</v>
      </c>
      <c r="J188" s="211">
        <f t="shared" ref="J188:Q188" si="63">SUM(J185:J187)</f>
        <v>22.999999999999996</v>
      </c>
      <c r="K188" s="211">
        <f t="shared" si="63"/>
        <v>23.6</v>
      </c>
      <c r="L188" s="211">
        <f t="shared" si="63"/>
        <v>23</v>
      </c>
      <c r="M188" s="211">
        <f t="shared" si="63"/>
        <v>27.694582939178034</v>
      </c>
      <c r="N188" s="211">
        <f t="shared" si="63"/>
        <v>42.857706099693551</v>
      </c>
      <c r="O188" s="211">
        <f t="shared" si="63"/>
        <v>49.251722893427427</v>
      </c>
      <c r="P188" s="211">
        <f t="shared" si="63"/>
        <v>57.989186518696663</v>
      </c>
      <c r="Q188" s="211">
        <f t="shared" si="63"/>
        <v>74.311715667407555</v>
      </c>
    </row>
    <row r="189" spans="2:17" x14ac:dyDescent="0.25">
      <c r="B189" s="2"/>
      <c r="C189" s="2"/>
      <c r="F189" s="2"/>
      <c r="G189" s="152"/>
      <c r="J189" s="165"/>
      <c r="K189" s="165"/>
      <c r="L189" s="165"/>
    </row>
    <row r="190" spans="2:17" x14ac:dyDescent="0.25">
      <c r="B190" s="2"/>
      <c r="C190" s="2" t="s">
        <v>117</v>
      </c>
      <c r="F190" s="2"/>
      <c r="G190" s="169"/>
      <c r="H190" s="82" t="s">
        <v>102</v>
      </c>
      <c r="J190" s="113">
        <v>0.70000000000000018</v>
      </c>
      <c r="K190" s="113">
        <v>6.9</v>
      </c>
      <c r="L190" s="113">
        <v>8</v>
      </c>
      <c r="M190" s="125">
        <f>L190+M110</f>
        <v>9.75</v>
      </c>
      <c r="N190" s="125">
        <f>M190+N110</f>
        <v>11.5</v>
      </c>
      <c r="O190" s="125">
        <f>N190+O110</f>
        <v>13.25</v>
      </c>
      <c r="P190" s="125">
        <f>O190+P110</f>
        <v>15</v>
      </c>
      <c r="Q190" s="125">
        <f>P190+Q110</f>
        <v>16.75</v>
      </c>
    </row>
    <row r="191" spans="2:17" x14ac:dyDescent="0.25">
      <c r="B191" s="2"/>
      <c r="C191" s="2" t="s">
        <v>144</v>
      </c>
      <c r="F191" s="2"/>
      <c r="G191" s="169"/>
      <c r="H191" s="82" t="s">
        <v>102</v>
      </c>
      <c r="J191" s="113">
        <v>250</v>
      </c>
      <c r="K191" s="113">
        <v>225</v>
      </c>
      <c r="L191" s="113">
        <v>200</v>
      </c>
      <c r="M191" s="125">
        <f>M331</f>
        <v>175</v>
      </c>
      <c r="N191" s="125">
        <f t="shared" ref="N191:Q191" si="64">N331</f>
        <v>150</v>
      </c>
      <c r="O191" s="125">
        <f t="shared" si="64"/>
        <v>125</v>
      </c>
      <c r="P191" s="125">
        <f t="shared" si="64"/>
        <v>100</v>
      </c>
      <c r="Q191" s="125">
        <f t="shared" si="64"/>
        <v>75</v>
      </c>
    </row>
    <row r="192" spans="2:17" s="52" customFormat="1" x14ac:dyDescent="0.25">
      <c r="B192" s="108"/>
      <c r="C192" s="150" t="s">
        <v>145</v>
      </c>
      <c r="F192" s="108"/>
      <c r="G192" s="210"/>
      <c r="H192" s="140" t="s">
        <v>102</v>
      </c>
      <c r="J192" s="211">
        <f>SUM(J190:J191)</f>
        <v>250.7</v>
      </c>
      <c r="K192" s="211">
        <f t="shared" ref="K192:Q192" si="65">SUM(K190:K191)</f>
        <v>231.9</v>
      </c>
      <c r="L192" s="211">
        <f t="shared" si="65"/>
        <v>208</v>
      </c>
      <c r="M192" s="211">
        <f t="shared" si="65"/>
        <v>184.75</v>
      </c>
      <c r="N192" s="211">
        <f t="shared" si="65"/>
        <v>161.5</v>
      </c>
      <c r="O192" s="211">
        <f t="shared" si="65"/>
        <v>138.25</v>
      </c>
      <c r="P192" s="211">
        <f t="shared" si="65"/>
        <v>115</v>
      </c>
      <c r="Q192" s="211">
        <f t="shared" si="65"/>
        <v>91.75</v>
      </c>
    </row>
    <row r="193" spans="1:18" x14ac:dyDescent="0.25">
      <c r="B193" s="2"/>
      <c r="C193" s="148"/>
      <c r="F193" s="2"/>
      <c r="G193" s="152"/>
      <c r="J193" s="165"/>
      <c r="K193" s="165"/>
      <c r="L193" s="165"/>
    </row>
    <row r="194" spans="1:18" s="52" customFormat="1" ht="13.8" thickBot="1" x14ac:dyDescent="0.3">
      <c r="B194" s="108"/>
      <c r="C194" s="150" t="s">
        <v>146</v>
      </c>
      <c r="F194" s="108"/>
      <c r="G194" s="154"/>
      <c r="H194" s="140" t="s">
        <v>102</v>
      </c>
      <c r="J194" s="212">
        <f>J192+J188</f>
        <v>273.7</v>
      </c>
      <c r="K194" s="212">
        <f t="shared" ref="K194:Q194" si="66">K192+K188</f>
        <v>255.5</v>
      </c>
      <c r="L194" s="212">
        <f t="shared" si="66"/>
        <v>231</v>
      </c>
      <c r="M194" s="212">
        <f t="shared" si="66"/>
        <v>212.44458293917802</v>
      </c>
      <c r="N194" s="212">
        <f t="shared" si="66"/>
        <v>204.35770609969356</v>
      </c>
      <c r="O194" s="212">
        <f t="shared" si="66"/>
        <v>187.50172289342743</v>
      </c>
      <c r="P194" s="212">
        <f t="shared" si="66"/>
        <v>172.98918651869667</v>
      </c>
      <c r="Q194" s="212">
        <f t="shared" si="66"/>
        <v>166.06171566740755</v>
      </c>
    </row>
    <row r="195" spans="1:18" ht="13.8" thickTop="1" x14ac:dyDescent="0.25">
      <c r="B195" s="2"/>
      <c r="C195" s="2"/>
      <c r="F195" s="2"/>
      <c r="G195" s="152"/>
      <c r="J195" s="165"/>
      <c r="K195" s="170"/>
      <c r="L195" s="170"/>
    </row>
    <row r="196" spans="1:18" x14ac:dyDescent="0.25">
      <c r="B196" s="2"/>
      <c r="C196" s="2" t="s">
        <v>147</v>
      </c>
      <c r="F196" s="2"/>
      <c r="G196" s="155"/>
      <c r="H196" s="82" t="s">
        <v>102</v>
      </c>
      <c r="J196" s="111">
        <v>120</v>
      </c>
      <c r="K196" s="111">
        <v>120</v>
      </c>
      <c r="L196" s="111">
        <v>120</v>
      </c>
      <c r="M196" s="125">
        <f>M354</f>
        <v>120</v>
      </c>
      <c r="N196" s="125">
        <f t="shared" ref="N196:Q196" si="67">N354</f>
        <v>120</v>
      </c>
      <c r="O196" s="125">
        <f t="shared" si="67"/>
        <v>120</v>
      </c>
      <c r="P196" s="125">
        <f t="shared" si="67"/>
        <v>120</v>
      </c>
      <c r="Q196" s="125">
        <f t="shared" si="67"/>
        <v>120</v>
      </c>
    </row>
    <row r="197" spans="1:18" x14ac:dyDescent="0.25">
      <c r="B197" s="2"/>
      <c r="C197" s="2" t="s">
        <v>148</v>
      </c>
      <c r="F197" s="171"/>
      <c r="G197" s="156"/>
      <c r="H197" s="82" t="s">
        <v>102</v>
      </c>
      <c r="J197" s="112">
        <v>119.70000000000002</v>
      </c>
      <c r="K197" s="113">
        <v>138.70000000000007</v>
      </c>
      <c r="L197" s="113">
        <v>138.50000000000003</v>
      </c>
      <c r="M197" s="125">
        <f>M364</f>
        <v>155.4906138133334</v>
      </c>
      <c r="N197" s="125">
        <f t="shared" ref="N197:Q197" si="68">N364</f>
        <v>158.82108700721423</v>
      </c>
      <c r="O197" s="125">
        <f t="shared" si="68"/>
        <v>180.05668127918082</v>
      </c>
      <c r="P197" s="125">
        <f t="shared" si="68"/>
        <v>195.80255910454503</v>
      </c>
      <c r="Q197" s="125">
        <f t="shared" si="68"/>
        <v>199.87892609810015</v>
      </c>
    </row>
    <row r="198" spans="1:18" s="52" customFormat="1" x14ac:dyDescent="0.25">
      <c r="B198" s="108"/>
      <c r="C198" s="148" t="s">
        <v>149</v>
      </c>
      <c r="F198" s="108"/>
      <c r="G198" s="210"/>
      <c r="H198" s="140" t="s">
        <v>102</v>
      </c>
      <c r="J198" s="211">
        <f>SUM(J196:J197)</f>
        <v>239.70000000000002</v>
      </c>
      <c r="K198" s="211">
        <f t="shared" ref="K198:Q198" si="69">SUM(K196:K197)</f>
        <v>258.70000000000005</v>
      </c>
      <c r="L198" s="211">
        <f t="shared" si="69"/>
        <v>258.5</v>
      </c>
      <c r="M198" s="211">
        <f t="shared" si="69"/>
        <v>275.49061381333343</v>
      </c>
      <c r="N198" s="211">
        <f t="shared" si="69"/>
        <v>278.82108700721426</v>
      </c>
      <c r="O198" s="211">
        <f t="shared" si="69"/>
        <v>300.05668127918079</v>
      </c>
      <c r="P198" s="211">
        <f t="shared" si="69"/>
        <v>315.80255910454503</v>
      </c>
      <c r="Q198" s="211">
        <f t="shared" si="69"/>
        <v>319.87892609810012</v>
      </c>
    </row>
    <row r="199" spans="1:18" x14ac:dyDescent="0.25">
      <c r="B199" s="2"/>
      <c r="C199" s="2"/>
      <c r="F199" s="2"/>
      <c r="G199" s="152"/>
      <c r="J199" s="165"/>
      <c r="K199" s="165"/>
      <c r="L199" s="165"/>
    </row>
    <row r="200" spans="1:18" ht="13.8" thickBot="1" x14ac:dyDescent="0.3">
      <c r="B200" s="148" t="s">
        <v>150</v>
      </c>
      <c r="C200" s="2"/>
      <c r="F200" s="2"/>
      <c r="G200" s="154"/>
      <c r="H200" s="140" t="s">
        <v>102</v>
      </c>
      <c r="J200" s="167">
        <f>J198+J194</f>
        <v>513.4</v>
      </c>
      <c r="K200" s="167">
        <f t="shared" ref="K200:Q200" si="70">K198+K194</f>
        <v>514.20000000000005</v>
      </c>
      <c r="L200" s="167">
        <f t="shared" si="70"/>
        <v>489.5</v>
      </c>
      <c r="M200" s="167">
        <f t="shared" si="70"/>
        <v>487.93519675251144</v>
      </c>
      <c r="N200" s="167">
        <f t="shared" si="70"/>
        <v>483.17879310690785</v>
      </c>
      <c r="O200" s="167">
        <f t="shared" si="70"/>
        <v>487.55840417260822</v>
      </c>
      <c r="P200" s="167">
        <f t="shared" si="70"/>
        <v>488.7917456232417</v>
      </c>
      <c r="Q200" s="167">
        <f t="shared" si="70"/>
        <v>485.94064176550768</v>
      </c>
    </row>
    <row r="201" spans="1:18" ht="13.8" thickTop="1" x14ac:dyDescent="0.25">
      <c r="B201" s="148"/>
      <c r="C201" s="2"/>
      <c r="F201" s="2"/>
      <c r="G201" s="154"/>
      <c r="J201" s="221"/>
      <c r="K201" s="221"/>
      <c r="L201" s="221"/>
      <c r="M201" s="221"/>
      <c r="N201" s="221"/>
      <c r="O201" s="221"/>
      <c r="P201" s="221"/>
      <c r="Q201" s="221"/>
    </row>
    <row r="202" spans="1:18" x14ac:dyDescent="0.25">
      <c r="B202" s="218"/>
      <c r="C202" s="218"/>
      <c r="D202" s="219"/>
      <c r="E202" s="34"/>
      <c r="F202" s="218"/>
      <c r="G202" s="219"/>
      <c r="H202" s="142"/>
      <c r="I202" s="34"/>
      <c r="J202" s="220"/>
      <c r="K202" s="220"/>
      <c r="L202" s="219"/>
      <c r="M202" s="34"/>
      <c r="N202" s="34"/>
      <c r="O202" s="34"/>
      <c r="P202" s="34"/>
      <c r="Q202" s="34"/>
    </row>
    <row r="203" spans="1:18" s="214" customFormat="1" x14ac:dyDescent="0.25">
      <c r="B203" s="214" t="s">
        <v>165</v>
      </c>
      <c r="D203" s="215"/>
      <c r="G203" s="215"/>
      <c r="H203" s="215"/>
      <c r="J203" s="213">
        <f t="shared" ref="J203:Q203" si="71">J181-J200</f>
        <v>0</v>
      </c>
      <c r="K203" s="213">
        <f t="shared" si="71"/>
        <v>0</v>
      </c>
      <c r="L203" s="213">
        <f t="shared" si="71"/>
        <v>0</v>
      </c>
      <c r="M203" s="213">
        <f t="shared" si="71"/>
        <v>0</v>
      </c>
      <c r="N203" s="213">
        <f t="shared" si="71"/>
        <v>0</v>
      </c>
      <c r="O203" s="213">
        <f t="shared" si="71"/>
        <v>0</v>
      </c>
      <c r="P203" s="213">
        <f t="shared" si="71"/>
        <v>0</v>
      </c>
      <c r="Q203" s="213">
        <f t="shared" si="71"/>
        <v>0</v>
      </c>
    </row>
    <row r="204" spans="1:18" s="214" customFormat="1" x14ac:dyDescent="0.25">
      <c r="D204" s="215"/>
      <c r="G204" s="215"/>
      <c r="H204" s="215"/>
      <c r="J204" s="213"/>
      <c r="K204" s="213"/>
      <c r="L204" s="213"/>
      <c r="M204" s="213"/>
      <c r="N204" s="213"/>
      <c r="O204" s="213"/>
      <c r="P204" s="213"/>
      <c r="Q204" s="213"/>
    </row>
    <row r="205" spans="1:18" s="214" customFormat="1" x14ac:dyDescent="0.25">
      <c r="B205" s="246"/>
      <c r="C205" s="246"/>
      <c r="D205" s="246"/>
      <c r="E205" s="246"/>
      <c r="F205" s="246"/>
      <c r="G205" s="247"/>
      <c r="H205" s="247"/>
      <c r="I205" s="246"/>
      <c r="J205" s="248"/>
      <c r="K205" s="248"/>
      <c r="L205" s="248"/>
      <c r="M205" s="248"/>
      <c r="N205" s="248"/>
      <c r="O205" s="248"/>
      <c r="P205" s="248"/>
      <c r="Q205" s="248"/>
    </row>
    <row r="207" spans="1:18" ht="13.8" x14ac:dyDescent="0.25">
      <c r="A207" s="10"/>
      <c r="B207" s="2" t="s">
        <v>182</v>
      </c>
      <c r="C207" s="2"/>
      <c r="D207" s="2"/>
      <c r="E207" s="2"/>
      <c r="F207" s="2"/>
      <c r="G207" s="115"/>
      <c r="H207" s="115"/>
      <c r="I207" s="3"/>
      <c r="J207" s="3"/>
      <c r="K207" s="3"/>
      <c r="L207" s="3"/>
      <c r="M207" s="3"/>
      <c r="N207" s="135"/>
      <c r="O207" s="3"/>
      <c r="P207" s="3"/>
      <c r="Q207" s="136" t="str">
        <f>UPPER("currently running: "&amp;CHOOSE(Scenarios!$D$9,Scenarios!$C$16,Scenarios!$C$17,Scenarios!$C$18)&amp; " Scenario")</f>
        <v>CURRENTLY RUNNING: WORSE CASE SCENARIO</v>
      </c>
      <c r="R207" s="136"/>
    </row>
    <row r="208" spans="1:18" ht="22.8" x14ac:dyDescent="0.4">
      <c r="A208" s="10"/>
      <c r="B208" s="4" t="str">
        <f>Cover!$E$14</f>
        <v>HANDERSON MANUFACTURING</v>
      </c>
      <c r="C208" s="4"/>
      <c r="D208" s="4"/>
      <c r="E208" s="4"/>
      <c r="F208" s="4"/>
      <c r="G208" s="116"/>
      <c r="H208" s="116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 ht="17.399999999999999" x14ac:dyDescent="0.3">
      <c r="A209" s="10"/>
      <c r="B209" s="5" t="s">
        <v>167</v>
      </c>
      <c r="C209" s="5"/>
      <c r="D209" s="5"/>
      <c r="E209" s="5"/>
      <c r="F209" s="5"/>
      <c r="G209" s="117"/>
      <c r="H209" s="117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spans="1:18" ht="3" customHeight="1" thickBot="1" x14ac:dyDescent="0.35">
      <c r="A210" s="10"/>
      <c r="B210" s="6"/>
      <c r="C210" s="6"/>
      <c r="D210" s="6"/>
      <c r="E210" s="6"/>
      <c r="F210" s="6"/>
      <c r="G210" s="118"/>
      <c r="H210" s="118"/>
      <c r="I210" s="6"/>
      <c r="J210" s="6"/>
      <c r="K210" s="6"/>
      <c r="L210" s="6"/>
      <c r="M210" s="6"/>
      <c r="N210" s="6"/>
      <c r="O210" s="6"/>
      <c r="P210" s="6"/>
      <c r="Q210" s="6"/>
      <c r="R210" s="5"/>
    </row>
    <row r="211" spans="1:18" x14ac:dyDescent="0.25">
      <c r="B211" s="7" t="s">
        <v>1</v>
      </c>
      <c r="C211" s="2"/>
      <c r="D211" s="2"/>
      <c r="E211" s="2"/>
      <c r="F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25">
      <c r="B212" s="2"/>
      <c r="C212" s="2"/>
      <c r="D212" s="2"/>
      <c r="E212" s="2"/>
      <c r="F212" s="8"/>
      <c r="I212" s="2"/>
      <c r="J212" s="2"/>
      <c r="K212" s="2"/>
      <c r="L212" s="2"/>
      <c r="M212" s="107" t="s">
        <v>3</v>
      </c>
      <c r="N212" s="106"/>
      <c r="O212" s="106"/>
      <c r="P212" s="106"/>
      <c r="Q212" s="106"/>
      <c r="R212" s="2"/>
    </row>
    <row r="213" spans="1:18" s="352" customFormat="1" x14ac:dyDescent="0.25">
      <c r="G213" s="353"/>
      <c r="H213" s="353" t="s">
        <v>5</v>
      </c>
      <c r="I213" s="353"/>
      <c r="J213" s="354">
        <f>$J$7</f>
        <v>2018</v>
      </c>
      <c r="K213" s="354">
        <f>$K$7</f>
        <v>2019</v>
      </c>
      <c r="L213" s="354">
        <f>$L$7</f>
        <v>2020</v>
      </c>
      <c r="M213" s="355">
        <f>$M$7</f>
        <v>2021</v>
      </c>
      <c r="N213" s="355">
        <f>$N$7</f>
        <v>2022</v>
      </c>
      <c r="O213" s="355">
        <f>$O$7</f>
        <v>2023</v>
      </c>
      <c r="P213" s="355">
        <f>$P$7</f>
        <v>2024</v>
      </c>
      <c r="Q213" s="355">
        <f>$Q$7</f>
        <v>2025</v>
      </c>
    </row>
    <row r="214" spans="1:18" x14ac:dyDescent="0.25">
      <c r="G214" s="140"/>
      <c r="H214" s="140"/>
      <c r="I214" s="140"/>
      <c r="J214" s="325"/>
      <c r="K214" s="325"/>
      <c r="L214" s="325"/>
      <c r="M214" s="326"/>
      <c r="N214" s="326"/>
      <c r="O214" s="326"/>
      <c r="P214" s="326"/>
      <c r="Q214" s="326"/>
    </row>
    <row r="216" spans="1:18" x14ac:dyDescent="0.25">
      <c r="B216" s="222" t="s">
        <v>169</v>
      </c>
      <c r="C216" s="91"/>
      <c r="D216" s="91"/>
      <c r="E216" s="91"/>
      <c r="F216" s="223">
        <f>Assumptions!J31</f>
        <v>25</v>
      </c>
    </row>
    <row r="217" spans="1:18" x14ac:dyDescent="0.25">
      <c r="B217" s="57" t="s">
        <v>168</v>
      </c>
      <c r="C217" s="50"/>
      <c r="D217" s="50"/>
      <c r="E217" s="50"/>
      <c r="F217" s="224">
        <f>Assumptions!J32</f>
        <v>30</v>
      </c>
    </row>
    <row r="219" spans="1:18" x14ac:dyDescent="0.25">
      <c r="C219" s="24" t="s">
        <v>170</v>
      </c>
      <c r="M219" s="109">
        <f>L177/F216</f>
        <v>15.907999999999999</v>
      </c>
      <c r="N219" s="109">
        <f>M219</f>
        <v>15.907999999999999</v>
      </c>
      <c r="O219" s="109">
        <f t="shared" ref="O219:Q219" si="72">N219</f>
        <v>15.907999999999999</v>
      </c>
      <c r="P219" s="109">
        <f t="shared" si="72"/>
        <v>15.907999999999999</v>
      </c>
      <c r="Q219" s="109">
        <f t="shared" si="72"/>
        <v>15.907999999999999</v>
      </c>
    </row>
    <row r="221" spans="1:18" x14ac:dyDescent="0.25">
      <c r="D221" s="52" t="s">
        <v>68</v>
      </c>
    </row>
    <row r="222" spans="1:18" x14ac:dyDescent="0.25">
      <c r="D222" s="225">
        <v>2021</v>
      </c>
      <c r="E222" s="228">
        <f>-HLOOKUP(D222,$M$129:$Q$141,ROWS(M129:M141),FALSE)</f>
        <v>16</v>
      </c>
      <c r="M222" s="146">
        <f>IF(M$213=$D222,$E222/$F$217/2,$E222/$F$217)</f>
        <v>0.26666666666666666</v>
      </c>
      <c r="N222" s="146">
        <f>IF(N$213=$D222,$E222/$F$217/2,$E222/$F$217)</f>
        <v>0.53333333333333333</v>
      </c>
      <c r="O222" s="146">
        <f t="shared" ref="O222:Q225" si="73">IF(O$213=$D222,$E222/$F$217/2,$E222/$F$217)</f>
        <v>0.53333333333333333</v>
      </c>
      <c r="P222" s="146">
        <f t="shared" si="73"/>
        <v>0.53333333333333333</v>
      </c>
      <c r="Q222" s="146">
        <f t="shared" si="73"/>
        <v>0.53333333333333333</v>
      </c>
    </row>
    <row r="223" spans="1:18" x14ac:dyDescent="0.25">
      <c r="D223" s="225">
        <f>D222+1</f>
        <v>2022</v>
      </c>
      <c r="E223" s="229">
        <f>-HLOOKUP(D223,$M$129:$Q$141,ROWS(M130:M142),FALSE)</f>
        <v>17.3</v>
      </c>
      <c r="M223" s="146"/>
      <c r="N223" s="146">
        <f>IF(N$213=$D223,$E223/$F$217/2,$E223/$F$217)</f>
        <v>0.28833333333333333</v>
      </c>
      <c r="O223" s="146">
        <f>IF(O$213=$D223,$E223/$F$217/2,$E223/$F$217)</f>
        <v>0.57666666666666666</v>
      </c>
      <c r="P223" s="146">
        <f t="shared" si="73"/>
        <v>0.57666666666666666</v>
      </c>
      <c r="Q223" s="146">
        <f t="shared" si="73"/>
        <v>0.57666666666666666</v>
      </c>
    </row>
    <row r="224" spans="1:18" x14ac:dyDescent="0.25">
      <c r="D224" s="225">
        <f t="shared" ref="D224:D226" si="74">D223+1</f>
        <v>2023</v>
      </c>
      <c r="E224" s="229">
        <f>-HLOOKUP(D224,$M$129:$Q$141,ROWS(M131:M143),FALSE)</f>
        <v>17.5</v>
      </c>
      <c r="M224" s="146"/>
      <c r="N224" s="146"/>
      <c r="O224" s="146">
        <f t="shared" si="73"/>
        <v>0.29166666666666669</v>
      </c>
      <c r="P224" s="146">
        <f>IF(P$213=$D224,$E224/$F$217/2,$E224/$F$217)</f>
        <v>0.58333333333333337</v>
      </c>
      <c r="Q224" s="146">
        <f t="shared" si="73"/>
        <v>0.58333333333333337</v>
      </c>
    </row>
    <row r="225" spans="2:19" x14ac:dyDescent="0.25">
      <c r="D225" s="225">
        <f t="shared" si="74"/>
        <v>2024</v>
      </c>
      <c r="E225" s="229">
        <f>-HLOOKUP(D225,$M$129:$Q$141,ROWS(M132:M144),FALSE)</f>
        <v>17.5</v>
      </c>
      <c r="M225" s="146"/>
      <c r="N225" s="146"/>
      <c r="O225" s="146"/>
      <c r="P225" s="146">
        <f>IF(P$213=$D225,$E225/$F$217/2,$E225/$F$217)</f>
        <v>0.29166666666666669</v>
      </c>
      <c r="Q225" s="146">
        <f t="shared" si="73"/>
        <v>0.58333333333333337</v>
      </c>
    </row>
    <row r="226" spans="2:19" x14ac:dyDescent="0.25">
      <c r="D226" s="225">
        <f t="shared" si="74"/>
        <v>2025</v>
      </c>
      <c r="E226" s="230">
        <f>-HLOOKUP(D226,$M$129:$Q$141,ROWS(M133:M145),FALSE)</f>
        <v>18</v>
      </c>
      <c r="M226" s="146"/>
      <c r="N226" s="146"/>
      <c r="O226" s="146"/>
      <c r="P226" s="146"/>
      <c r="Q226" s="146">
        <f>IF(Q$213=$D226,$E226/$F$217/2,$E226/$F$217)</f>
        <v>0.3</v>
      </c>
    </row>
    <row r="228" spans="2:19" s="52" customFormat="1" ht="13.8" thickBot="1" x14ac:dyDescent="0.3">
      <c r="C228" s="52" t="s">
        <v>171</v>
      </c>
      <c r="G228" s="140"/>
      <c r="H228" s="140" t="s">
        <v>102</v>
      </c>
      <c r="M228" s="133">
        <f>SUM(M219:M227)</f>
        <v>16.174666666666667</v>
      </c>
      <c r="N228" s="133">
        <f t="shared" ref="N228:Q228" si="75">SUM(N219:N227)</f>
        <v>16.729666666666667</v>
      </c>
      <c r="O228" s="133">
        <f t="shared" si="75"/>
        <v>17.309666666666669</v>
      </c>
      <c r="P228" s="133">
        <f t="shared" si="75"/>
        <v>17.893000000000001</v>
      </c>
      <c r="Q228" s="133">
        <f t="shared" si="75"/>
        <v>18.484666666666666</v>
      </c>
    </row>
    <row r="229" spans="2:19" s="52" customFormat="1" ht="13.8" thickTop="1" x14ac:dyDescent="0.25">
      <c r="G229" s="140"/>
      <c r="H229" s="140"/>
      <c r="M229" s="132"/>
      <c r="N229" s="132"/>
      <c r="O229" s="132"/>
      <c r="P229" s="132"/>
      <c r="Q229" s="132"/>
    </row>
    <row r="230" spans="2:19" s="52" customFormat="1" x14ac:dyDescent="0.25">
      <c r="B230" s="237"/>
      <c r="C230" s="237"/>
      <c r="D230" s="237"/>
      <c r="E230" s="237"/>
      <c r="F230" s="237"/>
      <c r="G230" s="238"/>
      <c r="H230" s="238"/>
      <c r="I230" s="237"/>
      <c r="J230" s="237"/>
      <c r="K230" s="237"/>
      <c r="L230" s="237"/>
      <c r="M230" s="234"/>
      <c r="N230" s="234"/>
      <c r="O230" s="234"/>
      <c r="P230" s="234"/>
      <c r="Q230" s="234"/>
    </row>
    <row r="232" spans="2:19" x14ac:dyDescent="0.25">
      <c r="B232" s="2"/>
      <c r="C232" s="2"/>
      <c r="D232" s="2"/>
      <c r="E232" s="2"/>
      <c r="F232" s="2"/>
      <c r="G232" s="115"/>
      <c r="H232" s="115"/>
      <c r="I232" s="3"/>
      <c r="J232" s="3"/>
      <c r="K232" s="3"/>
      <c r="L232" s="3"/>
      <c r="M232" s="3"/>
      <c r="N232" s="3"/>
      <c r="O232" s="3"/>
      <c r="P232" s="3"/>
      <c r="Q232" s="231" t="str">
        <f>Q207</f>
        <v>CURRENTLY RUNNING: WORSE CASE SCENARIO</v>
      </c>
      <c r="R232" s="3"/>
      <c r="S232" s="2"/>
    </row>
    <row r="233" spans="2:19" ht="22.8" x14ac:dyDescent="0.4">
      <c r="B233" s="4" t="str">
        <f>Cover!$E$14</f>
        <v>HANDERSON MANUFACTURING</v>
      </c>
      <c r="C233" s="4"/>
      <c r="D233" s="4"/>
      <c r="E233" s="4"/>
      <c r="F233" s="4"/>
      <c r="G233" s="116"/>
      <c r="H233" s="1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2"/>
    </row>
    <row r="234" spans="2:19" ht="17.399999999999999" x14ac:dyDescent="0.3">
      <c r="B234" s="5" t="s">
        <v>85</v>
      </c>
      <c r="C234" s="5"/>
      <c r="D234" s="5"/>
      <c r="E234" s="5"/>
      <c r="F234" s="5"/>
      <c r="G234" s="117"/>
      <c r="H234" s="117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2"/>
    </row>
    <row r="235" spans="2:19" ht="18" thickBot="1" x14ac:dyDescent="0.35">
      <c r="B235" s="6"/>
      <c r="C235" s="6"/>
      <c r="D235" s="6"/>
      <c r="E235" s="6"/>
      <c r="F235" s="6"/>
      <c r="G235" s="118"/>
      <c r="H235" s="118"/>
      <c r="I235" s="6"/>
      <c r="J235" s="6"/>
      <c r="K235" s="6"/>
      <c r="L235" s="6"/>
      <c r="M235" s="6"/>
      <c r="N235" s="6"/>
      <c r="O235" s="6"/>
      <c r="P235" s="6"/>
      <c r="Q235" s="6"/>
      <c r="R235" s="5"/>
      <c r="S235" s="2"/>
    </row>
    <row r="236" spans="2:19" x14ac:dyDescent="0.25">
      <c r="B236" s="7" t="s">
        <v>1</v>
      </c>
      <c r="C236" s="2"/>
      <c r="D236" s="2"/>
      <c r="E236" s="2"/>
      <c r="F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2:19" x14ac:dyDescent="0.25">
      <c r="B237" s="2"/>
      <c r="C237" s="2"/>
      <c r="D237" s="2"/>
      <c r="E237" s="2"/>
      <c r="F237" s="8"/>
      <c r="I237" s="2"/>
      <c r="J237" s="2"/>
      <c r="K237" s="2"/>
      <c r="L237" s="2"/>
      <c r="M237" s="107" t="s">
        <v>3</v>
      </c>
      <c r="N237" s="106"/>
      <c r="O237" s="106"/>
      <c r="P237" s="106"/>
      <c r="Q237" s="106"/>
      <c r="R237" s="2"/>
      <c r="S237" s="2"/>
    </row>
    <row r="238" spans="2:19" s="352" customFormat="1" x14ac:dyDescent="0.25">
      <c r="G238" s="353"/>
      <c r="H238" s="353" t="s">
        <v>5</v>
      </c>
      <c r="I238" s="353"/>
      <c r="J238" s="354">
        <f>$J$7</f>
        <v>2018</v>
      </c>
      <c r="K238" s="354">
        <f>$K$7</f>
        <v>2019</v>
      </c>
      <c r="L238" s="354">
        <f>$L$7</f>
        <v>2020</v>
      </c>
      <c r="M238" s="355">
        <f>$M$7</f>
        <v>2021</v>
      </c>
      <c r="N238" s="355">
        <f>$N$7</f>
        <v>2022</v>
      </c>
      <c r="O238" s="355">
        <f>$O$7</f>
        <v>2023</v>
      </c>
      <c r="P238" s="355">
        <f>$P$7</f>
        <v>2024</v>
      </c>
      <c r="Q238" s="355">
        <f>$Q$7</f>
        <v>2025</v>
      </c>
    </row>
    <row r="239" spans="2:19" x14ac:dyDescent="0.25">
      <c r="B239" s="34"/>
    </row>
    <row r="240" spans="2:19" x14ac:dyDescent="0.25">
      <c r="B240" s="120" t="s">
        <v>92</v>
      </c>
      <c r="C240" s="121"/>
      <c r="D240" s="121"/>
      <c r="E240" s="121"/>
      <c r="F240" s="121"/>
      <c r="G240" s="124"/>
      <c r="H240" s="124"/>
      <c r="I240" s="121"/>
      <c r="J240" s="122"/>
      <c r="K240" s="122">
        <f>DATE(K238,12,31)-DATE(J238,12,31)</f>
        <v>365</v>
      </c>
      <c r="L240" s="122">
        <f t="shared" ref="L240:Q240" si="76">DATE(L238,12,31)-DATE(K238,12,31)</f>
        <v>366</v>
      </c>
      <c r="M240" s="122">
        <f t="shared" si="76"/>
        <v>365</v>
      </c>
      <c r="N240" s="122">
        <f t="shared" si="76"/>
        <v>365</v>
      </c>
      <c r="O240" s="122">
        <f t="shared" si="76"/>
        <v>365</v>
      </c>
      <c r="P240" s="122">
        <f t="shared" si="76"/>
        <v>366</v>
      </c>
      <c r="Q240" s="123">
        <f t="shared" si="76"/>
        <v>365</v>
      </c>
    </row>
    <row r="242" spans="2:18" x14ac:dyDescent="0.25">
      <c r="B242" s="108" t="s">
        <v>86</v>
      </c>
      <c r="H242" s="141" t="s">
        <v>102</v>
      </c>
      <c r="J242" s="102"/>
      <c r="K242" s="102">
        <v>236.60000000000002</v>
      </c>
      <c r="L242" s="102">
        <v>204.79999999999998</v>
      </c>
      <c r="M242" s="125">
        <f>M94</f>
        <v>238.43534000000005</v>
      </c>
      <c r="N242" s="125">
        <f>N94</f>
        <v>220.189931</v>
      </c>
      <c r="O242" s="125">
        <f>O94</f>
        <v>262.63137718285003</v>
      </c>
      <c r="P242" s="125">
        <f>P94</f>
        <v>259.95879533368992</v>
      </c>
      <c r="Q242" s="125">
        <f>Q94</f>
        <v>244.69125646712132</v>
      </c>
    </row>
    <row r="243" spans="2:18" x14ac:dyDescent="0.25">
      <c r="B243" s="108" t="s">
        <v>87</v>
      </c>
      <c r="H243" s="141" t="s">
        <v>102</v>
      </c>
      <c r="J243" s="102"/>
      <c r="K243" s="102">
        <v>164.6</v>
      </c>
      <c r="L243" s="102">
        <v>167.9</v>
      </c>
      <c r="M243" s="125">
        <f>M96</f>
        <v>173.68941599999999</v>
      </c>
      <c r="N243" s="125">
        <f>N96</f>
        <v>182.323917456</v>
      </c>
      <c r="O243" s="125">
        <f>O96</f>
        <v>190.31368210417202</v>
      </c>
      <c r="P243" s="125">
        <f>P96</f>
        <v>198.69450628772955</v>
      </c>
      <c r="Q243" s="125">
        <f>Q96</f>
        <v>206.21184453475877</v>
      </c>
    </row>
    <row r="246" spans="2:18" x14ac:dyDescent="0.25">
      <c r="B246" s="52" t="s">
        <v>89</v>
      </c>
    </row>
    <row r="247" spans="2:18" x14ac:dyDescent="0.25">
      <c r="C247" s="24" t="str">
        <f t="shared" ref="C247:C252" si="77">C255</f>
        <v>Accounts Receivable</v>
      </c>
      <c r="H247" s="82" t="s">
        <v>103</v>
      </c>
      <c r="J247" s="125"/>
      <c r="K247" s="125">
        <f>K255/K242*K$240</f>
        <v>42.886728655959423</v>
      </c>
      <c r="L247" s="125">
        <f>L255/L242*L$240</f>
        <v>50.575195312500007</v>
      </c>
      <c r="M247" s="126">
        <v>45</v>
      </c>
      <c r="N247" s="126">
        <v>40</v>
      </c>
      <c r="O247" s="126">
        <v>40</v>
      </c>
      <c r="P247" s="126">
        <v>40</v>
      </c>
      <c r="Q247" s="126">
        <v>40</v>
      </c>
    </row>
    <row r="248" spans="2:18" x14ac:dyDescent="0.25">
      <c r="C248" s="24" t="str">
        <f t="shared" si="77"/>
        <v>Inventory</v>
      </c>
      <c r="H248" s="82" t="s">
        <v>103</v>
      </c>
      <c r="J248" s="125"/>
      <c r="K248" s="125">
        <f t="shared" ref="K248:L252" si="78">K256/K$243*K$240</f>
        <v>80.051640340218725</v>
      </c>
      <c r="L248" s="125">
        <f t="shared" si="78"/>
        <v>76.513400833829664</v>
      </c>
      <c r="M248" s="126">
        <v>70</v>
      </c>
      <c r="N248" s="126">
        <v>65</v>
      </c>
      <c r="O248" s="126">
        <v>60</v>
      </c>
      <c r="P248" s="126">
        <v>60</v>
      </c>
      <c r="Q248" s="126">
        <v>55</v>
      </c>
    </row>
    <row r="249" spans="2:18" x14ac:dyDescent="0.25">
      <c r="C249" s="24" t="str">
        <f t="shared" si="77"/>
        <v>Prepaid Expenses</v>
      </c>
      <c r="H249" s="82" t="s">
        <v>103</v>
      </c>
      <c r="J249" s="125"/>
      <c r="K249" s="125">
        <f t="shared" si="78"/>
        <v>31.93195625759417</v>
      </c>
      <c r="L249" s="125">
        <f t="shared" si="78"/>
        <v>32.480047647409172</v>
      </c>
      <c r="M249" s="126">
        <v>30</v>
      </c>
      <c r="N249" s="126">
        <v>30</v>
      </c>
      <c r="O249" s="126">
        <v>30</v>
      </c>
      <c r="P249" s="126">
        <v>30</v>
      </c>
      <c r="Q249" s="126">
        <v>30</v>
      </c>
    </row>
    <row r="250" spans="2:18" x14ac:dyDescent="0.25">
      <c r="C250" s="24" t="str">
        <f t="shared" si="77"/>
        <v>Other Assets</v>
      </c>
      <c r="H250" s="82" t="s">
        <v>103</v>
      </c>
      <c r="J250" s="125"/>
      <c r="K250" s="125">
        <f t="shared" si="78"/>
        <v>3.9914945321992712</v>
      </c>
      <c r="L250" s="125">
        <f t="shared" si="78"/>
        <v>2.6158427635497321</v>
      </c>
      <c r="M250" s="126">
        <v>3</v>
      </c>
      <c r="N250" s="126">
        <v>3</v>
      </c>
      <c r="O250" s="126">
        <v>3</v>
      </c>
      <c r="P250" s="126">
        <v>3</v>
      </c>
      <c r="Q250" s="126">
        <v>3</v>
      </c>
    </row>
    <row r="251" spans="2:18" x14ac:dyDescent="0.25">
      <c r="C251" s="24" t="str">
        <f t="shared" si="77"/>
        <v>Accounts Payable</v>
      </c>
      <c r="H251" s="82" t="s">
        <v>103</v>
      </c>
      <c r="J251" s="125"/>
      <c r="K251" s="125">
        <f t="shared" si="78"/>
        <v>41.467193195625768</v>
      </c>
      <c r="L251" s="125">
        <f t="shared" si="78"/>
        <v>39.673615247170936</v>
      </c>
      <c r="M251" s="126">
        <v>40</v>
      </c>
      <c r="N251" s="126">
        <v>40</v>
      </c>
      <c r="O251" s="126">
        <v>40</v>
      </c>
      <c r="P251" s="126">
        <v>40</v>
      </c>
      <c r="Q251" s="126">
        <v>40</v>
      </c>
    </row>
    <row r="252" spans="2:18" x14ac:dyDescent="0.25">
      <c r="C252" s="24" t="str">
        <f t="shared" si="77"/>
        <v>Other Liabilities</v>
      </c>
      <c r="H252" s="82" t="s">
        <v>103</v>
      </c>
      <c r="J252" s="125"/>
      <c r="K252" s="125">
        <f t="shared" si="78"/>
        <v>10.865735115431351</v>
      </c>
      <c r="L252" s="125">
        <f t="shared" si="78"/>
        <v>10.463371054198928</v>
      </c>
      <c r="M252" s="126">
        <v>10</v>
      </c>
      <c r="N252" s="126">
        <v>10</v>
      </c>
      <c r="O252" s="126">
        <v>10</v>
      </c>
      <c r="P252" s="126">
        <v>10</v>
      </c>
      <c r="Q252" s="126">
        <v>10</v>
      </c>
    </row>
    <row r="253" spans="2:18" x14ac:dyDescent="0.25">
      <c r="J253" s="125"/>
      <c r="K253" s="125"/>
      <c r="L253" s="125"/>
      <c r="M253" s="126"/>
      <c r="N253" s="126"/>
      <c r="O253" s="126"/>
      <c r="P253" s="126"/>
      <c r="Q253" s="126"/>
    </row>
    <row r="254" spans="2:18" x14ac:dyDescent="0.25">
      <c r="B254" s="52" t="s">
        <v>88</v>
      </c>
    </row>
    <row r="255" spans="2:18" x14ac:dyDescent="0.25">
      <c r="C255" s="2" t="s">
        <v>73</v>
      </c>
      <c r="D255" s="2"/>
      <c r="E255" s="2"/>
      <c r="F255" s="110"/>
      <c r="H255" s="119" t="s">
        <v>102</v>
      </c>
      <c r="I255" s="113"/>
      <c r="J255" s="113"/>
      <c r="K255" s="130">
        <v>27.8</v>
      </c>
      <c r="L255" s="130">
        <v>28.3</v>
      </c>
      <c r="M255" s="125">
        <f>M242/M240*M247</f>
        <v>29.396137808219184</v>
      </c>
      <c r="N255" s="125">
        <f t="shared" ref="N255:Q255" si="79">N242/N240*N247</f>
        <v>24.130403397260274</v>
      </c>
      <c r="O255" s="125">
        <f t="shared" si="79"/>
        <v>28.781520787161647</v>
      </c>
      <c r="P255" s="125">
        <f t="shared" si="79"/>
        <v>28.410797304228407</v>
      </c>
      <c r="Q255" s="125">
        <f t="shared" si="79"/>
        <v>26.815480160780417</v>
      </c>
      <c r="R255" s="109"/>
    </row>
    <row r="256" spans="2:18" x14ac:dyDescent="0.25">
      <c r="C256" s="2" t="s">
        <v>74</v>
      </c>
      <c r="D256" s="2"/>
      <c r="E256" s="2"/>
      <c r="F256" s="110"/>
      <c r="H256" s="119" t="s">
        <v>102</v>
      </c>
      <c r="I256" s="113"/>
      <c r="J256" s="113"/>
      <c r="K256" s="130">
        <v>36.1</v>
      </c>
      <c r="L256" s="130">
        <v>35.1</v>
      </c>
      <c r="M256" s="125">
        <f>M243/M$240*M248</f>
        <v>33.310298958904106</v>
      </c>
      <c r="N256" s="125">
        <f t="shared" ref="N256:Q256" si="80">N243/N$240*N248</f>
        <v>32.468642834630138</v>
      </c>
      <c r="O256" s="125">
        <f t="shared" si="80"/>
        <v>31.284440893836496</v>
      </c>
      <c r="P256" s="125">
        <f t="shared" si="80"/>
        <v>32.572869883234354</v>
      </c>
      <c r="Q256" s="125">
        <f t="shared" si="80"/>
        <v>31.073017669621184</v>
      </c>
      <c r="R256" s="109"/>
    </row>
    <row r="257" spans="2:20" x14ac:dyDescent="0.25">
      <c r="C257" s="2" t="s">
        <v>75</v>
      </c>
      <c r="D257" s="2"/>
      <c r="E257" s="2"/>
      <c r="F257" s="110"/>
      <c r="H257" s="119" t="s">
        <v>102</v>
      </c>
      <c r="I257" s="113"/>
      <c r="J257" s="113"/>
      <c r="K257" s="130">
        <v>14.4</v>
      </c>
      <c r="L257" s="130">
        <v>14.9</v>
      </c>
      <c r="M257" s="125">
        <f>M249/M$240*M$243</f>
        <v>14.275842410958903</v>
      </c>
      <c r="N257" s="125">
        <f t="shared" ref="N257:Q257" si="81">N249/N$240*N$243</f>
        <v>14.985527462136986</v>
      </c>
      <c r="O257" s="125">
        <f t="shared" si="81"/>
        <v>15.642220446918246</v>
      </c>
      <c r="P257" s="125">
        <f t="shared" si="81"/>
        <v>16.286434941617177</v>
      </c>
      <c r="Q257" s="125">
        <f t="shared" si="81"/>
        <v>16.94891872888428</v>
      </c>
      <c r="R257" s="109"/>
    </row>
    <row r="258" spans="2:20" x14ac:dyDescent="0.25">
      <c r="C258" s="103" t="s">
        <v>77</v>
      </c>
      <c r="D258" s="2"/>
      <c r="E258" s="2"/>
      <c r="F258" s="110"/>
      <c r="H258" s="119" t="s">
        <v>102</v>
      </c>
      <c r="I258" s="113"/>
      <c r="J258" s="113"/>
      <c r="K258" s="130">
        <v>1.8</v>
      </c>
      <c r="L258" s="130">
        <v>1.2</v>
      </c>
      <c r="M258" s="125">
        <f t="shared" ref="M258:Q260" si="82">M250/M$240*M$243</f>
        <v>1.4275842410958903</v>
      </c>
      <c r="N258" s="125">
        <f t="shared" si="82"/>
        <v>1.4985527462136985</v>
      </c>
      <c r="O258" s="125">
        <f t="shared" si="82"/>
        <v>1.5642220446918247</v>
      </c>
      <c r="P258" s="125">
        <f t="shared" si="82"/>
        <v>1.6286434941617178</v>
      </c>
      <c r="Q258" s="125">
        <f t="shared" si="82"/>
        <v>1.6948918728884281</v>
      </c>
      <c r="R258" s="109"/>
    </row>
    <row r="259" spans="2:20" x14ac:dyDescent="0.25">
      <c r="C259" s="103" t="s">
        <v>76</v>
      </c>
      <c r="D259" s="2"/>
      <c r="E259" s="2"/>
      <c r="F259" s="110"/>
      <c r="H259" s="119" t="s">
        <v>102</v>
      </c>
      <c r="J259" s="114"/>
      <c r="K259" s="131">
        <v>18.700000000000003</v>
      </c>
      <c r="L259" s="131">
        <v>18.2</v>
      </c>
      <c r="M259" s="125">
        <f t="shared" si="82"/>
        <v>19.034456547945204</v>
      </c>
      <c r="N259" s="125">
        <f t="shared" si="82"/>
        <v>19.980703282849316</v>
      </c>
      <c r="O259" s="125">
        <f t="shared" si="82"/>
        <v>20.856293929224329</v>
      </c>
      <c r="P259" s="125">
        <f t="shared" si="82"/>
        <v>21.7152465888229</v>
      </c>
      <c r="Q259" s="125">
        <f t="shared" si="82"/>
        <v>22.598558305179044</v>
      </c>
      <c r="R259" s="109"/>
    </row>
    <row r="260" spans="2:20" x14ac:dyDescent="0.25">
      <c r="C260" s="103" t="s">
        <v>78</v>
      </c>
      <c r="D260" s="2"/>
      <c r="E260" s="2"/>
      <c r="F260" s="110"/>
      <c r="H260" s="119" t="s">
        <v>102</v>
      </c>
      <c r="J260" s="113"/>
      <c r="K260" s="130">
        <v>4.9000000000000004</v>
      </c>
      <c r="L260" s="130">
        <v>4.8</v>
      </c>
      <c r="M260" s="125">
        <f t="shared" si="82"/>
        <v>4.7586141369863011</v>
      </c>
      <c r="N260" s="125">
        <f t="shared" si="82"/>
        <v>4.9951758207123289</v>
      </c>
      <c r="O260" s="125">
        <f>O252/O$240*O$243</f>
        <v>5.2140734823060821</v>
      </c>
      <c r="P260" s="125">
        <f t="shared" si="82"/>
        <v>5.4288116472057251</v>
      </c>
      <c r="Q260" s="125">
        <f t="shared" si="82"/>
        <v>5.6496395762947609</v>
      </c>
      <c r="R260" s="109"/>
    </row>
    <row r="261" spans="2:20" s="52" customFormat="1" x14ac:dyDescent="0.25">
      <c r="C261" s="52" t="s">
        <v>91</v>
      </c>
      <c r="G261" s="140"/>
      <c r="H261" s="141" t="s">
        <v>102</v>
      </c>
      <c r="J261" s="129"/>
      <c r="K261" s="134">
        <f>K255+K256+K257+K258-K259-K260</f>
        <v>56.500000000000007</v>
      </c>
      <c r="L261" s="134">
        <f t="shared" ref="L261:Q261" si="83">L255+L256+L257+L258-L259-L260</f>
        <v>56.500000000000014</v>
      </c>
      <c r="M261" s="134">
        <f t="shared" si="83"/>
        <v>54.616792734246573</v>
      </c>
      <c r="N261" s="134">
        <f>N255+N256+N257+N258-N259-N260</f>
        <v>48.107247336679457</v>
      </c>
      <c r="O261" s="134">
        <f>O255+O256+O257+O258-O259-O260</f>
        <v>51.202036761077807</v>
      </c>
      <c r="P261" s="134">
        <f t="shared" si="83"/>
        <v>51.754687387213025</v>
      </c>
      <c r="Q261" s="134">
        <f t="shared" si="83"/>
        <v>48.284110550700518</v>
      </c>
      <c r="R261" s="132"/>
      <c r="T261" s="132"/>
    </row>
    <row r="262" spans="2:20" x14ac:dyDescent="0.25">
      <c r="H262" s="119"/>
      <c r="J262" s="125"/>
      <c r="K262" s="125"/>
      <c r="L262" s="125"/>
      <c r="M262" s="126"/>
      <c r="N262" s="126"/>
      <c r="O262" s="126"/>
      <c r="P262" s="126"/>
      <c r="Q262" s="126"/>
    </row>
    <row r="263" spans="2:20" s="52" customFormat="1" ht="13.8" thickBot="1" x14ac:dyDescent="0.3">
      <c r="B263" s="52" t="s">
        <v>90</v>
      </c>
      <c r="G263" s="140"/>
      <c r="H263" s="141" t="s">
        <v>102</v>
      </c>
      <c r="J263" s="129"/>
      <c r="K263" s="129"/>
      <c r="L263" s="226">
        <f>K261-L261</f>
        <v>0</v>
      </c>
      <c r="M263" s="226">
        <f t="shared" ref="M263:Q263" si="84">L261-M261</f>
        <v>1.8832072657534411</v>
      </c>
      <c r="N263" s="226">
        <f t="shared" si="84"/>
        <v>6.5095453975671163</v>
      </c>
      <c r="O263" s="226">
        <f t="shared" si="84"/>
        <v>-3.0947894243983498</v>
      </c>
      <c r="P263" s="226">
        <f t="shared" si="84"/>
        <v>-0.5526506261352182</v>
      </c>
      <c r="Q263" s="226">
        <f t="shared" si="84"/>
        <v>3.4705768365125067</v>
      </c>
    </row>
    <row r="264" spans="2:20" ht="13.8" thickTop="1" x14ac:dyDescent="0.25">
      <c r="J264" s="125"/>
      <c r="K264" s="125"/>
      <c r="L264" s="125"/>
      <c r="M264" s="126"/>
      <c r="N264" s="126"/>
      <c r="O264" s="126"/>
      <c r="P264" s="126"/>
      <c r="Q264" s="126"/>
    </row>
    <row r="265" spans="2:20" x14ac:dyDescent="0.25">
      <c r="B265" s="50"/>
      <c r="C265" s="50"/>
      <c r="D265" s="50"/>
      <c r="E265" s="50"/>
      <c r="F265" s="50"/>
      <c r="G265" s="83"/>
      <c r="H265" s="83"/>
      <c r="I265" s="50"/>
      <c r="J265" s="249"/>
      <c r="K265" s="249"/>
      <c r="L265" s="249"/>
      <c r="M265" s="250"/>
      <c r="N265" s="250"/>
      <c r="O265" s="250"/>
      <c r="P265" s="250"/>
      <c r="Q265" s="250"/>
    </row>
    <row r="267" spans="2:20" x14ac:dyDescent="0.25">
      <c r="B267" s="2"/>
      <c r="C267" s="2"/>
      <c r="D267" s="2"/>
      <c r="E267" s="2"/>
      <c r="F267" s="2"/>
      <c r="G267" s="115"/>
      <c r="H267" s="115"/>
      <c r="I267" s="3"/>
      <c r="J267" s="3"/>
      <c r="K267" s="3"/>
      <c r="L267" s="3"/>
      <c r="M267" s="3"/>
      <c r="N267" s="3"/>
      <c r="O267" s="3"/>
      <c r="P267" s="3"/>
      <c r="Q267" s="231" t="str">
        <f>$Q$232</f>
        <v>CURRENTLY RUNNING: WORSE CASE SCENARIO</v>
      </c>
      <c r="R267" s="3"/>
      <c r="S267" s="2"/>
    </row>
    <row r="268" spans="2:20" ht="22.8" x14ac:dyDescent="0.4">
      <c r="B268" s="4" t="str">
        <f>Cover!$E$14</f>
        <v>HANDERSON MANUFACTURING</v>
      </c>
      <c r="C268" s="4"/>
      <c r="D268" s="4"/>
      <c r="E268" s="4"/>
      <c r="F268" s="4"/>
      <c r="G268" s="116"/>
      <c r="H268" s="1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2"/>
    </row>
    <row r="269" spans="2:20" ht="17.399999999999999" x14ac:dyDescent="0.3">
      <c r="B269" s="5" t="s">
        <v>172</v>
      </c>
      <c r="C269" s="5"/>
      <c r="D269" s="5"/>
      <c r="E269" s="5"/>
      <c r="F269" s="5"/>
      <c r="G269" s="117"/>
      <c r="H269" s="117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2"/>
    </row>
    <row r="270" spans="2:20" ht="3" customHeight="1" thickBot="1" x14ac:dyDescent="0.35">
      <c r="B270" s="6"/>
      <c r="C270" s="6"/>
      <c r="D270" s="6"/>
      <c r="E270" s="6"/>
      <c r="F270" s="6"/>
      <c r="G270" s="118"/>
      <c r="H270" s="118"/>
      <c r="I270" s="6"/>
      <c r="J270" s="6"/>
      <c r="K270" s="6"/>
      <c r="L270" s="6"/>
      <c r="M270" s="6"/>
      <c r="N270" s="6"/>
      <c r="O270" s="6"/>
      <c r="P270" s="6"/>
      <c r="Q270" s="6"/>
      <c r="R270" s="5"/>
      <c r="S270" s="2"/>
    </row>
    <row r="271" spans="2:20" x14ac:dyDescent="0.25">
      <c r="B271" s="7" t="s">
        <v>1</v>
      </c>
      <c r="C271" s="2"/>
      <c r="D271" s="2"/>
      <c r="E271" s="2"/>
      <c r="F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2:20" x14ac:dyDescent="0.25">
      <c r="B272" s="2"/>
      <c r="C272" s="2"/>
      <c r="D272" s="2"/>
      <c r="E272" s="2"/>
      <c r="F272" s="8"/>
      <c r="I272" s="2"/>
      <c r="J272" s="2"/>
      <c r="K272" s="2"/>
      <c r="L272" s="2"/>
      <c r="M272" s="107" t="s">
        <v>3</v>
      </c>
      <c r="N272" s="106"/>
      <c r="O272" s="106"/>
      <c r="P272" s="106"/>
      <c r="Q272" s="106"/>
      <c r="R272" s="2"/>
      <c r="S272" s="2"/>
    </row>
    <row r="273" spans="2:17" s="352" customFormat="1" x14ac:dyDescent="0.25">
      <c r="G273" s="353"/>
      <c r="H273" s="353" t="s">
        <v>5</v>
      </c>
      <c r="I273" s="353"/>
      <c r="J273" s="354">
        <f>$J$7</f>
        <v>2018</v>
      </c>
      <c r="K273" s="354">
        <f>$K$7</f>
        <v>2019</v>
      </c>
      <c r="L273" s="354">
        <f>$L$7</f>
        <v>2020</v>
      </c>
      <c r="M273" s="355">
        <f>$M$7</f>
        <v>2021</v>
      </c>
      <c r="N273" s="355">
        <f>$N$7</f>
        <v>2022</v>
      </c>
      <c r="O273" s="355">
        <f>$O$7</f>
        <v>2023</v>
      </c>
      <c r="P273" s="355">
        <f>$P$7</f>
        <v>2024</v>
      </c>
      <c r="Q273" s="355">
        <f>$Q$7</f>
        <v>2025</v>
      </c>
    </row>
    <row r="276" spans="2:17" x14ac:dyDescent="0.25">
      <c r="B276" s="232" t="s">
        <v>173</v>
      </c>
      <c r="C276" s="54"/>
      <c r="D276" s="54"/>
      <c r="E276" s="233">
        <f>Assumptions!Q9</f>
        <v>0.35</v>
      </c>
    </row>
    <row r="278" spans="2:17" s="52" customFormat="1" x14ac:dyDescent="0.25">
      <c r="B278" s="52" t="s">
        <v>176</v>
      </c>
      <c r="F278" s="52" t="s">
        <v>175</v>
      </c>
      <c r="G278" s="140"/>
      <c r="H278" s="140" t="s">
        <v>102</v>
      </c>
      <c r="M278" s="129">
        <f>M107</f>
        <v>32.674257333333387</v>
      </c>
      <c r="N278" s="129">
        <f>N107</f>
        <v>6.4047561420785364</v>
      </c>
      <c r="O278" s="129">
        <f>O107</f>
        <v>40.837681292243417</v>
      </c>
      <c r="P278" s="129">
        <f>P107</f>
        <v>30.280534279546544</v>
      </c>
      <c r="Q278" s="129">
        <f>Q107</f>
        <v>7.8391672952983038</v>
      </c>
    </row>
    <row r="279" spans="2:17" s="52" customFormat="1" x14ac:dyDescent="0.25">
      <c r="G279" s="140"/>
      <c r="H279" s="82"/>
      <c r="J279" s="129"/>
      <c r="K279" s="129"/>
      <c r="L279" s="129"/>
      <c r="M279" s="129"/>
      <c r="N279" s="129"/>
      <c r="O279" s="129"/>
      <c r="P279" s="129"/>
      <c r="Q279" s="129"/>
    </row>
    <row r="280" spans="2:17" x14ac:dyDescent="0.25">
      <c r="B280" s="24" t="s">
        <v>189</v>
      </c>
      <c r="H280" s="82" t="s">
        <v>102</v>
      </c>
      <c r="M280" s="175">
        <f>Assumptions!M57</f>
        <v>5</v>
      </c>
      <c r="N280" s="175">
        <f>Assumptions!N57</f>
        <v>5</v>
      </c>
      <c r="O280" s="175">
        <f>Assumptions!O57</f>
        <v>5</v>
      </c>
      <c r="P280" s="175">
        <f>Assumptions!P57</f>
        <v>5</v>
      </c>
      <c r="Q280" s="175">
        <f>Assumptions!Q57</f>
        <v>5</v>
      </c>
    </row>
    <row r="281" spans="2:17" s="52" customFormat="1" x14ac:dyDescent="0.25">
      <c r="B281" s="52" t="s">
        <v>174</v>
      </c>
      <c r="F281" s="52" t="s">
        <v>177</v>
      </c>
      <c r="G281" s="140"/>
      <c r="H281" s="140" t="s">
        <v>102</v>
      </c>
      <c r="M281" s="241">
        <f>M278-M280</f>
        <v>27.674257333333387</v>
      </c>
      <c r="N281" s="241">
        <f t="shared" ref="N281:Q281" si="85">N278-N280</f>
        <v>1.4047561420785364</v>
      </c>
      <c r="O281" s="241">
        <f t="shared" si="85"/>
        <v>35.837681292243417</v>
      </c>
      <c r="P281" s="241">
        <f t="shared" si="85"/>
        <v>25.280534279546544</v>
      </c>
      <c r="Q281" s="241">
        <f t="shared" si="85"/>
        <v>2.8391672952983038</v>
      </c>
    </row>
    <row r="282" spans="2:17" s="52" customFormat="1" x14ac:dyDescent="0.25">
      <c r="G282" s="140"/>
      <c r="H282" s="140"/>
      <c r="M282" s="240"/>
      <c r="N282" s="240"/>
      <c r="O282" s="240"/>
      <c r="P282" s="240"/>
      <c r="Q282" s="240"/>
    </row>
    <row r="283" spans="2:17" x14ac:dyDescent="0.25">
      <c r="C283" s="24" t="s">
        <v>178</v>
      </c>
      <c r="H283" s="82" t="s">
        <v>102</v>
      </c>
      <c r="M283" s="146">
        <f>$E$276*M278</f>
        <v>11.435990066666685</v>
      </c>
      <c r="N283" s="146">
        <f t="shared" ref="N283:Q283" si="86">$E$276*N278</f>
        <v>2.2416646497274875</v>
      </c>
      <c r="O283" s="146">
        <f t="shared" si="86"/>
        <v>14.293188452285195</v>
      </c>
      <c r="P283" s="146">
        <f t="shared" si="86"/>
        <v>10.598186997841289</v>
      </c>
      <c r="Q283" s="146">
        <f t="shared" si="86"/>
        <v>2.7437085533544061</v>
      </c>
    </row>
    <row r="284" spans="2:17" x14ac:dyDescent="0.25">
      <c r="M284" s="146"/>
      <c r="N284" s="146"/>
      <c r="O284" s="146"/>
      <c r="P284" s="146"/>
      <c r="Q284" s="146"/>
    </row>
    <row r="286" spans="2:17" s="52" customFormat="1" x14ac:dyDescent="0.25">
      <c r="C286" s="196" t="s">
        <v>179</v>
      </c>
      <c r="D286" s="139"/>
      <c r="E286" s="139"/>
      <c r="F286" s="139"/>
      <c r="G286" s="235"/>
      <c r="H286" s="235"/>
      <c r="I286" s="139"/>
      <c r="J286" s="139"/>
      <c r="K286" s="139"/>
      <c r="L286" s="139"/>
      <c r="M286" s="139"/>
      <c r="N286" s="139"/>
      <c r="O286" s="139"/>
      <c r="P286" s="139"/>
      <c r="Q286" s="236"/>
    </row>
    <row r="287" spans="2:17" x14ac:dyDescent="0.25">
      <c r="C287" s="198" t="s">
        <v>180</v>
      </c>
      <c r="H287" s="82" t="s">
        <v>102</v>
      </c>
      <c r="M287" s="125">
        <f>$E$276*M281</f>
        <v>9.6859900666666849</v>
      </c>
      <c r="N287" s="125">
        <f>$E$276*N281</f>
        <v>0.49166464972748769</v>
      </c>
      <c r="O287" s="125">
        <f t="shared" ref="O287:Q287" si="87">$E$276*O281</f>
        <v>12.543188452285195</v>
      </c>
      <c r="P287" s="125">
        <f>$E$276*P281</f>
        <v>8.8481869978412888</v>
      </c>
      <c r="Q287" s="125">
        <f t="shared" si="87"/>
        <v>0.99370855335440622</v>
      </c>
    </row>
    <row r="288" spans="2:17" x14ac:dyDescent="0.25">
      <c r="C288" s="198" t="str">
        <f>C110</f>
        <v>Deferred Income Taxes</v>
      </c>
      <c r="H288" s="82" t="s">
        <v>102</v>
      </c>
      <c r="M288" s="125">
        <f>M283-M287</f>
        <v>1.75</v>
      </c>
      <c r="N288" s="125">
        <f t="shared" ref="N288:Q288" si="88">N283-N287</f>
        <v>1.7499999999999998</v>
      </c>
      <c r="O288" s="125">
        <f t="shared" si="88"/>
        <v>1.75</v>
      </c>
      <c r="P288" s="125">
        <f t="shared" si="88"/>
        <v>1.75</v>
      </c>
      <c r="Q288" s="125">
        <f t="shared" si="88"/>
        <v>1.75</v>
      </c>
    </row>
    <row r="289" spans="2:19" s="52" customFormat="1" x14ac:dyDescent="0.25">
      <c r="C289" s="49" t="str">
        <f>C111</f>
        <v>Total Income Taxes</v>
      </c>
      <c r="D289" s="237"/>
      <c r="E289" s="237"/>
      <c r="F289" s="237"/>
      <c r="G289" s="238"/>
      <c r="H289" s="238" t="s">
        <v>102</v>
      </c>
      <c r="I289" s="237"/>
      <c r="J289" s="237"/>
      <c r="K289" s="237"/>
      <c r="L289" s="237"/>
      <c r="M289" s="239">
        <f>SUM(M287:M288)</f>
        <v>11.435990066666685</v>
      </c>
      <c r="N289" s="239">
        <f>SUM(N287:N288)</f>
        <v>2.2416646497274875</v>
      </c>
      <c r="O289" s="239">
        <f t="shared" ref="O289:Q289" si="89">SUM(O287:O288)</f>
        <v>14.293188452285195</v>
      </c>
      <c r="P289" s="239">
        <f t="shared" si="89"/>
        <v>10.598186997841289</v>
      </c>
      <c r="Q289" s="239">
        <f t="shared" si="89"/>
        <v>2.7437085533544061</v>
      </c>
    </row>
    <row r="290" spans="2:19" s="52" customFormat="1" x14ac:dyDescent="0.25">
      <c r="G290" s="140"/>
      <c r="H290" s="140"/>
      <c r="M290" s="132"/>
      <c r="N290" s="132"/>
      <c r="O290" s="132"/>
      <c r="P290" s="132"/>
      <c r="Q290" s="132"/>
    </row>
    <row r="291" spans="2:19" s="52" customFormat="1" x14ac:dyDescent="0.25">
      <c r="B291" s="237"/>
      <c r="C291" s="237"/>
      <c r="D291" s="237"/>
      <c r="E291" s="237"/>
      <c r="F291" s="237"/>
      <c r="G291" s="238"/>
      <c r="H291" s="238"/>
      <c r="I291" s="237"/>
      <c r="J291" s="237"/>
      <c r="K291" s="237"/>
      <c r="L291" s="237"/>
      <c r="M291" s="234"/>
      <c r="N291" s="234"/>
      <c r="O291" s="234"/>
      <c r="P291" s="234"/>
      <c r="Q291" s="234"/>
    </row>
    <row r="292" spans="2:19" x14ac:dyDescent="0.25">
      <c r="M292" s="109"/>
      <c r="N292" s="109"/>
      <c r="O292" s="109"/>
      <c r="P292" s="109"/>
      <c r="Q292" s="109"/>
    </row>
    <row r="293" spans="2:19" x14ac:dyDescent="0.25">
      <c r="B293" s="2"/>
      <c r="C293" s="2"/>
      <c r="D293" s="2"/>
      <c r="E293" s="2"/>
      <c r="F293" s="2"/>
      <c r="G293" s="115"/>
      <c r="H293" s="115"/>
      <c r="I293" s="3"/>
      <c r="J293" s="3"/>
      <c r="K293" s="3"/>
      <c r="L293" s="3"/>
      <c r="M293" s="3"/>
      <c r="N293" s="3"/>
      <c r="O293" s="3"/>
      <c r="P293" s="3"/>
      <c r="Q293" s="231" t="str">
        <f>$Q$232</f>
        <v>CURRENTLY RUNNING: WORSE CASE SCENARIO</v>
      </c>
      <c r="R293" s="3"/>
      <c r="S293" s="2"/>
    </row>
    <row r="294" spans="2:19" ht="22.8" x14ac:dyDescent="0.4">
      <c r="B294" s="4" t="str">
        <f>Cover!$E$14</f>
        <v>HANDERSON MANUFACTURING</v>
      </c>
      <c r="C294" s="4"/>
      <c r="D294" s="4"/>
      <c r="E294" s="4"/>
      <c r="F294" s="4"/>
      <c r="G294" s="116"/>
      <c r="H294" s="1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2"/>
    </row>
    <row r="295" spans="2:19" ht="17.399999999999999" x14ac:dyDescent="0.3">
      <c r="B295" s="5" t="s">
        <v>181</v>
      </c>
      <c r="C295" s="5"/>
      <c r="D295" s="5"/>
      <c r="E295" s="5"/>
      <c r="F295" s="5"/>
      <c r="G295" s="117"/>
      <c r="H295" s="117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2"/>
    </row>
    <row r="296" spans="2:19" ht="3" customHeight="1" thickBot="1" x14ac:dyDescent="0.35">
      <c r="B296" s="6"/>
      <c r="C296" s="6"/>
      <c r="D296" s="6"/>
      <c r="E296" s="6"/>
      <c r="F296" s="6"/>
      <c r="G296" s="118"/>
      <c r="H296" s="118"/>
      <c r="I296" s="6"/>
      <c r="J296" s="6"/>
      <c r="K296" s="6"/>
      <c r="L296" s="6"/>
      <c r="M296" s="6"/>
      <c r="N296" s="6"/>
      <c r="O296" s="6"/>
      <c r="P296" s="6"/>
      <c r="Q296" s="6"/>
      <c r="R296" s="5"/>
      <c r="S296" s="2"/>
    </row>
    <row r="297" spans="2:19" x14ac:dyDescent="0.25">
      <c r="B297" s="7" t="s">
        <v>1</v>
      </c>
      <c r="C297" s="2"/>
      <c r="D297" s="2"/>
      <c r="E297" s="2"/>
      <c r="F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2:19" x14ac:dyDescent="0.25">
      <c r="B298" s="2"/>
      <c r="C298" s="2"/>
      <c r="D298" s="2"/>
      <c r="E298" s="2"/>
      <c r="F298" s="8"/>
      <c r="I298" s="2"/>
      <c r="J298" s="2"/>
      <c r="K298" s="2"/>
      <c r="L298" s="2"/>
      <c r="M298" s="107" t="s">
        <v>3</v>
      </c>
      <c r="N298" s="106"/>
      <c r="O298" s="106"/>
      <c r="P298" s="106"/>
      <c r="Q298" s="106"/>
      <c r="R298" s="2"/>
      <c r="S298" s="2"/>
    </row>
    <row r="299" spans="2:19" s="352" customFormat="1" x14ac:dyDescent="0.25">
      <c r="G299" s="353"/>
      <c r="H299" s="353" t="s">
        <v>5</v>
      </c>
      <c r="I299" s="353"/>
      <c r="J299" s="354">
        <f>$J$7</f>
        <v>2018</v>
      </c>
      <c r="K299" s="354">
        <f>$K$7</f>
        <v>2019</v>
      </c>
      <c r="L299" s="354">
        <f>$L$7</f>
        <v>2020</v>
      </c>
      <c r="M299" s="355">
        <f>$M$7</f>
        <v>2021</v>
      </c>
      <c r="N299" s="355">
        <f>$N$7</f>
        <v>2022</v>
      </c>
      <c r="O299" s="355">
        <f>$O$7</f>
        <v>2023</v>
      </c>
      <c r="P299" s="355">
        <f>$P$7</f>
        <v>2024</v>
      </c>
      <c r="Q299" s="355">
        <f>$Q$7</f>
        <v>2025</v>
      </c>
    </row>
    <row r="301" spans="2:19" x14ac:dyDescent="0.25">
      <c r="B301" s="52" t="s">
        <v>192</v>
      </c>
    </row>
    <row r="302" spans="2:19" x14ac:dyDescent="0.25">
      <c r="C302" s="24" t="s">
        <v>184</v>
      </c>
      <c r="M302" s="251">
        <f>L304</f>
        <v>0.3</v>
      </c>
      <c r="N302" s="251">
        <f t="shared" ref="N302:Q302" si="90">M304</f>
        <v>-4.2743586448068527E-15</v>
      </c>
      <c r="O302" s="251">
        <f t="shared" si="90"/>
        <v>-4.2743586448068527E-15</v>
      </c>
      <c r="P302" s="251">
        <f t="shared" si="90"/>
        <v>-4.2743586448068527E-15</v>
      </c>
      <c r="Q302" s="251">
        <f t="shared" si="90"/>
        <v>-4.2743586448068527E-15</v>
      </c>
    </row>
    <row r="303" spans="2:19" x14ac:dyDescent="0.25">
      <c r="C303" s="24" t="s">
        <v>197</v>
      </c>
      <c r="M303" s="251">
        <f>M154</f>
        <v>-0.30000000000000426</v>
      </c>
      <c r="N303" s="251">
        <f t="shared" ref="N303:Q303" si="91">N154</f>
        <v>0</v>
      </c>
      <c r="O303" s="251">
        <f t="shared" si="91"/>
        <v>0</v>
      </c>
      <c r="P303" s="251">
        <f t="shared" si="91"/>
        <v>0</v>
      </c>
      <c r="Q303" s="251">
        <f t="shared" si="91"/>
        <v>0</v>
      </c>
    </row>
    <row r="304" spans="2:19" s="52" customFormat="1" x14ac:dyDescent="0.25">
      <c r="C304" s="52" t="s">
        <v>186</v>
      </c>
      <c r="G304" s="140"/>
      <c r="H304" s="140"/>
      <c r="L304" s="272">
        <f>L170</f>
        <v>0.3</v>
      </c>
      <c r="M304" s="272">
        <f>M302+M303</f>
        <v>-4.2743586448068527E-15</v>
      </c>
      <c r="N304" s="272">
        <f t="shared" ref="N304:Q304" si="92">N302+N303</f>
        <v>-4.2743586448068527E-15</v>
      </c>
      <c r="O304" s="272">
        <f t="shared" si="92"/>
        <v>-4.2743586448068527E-15</v>
      </c>
      <c r="P304" s="272">
        <f t="shared" si="92"/>
        <v>-4.2743586448068527E-15</v>
      </c>
      <c r="Q304" s="272">
        <f t="shared" si="92"/>
        <v>-4.2743586448068527E-15</v>
      </c>
    </row>
    <row r="306" spans="2:17" x14ac:dyDescent="0.25">
      <c r="C306" s="24" t="s">
        <v>194</v>
      </c>
      <c r="M306" s="138">
        <f>Assumptions!Q14</f>
        <v>0.01</v>
      </c>
      <c r="N306" s="252">
        <f>M306</f>
        <v>0.01</v>
      </c>
      <c r="O306" s="252">
        <f t="shared" ref="O306:Q306" si="93">N306</f>
        <v>0.01</v>
      </c>
      <c r="P306" s="252">
        <f t="shared" si="93"/>
        <v>0.01</v>
      </c>
      <c r="Q306" s="252">
        <f t="shared" si="93"/>
        <v>0.01</v>
      </c>
    </row>
    <row r="307" spans="2:17" s="52" customFormat="1" ht="13.8" thickBot="1" x14ac:dyDescent="0.3">
      <c r="C307" s="52" t="s">
        <v>198</v>
      </c>
      <c r="G307" s="140"/>
      <c r="H307" s="140"/>
      <c r="M307" s="262">
        <f>M306*AVERAGE(L304,M302)</f>
        <v>3.0000000000000001E-3</v>
      </c>
      <c r="N307" s="262">
        <f t="shared" ref="N307:Q307" si="94">N306*AVERAGE(M304,N302)</f>
        <v>-4.2743586448068528E-17</v>
      </c>
      <c r="O307" s="262">
        <f t="shared" si="94"/>
        <v>-4.2743586448068528E-17</v>
      </c>
      <c r="P307" s="262">
        <f t="shared" si="94"/>
        <v>-4.2743586448068528E-17</v>
      </c>
      <c r="Q307" s="262">
        <f t="shared" si="94"/>
        <v>-4.2743586448068528E-17</v>
      </c>
    </row>
    <row r="308" spans="2:17" ht="13.8" thickTop="1" x14ac:dyDescent="0.25"/>
    <row r="310" spans="2:17" x14ac:dyDescent="0.25">
      <c r="B310" s="52" t="str">
        <f>C185</f>
        <v>Bank Debt - Revolver</v>
      </c>
    </row>
    <row r="311" spans="2:17" x14ac:dyDescent="0.25">
      <c r="C311" s="24" t="s">
        <v>124</v>
      </c>
      <c r="M311" s="251">
        <f>M137</f>
        <v>41.046141199086811</v>
      </c>
      <c r="N311" s="251">
        <f t="shared" ref="N311:Q311" si="95">N137</f>
        <v>29.152303556584833</v>
      </c>
      <c r="O311" s="251">
        <f t="shared" si="95"/>
        <v>42.509370082226546</v>
      </c>
      <c r="P311" s="251">
        <f t="shared" si="95"/>
        <v>38.772696655570037</v>
      </c>
      <c r="Q311" s="251">
        <f t="shared" si="95"/>
        <v>28.80070224512307</v>
      </c>
    </row>
    <row r="312" spans="2:17" x14ac:dyDescent="0.25">
      <c r="C312" s="24" t="s">
        <v>126</v>
      </c>
      <c r="M312" s="251">
        <f>M143</f>
        <v>-16</v>
      </c>
      <c r="N312" s="251">
        <f t="shared" ref="N312:Q312" si="96">N143</f>
        <v>-17.3</v>
      </c>
      <c r="O312" s="251">
        <f t="shared" si="96"/>
        <v>-17.5</v>
      </c>
      <c r="P312" s="251">
        <f t="shared" si="96"/>
        <v>-17.5</v>
      </c>
      <c r="Q312" s="251">
        <f t="shared" si="96"/>
        <v>-18</v>
      </c>
    </row>
    <row r="313" spans="2:17" x14ac:dyDescent="0.25">
      <c r="C313" s="24" t="s">
        <v>199</v>
      </c>
      <c r="M313" s="227">
        <f>Assumptions!M68</f>
        <v>-25</v>
      </c>
      <c r="N313" s="227">
        <f>Assumptions!N68</f>
        <v>-25</v>
      </c>
      <c r="O313" s="227">
        <f>Assumptions!O68</f>
        <v>-25</v>
      </c>
      <c r="P313" s="227">
        <f>Assumptions!P68</f>
        <v>-25</v>
      </c>
      <c r="Q313" s="227">
        <f>Assumptions!Q68</f>
        <v>-25</v>
      </c>
    </row>
    <row r="314" spans="2:17" x14ac:dyDescent="0.25">
      <c r="C314" s="24" t="s">
        <v>200</v>
      </c>
      <c r="M314" s="146">
        <f>M353</f>
        <v>0</v>
      </c>
      <c r="N314" s="146">
        <f t="shared" ref="N314:Q314" si="97">N353</f>
        <v>0</v>
      </c>
      <c r="O314" s="146">
        <f t="shared" si="97"/>
        <v>0</v>
      </c>
      <c r="P314" s="146">
        <f t="shared" si="97"/>
        <v>0</v>
      </c>
      <c r="Q314" s="146">
        <f t="shared" si="97"/>
        <v>0</v>
      </c>
    </row>
    <row r="315" spans="2:17" x14ac:dyDescent="0.25">
      <c r="C315" s="24" t="s">
        <v>201</v>
      </c>
      <c r="M315" s="251">
        <f>-M358</f>
        <v>-4.2476534533333412</v>
      </c>
      <c r="N315" s="251">
        <f t="shared" ref="N315:Q315" si="98">-N358</f>
        <v>-0.83261829847020974</v>
      </c>
      <c r="O315" s="251">
        <f t="shared" si="98"/>
        <v>-5.3088985679916449</v>
      </c>
      <c r="P315" s="251">
        <f t="shared" si="98"/>
        <v>-3.9364694563410509</v>
      </c>
      <c r="Q315" s="251">
        <f t="shared" si="98"/>
        <v>-1.0190917483887796</v>
      </c>
    </row>
    <row r="316" spans="2:17" s="52" customFormat="1" x14ac:dyDescent="0.25">
      <c r="C316" s="52" t="s">
        <v>202</v>
      </c>
      <c r="G316" s="140"/>
      <c r="H316" s="140"/>
      <c r="M316" s="263">
        <f>SUM(M311:M315)</f>
        <v>-4.2015122542465297</v>
      </c>
      <c r="N316" s="263">
        <f t="shared" ref="N316:Q316" si="99">SUM(N311:N315)</f>
        <v>-13.980314741885378</v>
      </c>
      <c r="O316" s="263">
        <f t="shared" si="99"/>
        <v>-5.2995284857650988</v>
      </c>
      <c r="P316" s="263">
        <f t="shared" si="99"/>
        <v>-7.6637728007710137</v>
      </c>
      <c r="Q316" s="263">
        <f t="shared" si="99"/>
        <v>-15.21838950326571</v>
      </c>
    </row>
    <row r="317" spans="2:17" x14ac:dyDescent="0.25">
      <c r="C317" s="24" t="s">
        <v>214</v>
      </c>
      <c r="M317" s="251">
        <v>0</v>
      </c>
      <c r="N317" s="251">
        <v>0</v>
      </c>
      <c r="O317" s="251">
        <v>0</v>
      </c>
      <c r="P317" s="251">
        <v>0</v>
      </c>
      <c r="Q317" s="251">
        <v>0</v>
      </c>
    </row>
    <row r="318" spans="2:17" s="52" customFormat="1" x14ac:dyDescent="0.25">
      <c r="G318" s="140"/>
      <c r="H318" s="140"/>
      <c r="M318" s="264"/>
      <c r="N318" s="264"/>
      <c r="O318" s="264"/>
      <c r="P318" s="264"/>
      <c r="Q318" s="264"/>
    </row>
    <row r="320" spans="2:17" x14ac:dyDescent="0.25">
      <c r="C320" s="24" t="s">
        <v>203</v>
      </c>
      <c r="M320" s="251">
        <f>L322</f>
        <v>0</v>
      </c>
      <c r="N320" s="251">
        <f t="shared" ref="N320:Q320" si="100">M322</f>
        <v>3.9015122542465299</v>
      </c>
      <c r="O320" s="251">
        <f t="shared" si="100"/>
        <v>17.881826996131913</v>
      </c>
      <c r="P320" s="251">
        <f t="shared" si="100"/>
        <v>23.181355481897015</v>
      </c>
      <c r="Q320" s="251">
        <f t="shared" si="100"/>
        <v>30.845128282668032</v>
      </c>
    </row>
    <row r="321" spans="2:17" x14ac:dyDescent="0.25">
      <c r="C321" s="24" t="s">
        <v>204</v>
      </c>
      <c r="M321" s="251">
        <f>-MIN(M320,M316+M302-M317)</f>
        <v>3.9015122542465299</v>
      </c>
      <c r="N321" s="251">
        <f t="shared" ref="N321:Q321" si="101">-MIN(N320,N316+N302-N317)</f>
        <v>13.980314741885381</v>
      </c>
      <c r="O321" s="251">
        <f t="shared" si="101"/>
        <v>5.2995284857651033</v>
      </c>
      <c r="P321" s="251">
        <f t="shared" si="101"/>
        <v>7.6637728007710182</v>
      </c>
      <c r="Q321" s="251">
        <f t="shared" si="101"/>
        <v>15.218389503265714</v>
      </c>
    </row>
    <row r="322" spans="2:17" s="52" customFormat="1" x14ac:dyDescent="0.25">
      <c r="C322" s="52" t="s">
        <v>205</v>
      </c>
      <c r="G322" s="140"/>
      <c r="H322" s="140"/>
      <c r="L322" s="260">
        <f>L185</f>
        <v>0</v>
      </c>
      <c r="M322" s="241">
        <f>M320+M321</f>
        <v>3.9015122542465299</v>
      </c>
      <c r="N322" s="241">
        <f t="shared" ref="N322:Q322" si="102">N320+N321</f>
        <v>17.881826996131913</v>
      </c>
      <c r="O322" s="241">
        <f t="shared" si="102"/>
        <v>23.181355481897015</v>
      </c>
      <c r="P322" s="241">
        <f t="shared" si="102"/>
        <v>30.845128282668032</v>
      </c>
      <c r="Q322" s="241">
        <f t="shared" si="102"/>
        <v>46.063517785933747</v>
      </c>
    </row>
    <row r="324" spans="2:17" x14ac:dyDescent="0.25">
      <c r="C324" s="24" t="s">
        <v>194</v>
      </c>
      <c r="M324" s="138">
        <f>Assumptions!Q15</f>
        <v>0.06</v>
      </c>
      <c r="N324" s="252">
        <f>M324</f>
        <v>0.06</v>
      </c>
      <c r="O324" s="252">
        <f t="shared" ref="O324:Q324" si="103">N324</f>
        <v>0.06</v>
      </c>
      <c r="P324" s="252">
        <f t="shared" si="103"/>
        <v>0.06</v>
      </c>
      <c r="Q324" s="252">
        <f t="shared" si="103"/>
        <v>0.06</v>
      </c>
    </row>
    <row r="325" spans="2:17" s="52" customFormat="1" ht="13.8" thickBot="1" x14ac:dyDescent="0.3">
      <c r="C325" s="52" t="s">
        <v>206</v>
      </c>
      <c r="G325" s="140"/>
      <c r="H325" s="140"/>
      <c r="M325" s="265">
        <f>M324*AVERAGE(L322,M320)</f>
        <v>0</v>
      </c>
      <c r="N325" s="265">
        <f t="shared" ref="N325:Q325" si="104">N324*AVERAGE(M322,N320)</f>
        <v>0.23409073525479179</v>
      </c>
      <c r="O325" s="265">
        <f t="shared" si="104"/>
        <v>1.0729096197679147</v>
      </c>
      <c r="P325" s="265">
        <f t="shared" si="104"/>
        <v>1.3908813289138209</v>
      </c>
      <c r="Q325" s="265">
        <f t="shared" si="104"/>
        <v>1.8507076969600817</v>
      </c>
    </row>
    <row r="326" spans="2:17" ht="13.8" thickTop="1" x14ac:dyDescent="0.25"/>
    <row r="328" spans="2:17" x14ac:dyDescent="0.25">
      <c r="B328" s="52" t="str">
        <f>C191</f>
        <v>Senior Secured Term Debt</v>
      </c>
    </row>
    <row r="329" spans="2:17" x14ac:dyDescent="0.25">
      <c r="C329" s="24" t="s">
        <v>184</v>
      </c>
      <c r="M329" s="251">
        <f>L331</f>
        <v>200</v>
      </c>
      <c r="N329" s="251">
        <f t="shared" ref="N329:Q329" si="105">M331</f>
        <v>175</v>
      </c>
      <c r="O329" s="251">
        <f t="shared" si="105"/>
        <v>150</v>
      </c>
      <c r="P329" s="251">
        <f t="shared" si="105"/>
        <v>125</v>
      </c>
      <c r="Q329" s="251">
        <f t="shared" si="105"/>
        <v>100</v>
      </c>
    </row>
    <row r="330" spans="2:17" x14ac:dyDescent="0.25">
      <c r="C330" s="24" t="s">
        <v>193</v>
      </c>
      <c r="M330" s="261">
        <f>Assumptions!M68</f>
        <v>-25</v>
      </c>
      <c r="N330" s="261">
        <f>Assumptions!N68</f>
        <v>-25</v>
      </c>
      <c r="O330" s="261">
        <f>Assumptions!O68</f>
        <v>-25</v>
      </c>
      <c r="P330" s="261">
        <f>Assumptions!P68</f>
        <v>-25</v>
      </c>
      <c r="Q330" s="261">
        <f>Assumptions!Q68</f>
        <v>-25</v>
      </c>
    </row>
    <row r="331" spans="2:17" s="52" customFormat="1" x14ac:dyDescent="0.25">
      <c r="C331" s="52" t="s">
        <v>186</v>
      </c>
      <c r="G331" s="140"/>
      <c r="H331" s="140"/>
      <c r="L331" s="134">
        <f>L191</f>
        <v>200</v>
      </c>
      <c r="M331" s="134">
        <f>M329+M330</f>
        <v>175</v>
      </c>
      <c r="N331" s="134">
        <f t="shared" ref="N331:Q331" si="106">N329+N330</f>
        <v>150</v>
      </c>
      <c r="O331" s="134">
        <f t="shared" si="106"/>
        <v>125</v>
      </c>
      <c r="P331" s="134">
        <f t="shared" si="106"/>
        <v>100</v>
      </c>
      <c r="Q331" s="134">
        <f t="shared" si="106"/>
        <v>75</v>
      </c>
    </row>
    <row r="333" spans="2:17" x14ac:dyDescent="0.25">
      <c r="C333" s="24" t="s">
        <v>194</v>
      </c>
      <c r="M333" s="138">
        <f>Assumptions!Q16</f>
        <v>0.06</v>
      </c>
      <c r="N333" s="252">
        <f>M333</f>
        <v>0.06</v>
      </c>
      <c r="O333" s="252">
        <f t="shared" ref="O333:Q333" si="107">N333</f>
        <v>0.06</v>
      </c>
      <c r="P333" s="252">
        <f t="shared" si="107"/>
        <v>0.06</v>
      </c>
      <c r="Q333" s="252">
        <f t="shared" si="107"/>
        <v>0.06</v>
      </c>
    </row>
    <row r="334" spans="2:17" s="52" customFormat="1" ht="13.8" thickBot="1" x14ac:dyDescent="0.3">
      <c r="C334" s="52" t="s">
        <v>195</v>
      </c>
      <c r="G334" s="140"/>
      <c r="H334" s="140"/>
      <c r="M334" s="133">
        <f>M333*AVERAGE(M329,L331)</f>
        <v>12</v>
      </c>
      <c r="N334" s="133">
        <f t="shared" ref="N334:Q334" si="108">N333*AVERAGE(N329,M331)</f>
        <v>10.5</v>
      </c>
      <c r="O334" s="133">
        <f t="shared" si="108"/>
        <v>9</v>
      </c>
      <c r="P334" s="133">
        <f t="shared" si="108"/>
        <v>7.5</v>
      </c>
      <c r="Q334" s="133">
        <f t="shared" si="108"/>
        <v>6</v>
      </c>
    </row>
    <row r="335" spans="2:17" ht="13.8" thickTop="1" x14ac:dyDescent="0.25"/>
    <row r="336" spans="2:17" s="52" customFormat="1" ht="13.8" thickBot="1" x14ac:dyDescent="0.3">
      <c r="C336" s="52" t="s">
        <v>196</v>
      </c>
      <c r="G336" s="140"/>
      <c r="H336" s="140"/>
      <c r="M336" s="133">
        <f>M334+M325-M307</f>
        <v>11.997</v>
      </c>
      <c r="N336" s="133">
        <f t="shared" ref="N336:Q336" si="109">N334+N325-N307</f>
        <v>10.734090735254792</v>
      </c>
      <c r="O336" s="133">
        <f t="shared" si="109"/>
        <v>10.072909619767914</v>
      </c>
      <c r="P336" s="133">
        <f t="shared" si="109"/>
        <v>8.8908813289138209</v>
      </c>
      <c r="Q336" s="133">
        <f t="shared" si="109"/>
        <v>7.8507076969600815</v>
      </c>
    </row>
    <row r="337" spans="2:19" ht="13.8" thickTop="1" x14ac:dyDescent="0.25"/>
    <row r="343" spans="2:19" x14ac:dyDescent="0.25">
      <c r="B343" s="2"/>
      <c r="C343" s="2"/>
      <c r="D343" s="2"/>
      <c r="E343" s="2"/>
      <c r="F343" s="2"/>
      <c r="G343" s="115"/>
      <c r="H343" s="115"/>
      <c r="I343" s="3"/>
      <c r="J343" s="3"/>
      <c r="K343" s="3"/>
      <c r="L343" s="3"/>
      <c r="M343" s="3"/>
      <c r="N343" s="3"/>
      <c r="O343" s="3"/>
      <c r="P343" s="3"/>
      <c r="Q343" s="231" t="str">
        <f>$Q$232</f>
        <v>CURRENTLY RUNNING: WORSE CASE SCENARIO</v>
      </c>
      <c r="R343" s="3"/>
      <c r="S343" s="2"/>
    </row>
    <row r="344" spans="2:19" ht="22.8" x14ac:dyDescent="0.4">
      <c r="B344" s="4" t="str">
        <f>Cover!$E$14</f>
        <v>HANDERSON MANUFACTURING</v>
      </c>
      <c r="C344" s="4"/>
      <c r="D344" s="4"/>
      <c r="E344" s="4"/>
      <c r="F344" s="4"/>
      <c r="G344" s="116"/>
      <c r="H344" s="116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2"/>
    </row>
    <row r="345" spans="2:19" ht="17.399999999999999" x14ac:dyDescent="0.3">
      <c r="B345" s="5" t="s">
        <v>183</v>
      </c>
      <c r="C345" s="5"/>
      <c r="D345" s="5"/>
      <c r="E345" s="5"/>
      <c r="F345" s="5"/>
      <c r="G345" s="117"/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2"/>
    </row>
    <row r="346" spans="2:19" ht="3" customHeight="1" thickBot="1" x14ac:dyDescent="0.35">
      <c r="B346" s="6"/>
      <c r="C346" s="6"/>
      <c r="D346" s="6"/>
      <c r="E346" s="6"/>
      <c r="F346" s="6"/>
      <c r="G346" s="118"/>
      <c r="H346" s="118"/>
      <c r="I346" s="6"/>
      <c r="J346" s="6"/>
      <c r="K346" s="6"/>
      <c r="L346" s="6"/>
      <c r="M346" s="6"/>
      <c r="N346" s="6"/>
      <c r="O346" s="6"/>
      <c r="P346" s="6"/>
      <c r="Q346" s="6"/>
      <c r="R346" s="5"/>
      <c r="S346" s="2"/>
    </row>
    <row r="347" spans="2:19" x14ac:dyDescent="0.25">
      <c r="B347" s="7" t="s">
        <v>1</v>
      </c>
      <c r="C347" s="2"/>
      <c r="D347" s="2"/>
      <c r="E347" s="2"/>
      <c r="F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2:19" x14ac:dyDescent="0.25">
      <c r="B348" s="2"/>
      <c r="C348" s="2"/>
      <c r="D348" s="2"/>
      <c r="E348" s="2"/>
      <c r="F348" s="8"/>
      <c r="I348" s="2"/>
      <c r="J348" s="2"/>
      <c r="K348" s="2"/>
      <c r="L348" s="2"/>
      <c r="M348" s="107" t="s">
        <v>3</v>
      </c>
      <c r="N348" s="106"/>
      <c r="O348" s="106"/>
      <c r="P348" s="106"/>
      <c r="Q348" s="106"/>
      <c r="R348" s="2"/>
      <c r="S348" s="2"/>
    </row>
    <row r="349" spans="2:19" s="352" customFormat="1" x14ac:dyDescent="0.25">
      <c r="G349" s="353"/>
      <c r="H349" s="353" t="s">
        <v>5</v>
      </c>
      <c r="I349" s="353"/>
      <c r="J349" s="354">
        <f>$J$7</f>
        <v>2018</v>
      </c>
      <c r="K349" s="354">
        <f>$K$7</f>
        <v>2019</v>
      </c>
      <c r="L349" s="354">
        <f>$L$7</f>
        <v>2020</v>
      </c>
      <c r="M349" s="355">
        <f>$M$7</f>
        <v>2021</v>
      </c>
      <c r="N349" s="355">
        <f>$N$7</f>
        <v>2022</v>
      </c>
      <c r="O349" s="355">
        <f>$O$7</f>
        <v>2023</v>
      </c>
      <c r="P349" s="355">
        <f>$P$7</f>
        <v>2024</v>
      </c>
      <c r="Q349" s="355">
        <f>$Q$7</f>
        <v>2025</v>
      </c>
    </row>
    <row r="351" spans="2:19" x14ac:dyDescent="0.25">
      <c r="B351" s="52" t="s">
        <v>147</v>
      </c>
    </row>
    <row r="352" spans="2:19" x14ac:dyDescent="0.25">
      <c r="C352" s="24" t="s">
        <v>184</v>
      </c>
      <c r="H352" s="82" t="s">
        <v>102</v>
      </c>
      <c r="M352" s="251">
        <f>L354</f>
        <v>120</v>
      </c>
      <c r="N352" s="251">
        <f t="shared" ref="N352:Q352" si="110">M354</f>
        <v>120</v>
      </c>
      <c r="O352" s="251">
        <f t="shared" si="110"/>
        <v>120</v>
      </c>
      <c r="P352" s="251">
        <f t="shared" si="110"/>
        <v>120</v>
      </c>
      <c r="Q352" s="251">
        <f t="shared" si="110"/>
        <v>120</v>
      </c>
    </row>
    <row r="353" spans="2:17" x14ac:dyDescent="0.25">
      <c r="C353" s="24" t="s">
        <v>187</v>
      </c>
      <c r="H353" s="82" t="s">
        <v>102</v>
      </c>
      <c r="M353" s="175">
        <f>Assumptions!M69</f>
        <v>0</v>
      </c>
      <c r="N353" s="175">
        <f>Assumptions!N69</f>
        <v>0</v>
      </c>
      <c r="O353" s="175">
        <f>Assumptions!O69</f>
        <v>0</v>
      </c>
      <c r="P353" s="175">
        <f>Assumptions!P69</f>
        <v>0</v>
      </c>
      <c r="Q353" s="175">
        <f>Assumptions!Q69</f>
        <v>0</v>
      </c>
    </row>
    <row r="354" spans="2:17" s="52" customFormat="1" x14ac:dyDescent="0.25">
      <c r="C354" s="52" t="s">
        <v>188</v>
      </c>
      <c r="G354" s="140"/>
      <c r="H354" s="140" t="s">
        <v>102</v>
      </c>
      <c r="L354" s="253">
        <f>L196</f>
        <v>120</v>
      </c>
      <c r="M354" s="134">
        <f>M352+M353</f>
        <v>120</v>
      </c>
      <c r="N354" s="134">
        <f t="shared" ref="N354:Q354" si="111">N352+N353</f>
        <v>120</v>
      </c>
      <c r="O354" s="134">
        <f t="shared" si="111"/>
        <v>120</v>
      </c>
      <c r="P354" s="134">
        <f t="shared" si="111"/>
        <v>120</v>
      </c>
      <c r="Q354" s="134">
        <f t="shared" si="111"/>
        <v>120</v>
      </c>
    </row>
    <row r="356" spans="2:17" x14ac:dyDescent="0.25">
      <c r="C356" s="24" t="s">
        <v>190</v>
      </c>
      <c r="M356" s="138">
        <f>Assumptions!Q24</f>
        <v>0.2</v>
      </c>
      <c r="N356" s="252">
        <f>M356</f>
        <v>0.2</v>
      </c>
      <c r="O356" s="252">
        <f t="shared" ref="O356:Q356" si="112">N356</f>
        <v>0.2</v>
      </c>
      <c r="P356" s="252">
        <f t="shared" si="112"/>
        <v>0.2</v>
      </c>
      <c r="Q356" s="252">
        <f t="shared" si="112"/>
        <v>0.2</v>
      </c>
    </row>
    <row r="357" spans="2:17" x14ac:dyDescent="0.25">
      <c r="C357" s="24" t="s">
        <v>122</v>
      </c>
      <c r="M357" s="109">
        <f>M133</f>
        <v>21.238267266666703</v>
      </c>
      <c r="N357" s="109">
        <f>N133</f>
        <v>4.1630914923510485</v>
      </c>
      <c r="O357" s="109">
        <f>O133</f>
        <v>26.544492839958224</v>
      </c>
      <c r="P357" s="109">
        <f>P133</f>
        <v>19.682347281705255</v>
      </c>
      <c r="Q357" s="109">
        <f>Q133</f>
        <v>5.0954587419438973</v>
      </c>
    </row>
    <row r="358" spans="2:17" s="52" customFormat="1" ht="13.8" thickBot="1" x14ac:dyDescent="0.3">
      <c r="C358" s="52" t="s">
        <v>191</v>
      </c>
      <c r="G358" s="140"/>
      <c r="H358" s="140"/>
      <c r="M358" s="133">
        <f>MAX(0, M356*M357)</f>
        <v>4.2476534533333412</v>
      </c>
      <c r="N358" s="133">
        <f t="shared" ref="N358:Q358" si="113">MAX(0, N356*N357)</f>
        <v>0.83261829847020974</v>
      </c>
      <c r="O358" s="133">
        <f t="shared" si="113"/>
        <v>5.3088985679916449</v>
      </c>
      <c r="P358" s="133">
        <f t="shared" si="113"/>
        <v>3.9364694563410509</v>
      </c>
      <c r="Q358" s="133">
        <f t="shared" si="113"/>
        <v>1.0190917483887796</v>
      </c>
    </row>
    <row r="359" spans="2:17" ht="13.8" thickTop="1" x14ac:dyDescent="0.25"/>
    <row r="360" spans="2:17" x14ac:dyDescent="0.25">
      <c r="B360" s="52" t="s">
        <v>148</v>
      </c>
    </row>
    <row r="361" spans="2:17" x14ac:dyDescent="0.25">
      <c r="C361" s="24" t="s">
        <v>184</v>
      </c>
      <c r="H361" s="82" t="s">
        <v>102</v>
      </c>
      <c r="L361" s="146"/>
      <c r="M361" s="146">
        <f>L364</f>
        <v>138.50000000000003</v>
      </c>
      <c r="N361" s="146">
        <f t="shared" ref="N361:Q361" si="114">M364</f>
        <v>155.4906138133334</v>
      </c>
      <c r="O361" s="146">
        <f t="shared" si="114"/>
        <v>158.82108700721423</v>
      </c>
      <c r="P361" s="146">
        <f t="shared" si="114"/>
        <v>180.05668127918082</v>
      </c>
      <c r="Q361" s="146">
        <f t="shared" si="114"/>
        <v>195.80255910454503</v>
      </c>
    </row>
    <row r="362" spans="2:17" x14ac:dyDescent="0.25">
      <c r="C362" s="24" t="s">
        <v>122</v>
      </c>
      <c r="H362" s="82" t="s">
        <v>102</v>
      </c>
      <c r="L362" s="146"/>
      <c r="M362" s="146">
        <f>M357</f>
        <v>21.238267266666703</v>
      </c>
      <c r="N362" s="146">
        <f t="shared" ref="N362:Q362" si="115">N357</f>
        <v>4.1630914923510485</v>
      </c>
      <c r="O362" s="146">
        <f t="shared" si="115"/>
        <v>26.544492839958224</v>
      </c>
      <c r="P362" s="146">
        <f t="shared" si="115"/>
        <v>19.682347281705255</v>
      </c>
      <c r="Q362" s="146">
        <f t="shared" si="115"/>
        <v>5.0954587419438973</v>
      </c>
    </row>
    <row r="363" spans="2:17" x14ac:dyDescent="0.25">
      <c r="C363" s="24" t="s">
        <v>185</v>
      </c>
      <c r="H363" s="82" t="s">
        <v>102</v>
      </c>
      <c r="L363" s="146"/>
      <c r="M363" s="146">
        <f>M358</f>
        <v>4.2476534533333412</v>
      </c>
      <c r="N363" s="146">
        <f t="shared" ref="N363:Q363" si="116">N358</f>
        <v>0.83261829847020974</v>
      </c>
      <c r="O363" s="146">
        <f t="shared" si="116"/>
        <v>5.3088985679916449</v>
      </c>
      <c r="P363" s="146">
        <f t="shared" si="116"/>
        <v>3.9364694563410509</v>
      </c>
      <c r="Q363" s="146">
        <f t="shared" si="116"/>
        <v>1.0190917483887796</v>
      </c>
    </row>
    <row r="364" spans="2:17" s="52" customFormat="1" ht="13.8" thickBot="1" x14ac:dyDescent="0.3">
      <c r="C364" s="52" t="s">
        <v>186</v>
      </c>
      <c r="G364" s="140"/>
      <c r="H364" s="140" t="s">
        <v>102</v>
      </c>
      <c r="L364" s="133">
        <f>L197</f>
        <v>138.50000000000003</v>
      </c>
      <c r="M364" s="133">
        <f>M361+M362-M363</f>
        <v>155.4906138133334</v>
      </c>
      <c r="N364" s="133">
        <f t="shared" ref="N364:Q364" si="117">N361+N362-N363</f>
        <v>158.82108700721423</v>
      </c>
      <c r="O364" s="133">
        <f t="shared" si="117"/>
        <v>180.05668127918082</v>
      </c>
      <c r="P364" s="133">
        <f t="shared" si="117"/>
        <v>195.80255910454503</v>
      </c>
      <c r="Q364" s="133">
        <f t="shared" si="117"/>
        <v>199.87892609810015</v>
      </c>
    </row>
    <row r="365" spans="2:17" s="52" customFormat="1" ht="13.8" thickTop="1" x14ac:dyDescent="0.25">
      <c r="G365" s="140"/>
      <c r="H365" s="140"/>
      <c r="L365" s="132"/>
      <c r="M365" s="132"/>
      <c r="N365" s="132"/>
      <c r="O365" s="132"/>
      <c r="P365" s="132"/>
      <c r="Q365" s="132"/>
    </row>
    <row r="367" spans="2:17" x14ac:dyDescent="0.25">
      <c r="B367" s="91"/>
      <c r="C367" s="91"/>
      <c r="D367" s="91"/>
      <c r="E367" s="91"/>
      <c r="F367" s="91"/>
      <c r="G367" s="183"/>
      <c r="H367" s="183"/>
      <c r="I367" s="91"/>
      <c r="J367" s="91"/>
      <c r="K367" s="91"/>
      <c r="L367" s="91"/>
      <c r="M367" s="91"/>
      <c r="N367" s="91"/>
      <c r="O367" s="91"/>
      <c r="P367" s="91"/>
      <c r="Q367" s="91"/>
    </row>
  </sheetData>
  <printOptions horizontalCentered="1"/>
  <pageMargins left="0.39370078740157483" right="0.11811023622047245" top="0.11811023622047245" bottom="0.19685039370078741" header="7.874015748031496E-2" footer="3.937007874015748E-2"/>
  <pageSetup paperSize="9" scale="80" orientation="landscape" horizontalDpi="4294967293" verticalDpi="4294967293" r:id="rId1"/>
  <headerFooter scaleWithDoc="0">
    <oddFooter>&amp;L&amp;"Times New Roman,Bold"&amp;9HANDERSON MANUFACTURING
&amp;"Times New Roman,Regular"C:\Users\Desktop\Handerson_Oni-SJ&amp;C&amp;"Times New Roman,Regular"&amp;9Page &amp;P of &amp;N&amp;R&amp;"Times New Roman,Regular"&amp;9&amp;D &amp;T</oddFooter>
  </headerFooter>
  <rowBreaks count="9" manualBreakCount="9">
    <brk id="33" max="16383" man="1"/>
    <brk id="80" max="16383" man="1"/>
    <brk id="122" max="16383" man="1"/>
    <brk id="159" max="16383" man="1"/>
    <brk id="206" max="16383" man="1"/>
    <brk id="231" max="16383" man="1"/>
    <brk id="266" max="16383" man="1"/>
    <brk id="292" max="16383" man="1"/>
    <brk id="3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Cover</vt:lpstr>
      <vt:lpstr>Sunmary</vt:lpstr>
      <vt:lpstr>Assumptions</vt:lpstr>
      <vt:lpstr>Scenarios</vt:lpstr>
      <vt:lpstr>Model</vt:lpstr>
      <vt:lpstr>Assumptions!Print_Area</vt:lpstr>
      <vt:lpstr>Cover!Print_Area</vt:lpstr>
      <vt:lpstr>Model!Print_Area</vt:lpstr>
      <vt:lpstr>Scenarios!Print_Area</vt:lpstr>
      <vt:lpstr>Sunmary!Print_Area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 Segun John</dc:creator>
  <cp:lastModifiedBy>ASUS</cp:lastModifiedBy>
  <cp:lastPrinted>2021-10-22T18:36:30Z</cp:lastPrinted>
  <dcterms:created xsi:type="dcterms:W3CDTF">2021-10-17T08:11:47Z</dcterms:created>
  <dcterms:modified xsi:type="dcterms:W3CDTF">2022-10-14T01:58:52Z</dcterms:modified>
</cp:coreProperties>
</file>