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codeName="ThisWorkbook" defaultThemeVersion="124226"/>
  <xr:revisionPtr revIDLastSave="0" documentId="13_ncr:1_{F1FB5431-9DDD-4733-B994-CB7C664431A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Cover" sheetId="3" r:id="rId1"/>
    <sheet name="Summary" sheetId="4" r:id="rId2"/>
    <sheet name="Inp" sheetId="5" r:id="rId3"/>
    <sheet name="Scenarios" sheetId="6" r:id="rId4"/>
    <sheet name="Model" sheetId="7" r:id="rId5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_xlnm.Print_Area" localSheetId="0">Cover!$A$1:$K$29</definedName>
    <definedName name="_xlnm.Print_Area" localSheetId="2">Inp!$B$2:$Q$32,Inp!$B$36:$Q$74</definedName>
    <definedName name="_xlnm.Print_Area" localSheetId="4">Model!$B$2:$O$34,Model!$B$36:$O$68,Model!$B$70:$O$109,Model!$B$112:$O$152,Model!$B$154:$O$200,Model!$B$204:$O$234,Model!$B$236:$O$260,Model!$B$263:$O$296,Model!$B$299:$O$342,Model!$B$345:$O$373,Model!$B$376:$O$412</definedName>
    <definedName name="_xlnm.Print_Area" localSheetId="3">Scenarios!$B$2:$M$42</definedName>
    <definedName name="_xlnm.Print_Area" localSheetId="1">Summary!$B$3:$Q$49</definedName>
  </definedNames>
  <calcPr calcId="191029" iterate="1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7" l="1"/>
  <c r="J18" i="7" s="1"/>
  <c r="M33" i="6"/>
  <c r="L33" i="6"/>
  <c r="K33" i="6"/>
  <c r="J33" i="6"/>
  <c r="M32" i="6"/>
  <c r="L32" i="6"/>
  <c r="K32" i="6"/>
  <c r="J32" i="6"/>
  <c r="I33" i="6"/>
  <c r="I32" i="6"/>
  <c r="M22" i="6"/>
  <c r="L22" i="6"/>
  <c r="K22" i="6"/>
  <c r="J22" i="6"/>
  <c r="I22" i="6"/>
  <c r="M21" i="6"/>
  <c r="L21" i="6"/>
  <c r="K21" i="6"/>
  <c r="J21" i="6"/>
  <c r="I21" i="6"/>
  <c r="I40" i="6"/>
  <c r="M39" i="6"/>
  <c r="K39" i="6"/>
  <c r="L39" i="6"/>
  <c r="J39" i="6"/>
  <c r="I39" i="6"/>
  <c r="L388" i="7"/>
  <c r="K402" i="7"/>
  <c r="K340" i="7"/>
  <c r="K332" i="7"/>
  <c r="O345" i="7"/>
  <c r="K172" i="7"/>
  <c r="L172" i="7" s="1"/>
  <c r="M172" i="7" s="1"/>
  <c r="N172" i="7" s="1"/>
  <c r="O172" i="7" s="1"/>
  <c r="J40" i="6"/>
  <c r="K40" i="6"/>
  <c r="L40" i="6"/>
  <c r="M40" i="6"/>
  <c r="J366" i="7" l="1"/>
  <c r="K364" i="7" s="1"/>
  <c r="L131" i="7"/>
  <c r="M131" i="7"/>
  <c r="N131" i="7"/>
  <c r="O131" i="7"/>
  <c r="K131" i="7"/>
  <c r="I275" i="7" l="1"/>
  <c r="O376" i="7"/>
  <c r="O299" i="7"/>
  <c r="O263" i="7"/>
  <c r="O237" i="7"/>
  <c r="O204" i="7"/>
  <c r="O154" i="7"/>
  <c r="O112" i="7"/>
  <c r="O70" i="7"/>
  <c r="O36" i="7"/>
  <c r="O2" i="7"/>
  <c r="J61" i="7"/>
  <c r="M36" i="6"/>
  <c r="O14" i="7" s="1"/>
  <c r="L36" i="6"/>
  <c r="N14" i="7" s="1"/>
  <c r="K36" i="6"/>
  <c r="M14" i="7" s="1"/>
  <c r="J36" i="6"/>
  <c r="L14" i="7" s="1"/>
  <c r="I36" i="6"/>
  <c r="K14" i="7" s="1"/>
  <c r="K13" i="7"/>
  <c r="J19" i="7"/>
  <c r="J25" i="7" s="1"/>
  <c r="K15" i="7" l="1"/>
  <c r="L13" i="7" s="1"/>
  <c r="L15" i="7" s="1"/>
  <c r="M13" i="7" s="1"/>
  <c r="M15" i="7" s="1"/>
  <c r="J47" i="7"/>
  <c r="K18" i="7"/>
  <c r="L18" i="7" s="1"/>
  <c r="M18" i="7" s="1"/>
  <c r="N18" i="7" s="1"/>
  <c r="O18" i="7" s="1"/>
  <c r="K19" i="7" l="1"/>
  <c r="L19" i="7"/>
  <c r="N13" i="7"/>
  <c r="N15" i="7" s="1"/>
  <c r="M19" i="7"/>
  <c r="M29" i="7" l="1"/>
  <c r="M47" i="7"/>
  <c r="L29" i="7"/>
  <c r="L47" i="7"/>
  <c r="K29" i="7"/>
  <c r="K47" i="7"/>
  <c r="O13" i="7"/>
  <c r="O15" i="7" s="1"/>
  <c r="O19" i="7" s="1"/>
  <c r="N19" i="7"/>
  <c r="N29" i="7" l="1"/>
  <c r="N47" i="7"/>
  <c r="O29" i="7"/>
  <c r="O47" i="7"/>
  <c r="K65" i="7" l="1"/>
  <c r="L329" i="7"/>
  <c r="M329" i="7"/>
  <c r="N329" i="7"/>
  <c r="O329" i="7"/>
  <c r="J410" i="7"/>
  <c r="K406" i="7" s="1"/>
  <c r="K401" i="7"/>
  <c r="L401" i="7" s="1"/>
  <c r="M401" i="7" s="1"/>
  <c r="N401" i="7" s="1"/>
  <c r="O401" i="7" s="1"/>
  <c r="K398" i="7"/>
  <c r="J399" i="7"/>
  <c r="K397" i="7" s="1"/>
  <c r="K388" i="7"/>
  <c r="K359" i="7" s="1"/>
  <c r="K391" i="7"/>
  <c r="L391" i="7" s="1"/>
  <c r="M391" i="7" s="1"/>
  <c r="N391" i="7" s="1"/>
  <c r="O391" i="7" s="1"/>
  <c r="J389" i="7"/>
  <c r="J338" i="7"/>
  <c r="J330" i="7"/>
  <c r="K310" i="7"/>
  <c r="L310" i="7" s="1"/>
  <c r="M310" i="7" s="1"/>
  <c r="N310" i="7" s="1"/>
  <c r="O310" i="7" s="1"/>
  <c r="K312" i="7"/>
  <c r="L312" i="7" s="1"/>
  <c r="M312" i="7" s="1"/>
  <c r="N312" i="7" s="1"/>
  <c r="O312" i="7" s="1"/>
  <c r="K314" i="7"/>
  <c r="L314" i="7" s="1"/>
  <c r="M314" i="7" s="1"/>
  <c r="N314" i="7" s="1"/>
  <c r="O314" i="7" s="1"/>
  <c r="K315" i="7"/>
  <c r="L315" i="7" s="1"/>
  <c r="M315" i="7" s="1"/>
  <c r="N315" i="7" s="1"/>
  <c r="O315" i="7" s="1"/>
  <c r="C311" i="7"/>
  <c r="C314" i="7"/>
  <c r="C315" i="7"/>
  <c r="C312" i="7"/>
  <c r="C310" i="7"/>
  <c r="L280" i="7"/>
  <c r="M280" i="7"/>
  <c r="N280" i="7"/>
  <c r="O280" i="7"/>
  <c r="L281" i="7"/>
  <c r="M281" i="7"/>
  <c r="N281" i="7"/>
  <c r="O281" i="7"/>
  <c r="L282" i="7"/>
  <c r="M282" i="7"/>
  <c r="N282" i="7"/>
  <c r="O282" i="7"/>
  <c r="L283" i="7"/>
  <c r="M283" i="7"/>
  <c r="N283" i="7"/>
  <c r="O283" i="7"/>
  <c r="L284" i="7"/>
  <c r="M284" i="7"/>
  <c r="N284" i="7"/>
  <c r="O284" i="7"/>
  <c r="K281" i="7"/>
  <c r="K282" i="7"/>
  <c r="K283" i="7"/>
  <c r="K284" i="7"/>
  <c r="K280" i="7"/>
  <c r="I287" i="7"/>
  <c r="J287" i="7"/>
  <c r="I288" i="7"/>
  <c r="J288" i="7"/>
  <c r="I289" i="7"/>
  <c r="J289" i="7"/>
  <c r="I290" i="7"/>
  <c r="J290" i="7"/>
  <c r="I291" i="7"/>
  <c r="J291" i="7"/>
  <c r="C284" i="7"/>
  <c r="C291" i="7" s="1"/>
  <c r="C283" i="7"/>
  <c r="C290" i="7" s="1"/>
  <c r="C281" i="7"/>
  <c r="C288" i="7" s="1"/>
  <c r="C282" i="7"/>
  <c r="C289" i="7" s="1"/>
  <c r="C280" i="7"/>
  <c r="C287" i="7" s="1"/>
  <c r="J275" i="7"/>
  <c r="I276" i="7"/>
  <c r="J276" i="7"/>
  <c r="B276" i="7"/>
  <c r="B275" i="7"/>
  <c r="L249" i="7"/>
  <c r="M249" i="7"/>
  <c r="N249" i="7"/>
  <c r="O249" i="7"/>
  <c r="K249" i="7"/>
  <c r="D246" i="7"/>
  <c r="L230" i="7"/>
  <c r="M230" i="7"/>
  <c r="N230" i="7"/>
  <c r="O230" i="7"/>
  <c r="K230" i="7"/>
  <c r="J232" i="7"/>
  <c r="K229" i="7" s="1"/>
  <c r="E219" i="7" a="1"/>
  <c r="E219" i="7" s="1"/>
  <c r="E214" i="7"/>
  <c r="E213" i="7"/>
  <c r="E59" i="7"/>
  <c r="L133" i="7"/>
  <c r="M133" i="7"/>
  <c r="N133" i="7"/>
  <c r="O133" i="7"/>
  <c r="K133" i="7"/>
  <c r="K16" i="5"/>
  <c r="P13" i="5"/>
  <c r="K311" i="7" s="1"/>
  <c r="I82" i="7"/>
  <c r="J82" i="7"/>
  <c r="J80" i="7"/>
  <c r="I81" i="7"/>
  <c r="J81" i="7"/>
  <c r="H81" i="7"/>
  <c r="H82" i="7"/>
  <c r="I80" i="7"/>
  <c r="J196" i="7"/>
  <c r="I196" i="7"/>
  <c r="H196" i="7"/>
  <c r="J188" i="7"/>
  <c r="I188" i="7"/>
  <c r="H188" i="7"/>
  <c r="J182" i="7"/>
  <c r="I182" i="7"/>
  <c r="H182" i="7"/>
  <c r="J173" i="7"/>
  <c r="I173" i="7"/>
  <c r="H173" i="7"/>
  <c r="J167" i="7"/>
  <c r="I167" i="7"/>
  <c r="H167" i="7"/>
  <c r="J146" i="7"/>
  <c r="I146" i="7"/>
  <c r="H146" i="7"/>
  <c r="J134" i="7"/>
  <c r="I134" i="7"/>
  <c r="H134" i="7"/>
  <c r="J127" i="7"/>
  <c r="I127" i="7"/>
  <c r="H127" i="7"/>
  <c r="J102" i="7"/>
  <c r="I102" i="7"/>
  <c r="H102" i="7"/>
  <c r="J88" i="7"/>
  <c r="J91" i="7" s="1"/>
  <c r="J94" i="7" s="1"/>
  <c r="J98" i="7" s="1"/>
  <c r="I88" i="7"/>
  <c r="I91" i="7" s="1"/>
  <c r="I94" i="7" s="1"/>
  <c r="I98" i="7" s="1"/>
  <c r="H88" i="7"/>
  <c r="H91" i="7" s="1"/>
  <c r="H94" i="7" s="1"/>
  <c r="H98" i="7" s="1"/>
  <c r="I29" i="6"/>
  <c r="K24" i="7" s="1"/>
  <c r="K25" i="7" s="1"/>
  <c r="K30" i="7" s="1"/>
  <c r="K31" i="7" s="1"/>
  <c r="K84" i="7" s="1"/>
  <c r="J18" i="6"/>
  <c r="L48" i="7" s="1"/>
  <c r="K18" i="6"/>
  <c r="M48" i="7" s="1"/>
  <c r="L18" i="6"/>
  <c r="N48" i="7" s="1"/>
  <c r="M18" i="6"/>
  <c r="O48" i="7" s="1"/>
  <c r="I18" i="6"/>
  <c r="K48" i="7" s="1"/>
  <c r="I9" i="6"/>
  <c r="B3" i="5"/>
  <c r="B36" i="5" s="1"/>
  <c r="B3" i="6"/>
  <c r="B3" i="4"/>
  <c r="F19" i="3"/>
  <c r="J9" i="6" l="1"/>
  <c r="L13" i="4"/>
  <c r="K13" i="4" s="1"/>
  <c r="J13" i="4" s="1"/>
  <c r="I13" i="4" s="1"/>
  <c r="L41" i="4"/>
  <c r="K41" i="4" s="1"/>
  <c r="J41" i="4" s="1"/>
  <c r="I41" i="4" s="1"/>
  <c r="L27" i="4"/>
  <c r="K27" i="4" s="1"/>
  <c r="J27" i="4" s="1"/>
  <c r="I27" i="4" s="1"/>
  <c r="K80" i="7"/>
  <c r="M139" i="7"/>
  <c r="L139" i="7"/>
  <c r="O139" i="7"/>
  <c r="L141" i="7"/>
  <c r="K358" i="7"/>
  <c r="N139" i="7"/>
  <c r="K90" i="7"/>
  <c r="K187" i="7"/>
  <c r="L187" i="7" s="1"/>
  <c r="M187" i="7" s="1"/>
  <c r="N187" i="7" s="1"/>
  <c r="O187" i="7" s="1"/>
  <c r="K126" i="7"/>
  <c r="N96" i="7"/>
  <c r="N145" i="7"/>
  <c r="N90" i="7"/>
  <c r="N126" i="7"/>
  <c r="K132" i="7"/>
  <c r="K145" i="7"/>
  <c r="M96" i="7"/>
  <c r="M145" i="7"/>
  <c r="M90" i="7"/>
  <c r="M126" i="7"/>
  <c r="L145" i="7"/>
  <c r="L90" i="7"/>
  <c r="L126" i="7"/>
  <c r="O96" i="7"/>
  <c r="O145" i="7"/>
  <c r="O90" i="7"/>
  <c r="O126" i="7"/>
  <c r="I292" i="7"/>
  <c r="K275" i="7"/>
  <c r="L311" i="7"/>
  <c r="M311" i="7" s="1"/>
  <c r="N311" i="7" s="1"/>
  <c r="O311" i="7" s="1"/>
  <c r="L216" i="7"/>
  <c r="K216" i="7"/>
  <c r="K336" i="7"/>
  <c r="K337" i="7" s="1"/>
  <c r="K140" i="7" s="1"/>
  <c r="J292" i="7"/>
  <c r="K87" i="7"/>
  <c r="K82" i="7" s="1"/>
  <c r="L65" i="7"/>
  <c r="L87" i="7" s="1"/>
  <c r="K195" i="7"/>
  <c r="L195" i="7" s="1"/>
  <c r="M195" i="7" s="1"/>
  <c r="N195" i="7" s="1"/>
  <c r="K96" i="7"/>
  <c r="L96" i="7"/>
  <c r="K141" i="7"/>
  <c r="K142" i="7"/>
  <c r="K399" i="7"/>
  <c r="L142" i="7"/>
  <c r="K387" i="7"/>
  <c r="K389" i="7" s="1"/>
  <c r="K193" i="7" s="1"/>
  <c r="K316" i="7"/>
  <c r="L316" i="7" s="1"/>
  <c r="M316" i="7" s="1"/>
  <c r="N316" i="7" s="1"/>
  <c r="O316" i="7" s="1"/>
  <c r="K328" i="7"/>
  <c r="O216" i="7"/>
  <c r="N216" i="7"/>
  <c r="J59" i="7"/>
  <c r="M216" i="7"/>
  <c r="E222" i="7"/>
  <c r="E221" i="7"/>
  <c r="E220" i="7"/>
  <c r="E223" i="7"/>
  <c r="E60" i="7"/>
  <c r="L41" i="5"/>
  <c r="M41" i="5"/>
  <c r="L77" i="7"/>
  <c r="K77" i="7"/>
  <c r="H175" i="7"/>
  <c r="I104" i="7"/>
  <c r="I107" i="7" s="1"/>
  <c r="J104" i="7"/>
  <c r="J107" i="7" s="1"/>
  <c r="I190" i="7"/>
  <c r="I198" i="7" s="1"/>
  <c r="I175" i="7"/>
  <c r="H148" i="7"/>
  <c r="H150" i="7" s="1"/>
  <c r="I149" i="7" s="1"/>
  <c r="J175" i="7"/>
  <c r="H190" i="7"/>
  <c r="H198" i="7" s="1"/>
  <c r="J148" i="7"/>
  <c r="H104" i="7"/>
  <c r="H107" i="7" s="1"/>
  <c r="I148" i="7"/>
  <c r="J190" i="7"/>
  <c r="J198" i="7" s="1"/>
  <c r="J29" i="6"/>
  <c r="L24" i="7" s="1"/>
  <c r="L25" i="7" s="1"/>
  <c r="L30" i="7" s="1"/>
  <c r="L31" i="7" s="1"/>
  <c r="L84" i="7" s="1"/>
  <c r="K9" i="6" l="1"/>
  <c r="M41" i="4"/>
  <c r="M27" i="4"/>
  <c r="M13" i="4"/>
  <c r="L383" i="7"/>
  <c r="L352" i="7"/>
  <c r="K383" i="7"/>
  <c r="K352" i="7"/>
  <c r="J294" i="7"/>
  <c r="L358" i="7"/>
  <c r="O132" i="7"/>
  <c r="L132" i="7"/>
  <c r="N132" i="7"/>
  <c r="M132" i="7"/>
  <c r="K192" i="7"/>
  <c r="L82" i="7"/>
  <c r="L275" i="7"/>
  <c r="L80" i="7"/>
  <c r="K338" i="7"/>
  <c r="J60" i="7"/>
  <c r="J52" i="7"/>
  <c r="K52" i="7" s="1"/>
  <c r="K59" i="7" s="1"/>
  <c r="K170" i="7"/>
  <c r="M65" i="7"/>
  <c r="M87" i="7" s="1"/>
  <c r="L397" i="7"/>
  <c r="L399" i="7" s="1"/>
  <c r="K329" i="7"/>
  <c r="L387" i="7"/>
  <c r="L389" i="7" s="1"/>
  <c r="L193" i="7" s="1"/>
  <c r="L336" i="7"/>
  <c r="O195" i="7"/>
  <c r="M388" i="7"/>
  <c r="M142" i="7" s="1"/>
  <c r="L359" i="7"/>
  <c r="L306" i="7"/>
  <c r="L270" i="7"/>
  <c r="K306" i="7"/>
  <c r="K270" i="7"/>
  <c r="K211" i="7"/>
  <c r="D219" i="7" s="1"/>
  <c r="D220" i="7" s="1"/>
  <c r="D221" i="7" s="1"/>
  <c r="D222" i="7" s="1"/>
  <c r="D223" i="7" s="1"/>
  <c r="K244" i="7"/>
  <c r="L211" i="7"/>
  <c r="L244" i="7"/>
  <c r="J77" i="7"/>
  <c r="K43" i="7"/>
  <c r="K9" i="7"/>
  <c r="L119" i="7"/>
  <c r="L9" i="7"/>
  <c r="L43" i="7"/>
  <c r="L161" i="7"/>
  <c r="K119" i="7"/>
  <c r="H200" i="7"/>
  <c r="K161" i="7"/>
  <c r="I200" i="7"/>
  <c r="I150" i="7"/>
  <c r="J149" i="7" s="1"/>
  <c r="J150" i="7" s="1"/>
  <c r="J200" i="7"/>
  <c r="K29" i="6"/>
  <c r="M24" i="7" s="1"/>
  <c r="M25" i="7" s="1"/>
  <c r="M30" i="7" s="1"/>
  <c r="M31" i="7" s="1"/>
  <c r="M84" i="7" s="1"/>
  <c r="L9" i="6" l="1"/>
  <c r="N13" i="4"/>
  <c r="N27" i="4"/>
  <c r="N41" i="4"/>
  <c r="M77" i="7"/>
  <c r="N41" i="5"/>
  <c r="L402" i="7"/>
  <c r="J383" i="7"/>
  <c r="J352" i="7"/>
  <c r="K139" i="7"/>
  <c r="K357" i="7"/>
  <c r="K106" i="7"/>
  <c r="K360" i="7"/>
  <c r="M358" i="7"/>
  <c r="M141" i="7"/>
  <c r="L170" i="7"/>
  <c r="M170" i="7" s="1"/>
  <c r="N170" i="7" s="1"/>
  <c r="O170" i="7" s="1"/>
  <c r="K143" i="7"/>
  <c r="K408" i="7"/>
  <c r="L192" i="7"/>
  <c r="K60" i="7"/>
  <c r="K53" i="7" s="1"/>
  <c r="K54" i="7" s="1"/>
  <c r="K185" i="7"/>
  <c r="L403" i="7"/>
  <c r="M275" i="7"/>
  <c r="M80" i="7"/>
  <c r="M82" i="7"/>
  <c r="L337" i="7"/>
  <c r="L52" i="7"/>
  <c r="N65" i="7"/>
  <c r="N87" i="7" s="1"/>
  <c r="K171" i="7"/>
  <c r="L171" i="7" s="1"/>
  <c r="M171" i="7" s="1"/>
  <c r="N171" i="7" s="1"/>
  <c r="O171" i="7" s="1"/>
  <c r="M397" i="7"/>
  <c r="M399" i="7" s="1"/>
  <c r="K330" i="7"/>
  <c r="K149" i="7"/>
  <c r="J322" i="7"/>
  <c r="M387" i="7"/>
  <c r="M389" i="7" s="1"/>
  <c r="M193" i="7" s="1"/>
  <c r="N388" i="7"/>
  <c r="N142" i="7" s="1"/>
  <c r="M359" i="7"/>
  <c r="J244" i="7"/>
  <c r="J306" i="7"/>
  <c r="J270" i="7"/>
  <c r="K272" i="7" s="1"/>
  <c r="K287" i="7" s="1"/>
  <c r="L220" i="7"/>
  <c r="L272" i="7"/>
  <c r="L287" i="7" s="1"/>
  <c r="L164" i="7" s="1"/>
  <c r="K134" i="7"/>
  <c r="K356" i="7" s="1"/>
  <c r="K219" i="7"/>
  <c r="K225" i="7" s="1"/>
  <c r="K93" i="7" s="1"/>
  <c r="L219" i="7"/>
  <c r="J161" i="7"/>
  <c r="J211" i="7"/>
  <c r="I77" i="7"/>
  <c r="J9" i="7"/>
  <c r="J43" i="7"/>
  <c r="J119" i="7"/>
  <c r="L29" i="6"/>
  <c r="N24" i="7" s="1"/>
  <c r="N25" i="7" s="1"/>
  <c r="N30" i="7" s="1"/>
  <c r="N31" i="7" s="1"/>
  <c r="N84" i="7" s="1"/>
  <c r="M306" i="7" l="1"/>
  <c r="M211" i="7"/>
  <c r="M9" i="7"/>
  <c r="M161" i="7"/>
  <c r="M270" i="7"/>
  <c r="M272" i="7" s="1"/>
  <c r="M287" i="7" s="1"/>
  <c r="M164" i="7" s="1"/>
  <c r="M244" i="7"/>
  <c r="M383" i="7"/>
  <c r="M119" i="7"/>
  <c r="M352" i="7"/>
  <c r="M43" i="7"/>
  <c r="M9" i="6"/>
  <c r="O13" i="4"/>
  <c r="O27" i="4"/>
  <c r="O41" i="4"/>
  <c r="O41" i="5"/>
  <c r="N77" i="7"/>
  <c r="M402" i="7"/>
  <c r="I383" i="7"/>
  <c r="I352" i="7"/>
  <c r="K61" i="7"/>
  <c r="K86" i="7" s="1"/>
  <c r="L140" i="7"/>
  <c r="L357" i="7"/>
  <c r="L408" i="7"/>
  <c r="L360" i="7"/>
  <c r="N358" i="7"/>
  <c r="N141" i="7"/>
  <c r="M192" i="7"/>
  <c r="M403" i="7"/>
  <c r="L60" i="7"/>
  <c r="K184" i="7"/>
  <c r="K164" i="7"/>
  <c r="L143" i="7"/>
  <c r="L106" i="7"/>
  <c r="N275" i="7"/>
  <c r="N80" i="7"/>
  <c r="L338" i="7"/>
  <c r="O65" i="7"/>
  <c r="O87" i="7" s="1"/>
  <c r="M52" i="7"/>
  <c r="L59" i="7"/>
  <c r="N397" i="7"/>
  <c r="N399" i="7" s="1"/>
  <c r="N82" i="7"/>
  <c r="N387" i="7"/>
  <c r="L328" i="7"/>
  <c r="K320" i="7"/>
  <c r="O388" i="7"/>
  <c r="N359" i="7"/>
  <c r="L225" i="7"/>
  <c r="I306" i="7"/>
  <c r="I270" i="7"/>
  <c r="J272" i="7" s="1"/>
  <c r="L134" i="7"/>
  <c r="L356" i="7" s="1"/>
  <c r="I211" i="7"/>
  <c r="I244" i="7"/>
  <c r="K231" i="7"/>
  <c r="K232" i="7" s="1"/>
  <c r="H77" i="7"/>
  <c r="I43" i="7"/>
  <c r="I9" i="7"/>
  <c r="I119" i="7"/>
  <c r="I161" i="7"/>
  <c r="M29" i="6"/>
  <c r="O24" i="7" s="1"/>
  <c r="O25" i="7" s="1"/>
  <c r="O30" i="7" s="1"/>
  <c r="O31" i="7" s="1"/>
  <c r="O84" i="7" s="1"/>
  <c r="O77" i="7" l="1"/>
  <c r="P13" i="4"/>
  <c r="P41" i="4"/>
  <c r="P27" i="4"/>
  <c r="P41" i="5"/>
  <c r="H16" i="5"/>
  <c r="N119" i="7"/>
  <c r="N9" i="7"/>
  <c r="N161" i="7"/>
  <c r="N383" i="7"/>
  <c r="N306" i="7"/>
  <c r="N211" i="7"/>
  <c r="N43" i="7"/>
  <c r="N352" i="7"/>
  <c r="N270" i="7"/>
  <c r="N272" i="7" s="1"/>
  <c r="N287" i="7" s="1"/>
  <c r="N164" i="7" s="1"/>
  <c r="N244" i="7"/>
  <c r="M221" i="7"/>
  <c r="M220" i="7"/>
  <c r="M219" i="7"/>
  <c r="N403" i="7"/>
  <c r="N402" i="7"/>
  <c r="K81" i="7"/>
  <c r="H383" i="7"/>
  <c r="H352" i="7"/>
  <c r="M408" i="7"/>
  <c r="M360" i="7"/>
  <c r="O141" i="7"/>
  <c r="O358" i="7"/>
  <c r="L185" i="7"/>
  <c r="L340" i="7"/>
  <c r="M336" i="7"/>
  <c r="M337" i="7" s="1"/>
  <c r="K88" i="7"/>
  <c r="M60" i="7"/>
  <c r="L53" i="7"/>
  <c r="L54" i="7" s="1"/>
  <c r="K169" i="7"/>
  <c r="K173" i="7" s="1"/>
  <c r="L229" i="7"/>
  <c r="L61" i="7"/>
  <c r="L86" i="7" s="1"/>
  <c r="K276" i="7"/>
  <c r="K289" i="7" s="1"/>
  <c r="K166" i="7" s="1"/>
  <c r="N192" i="7"/>
  <c r="O275" i="7"/>
  <c r="O80" i="7"/>
  <c r="O82" i="7"/>
  <c r="L231" i="7"/>
  <c r="L93" i="7"/>
  <c r="L123" i="7" s="1"/>
  <c r="M143" i="7"/>
  <c r="M106" i="7"/>
  <c r="N52" i="7"/>
  <c r="M59" i="7"/>
  <c r="O397" i="7"/>
  <c r="O399" i="7" s="1"/>
  <c r="O402" i="7" s="1"/>
  <c r="N389" i="7"/>
  <c r="N193" i="7" s="1"/>
  <c r="L330" i="7"/>
  <c r="L332" i="7" s="1"/>
  <c r="O359" i="7"/>
  <c r="O142" i="7"/>
  <c r="M134" i="7"/>
  <c r="M356" i="7" s="1"/>
  <c r="H306" i="7"/>
  <c r="H270" i="7"/>
  <c r="I272" i="7" s="1"/>
  <c r="J282" i="7"/>
  <c r="J280" i="7"/>
  <c r="J284" i="7"/>
  <c r="J281" i="7"/>
  <c r="J283" i="7"/>
  <c r="H211" i="7"/>
  <c r="H244" i="7"/>
  <c r="K123" i="7"/>
  <c r="H119" i="7"/>
  <c r="H9" i="7"/>
  <c r="H161" i="7"/>
  <c r="M225" i="7" l="1"/>
  <c r="M93" i="7" s="1"/>
  <c r="M123" i="7" s="1"/>
  <c r="O119" i="7"/>
  <c r="O244" i="7"/>
  <c r="O352" i="7"/>
  <c r="O270" i="7"/>
  <c r="O272" i="7" s="1"/>
  <c r="O287" i="7" s="1"/>
  <c r="O164" i="7" s="1"/>
  <c r="O211" i="7"/>
  <c r="O383" i="7"/>
  <c r="O306" i="7"/>
  <c r="O161" i="7"/>
  <c r="O9" i="7"/>
  <c r="C11" i="3" s="1"/>
  <c r="O43" i="7"/>
  <c r="N222" i="7"/>
  <c r="N220" i="7"/>
  <c r="N221" i="7"/>
  <c r="N219" i="7"/>
  <c r="L81" i="7"/>
  <c r="K91" i="7"/>
  <c r="N408" i="7"/>
  <c r="N360" i="7"/>
  <c r="M140" i="7"/>
  <c r="M357" i="7"/>
  <c r="K291" i="7"/>
  <c r="K181" i="7" s="1"/>
  <c r="K290" i="7"/>
  <c r="K180" i="7" s="1"/>
  <c r="M61" i="7"/>
  <c r="M86" i="7" s="1"/>
  <c r="K288" i="7"/>
  <c r="K165" i="7" s="1"/>
  <c r="L88" i="7"/>
  <c r="L91" i="7" s="1"/>
  <c r="L94" i="7" s="1"/>
  <c r="L276" i="7"/>
  <c r="L288" i="7" s="1"/>
  <c r="L165" i="7" s="1"/>
  <c r="L232" i="7"/>
  <c r="M229" i="7" s="1"/>
  <c r="O192" i="7"/>
  <c r="O403" i="7"/>
  <c r="M53" i="7"/>
  <c r="M54" i="7" s="1"/>
  <c r="N60" i="7"/>
  <c r="O143" i="7"/>
  <c r="N143" i="7"/>
  <c r="N106" i="7"/>
  <c r="L184" i="7"/>
  <c r="O52" i="7"/>
  <c r="N59" i="7"/>
  <c r="O387" i="7"/>
  <c r="O389" i="7" s="1"/>
  <c r="O193" i="7" s="1"/>
  <c r="M328" i="7"/>
  <c r="M330" i="7" s="1"/>
  <c r="M332" i="7" s="1"/>
  <c r="M338" i="7"/>
  <c r="I284" i="7"/>
  <c r="I281" i="7"/>
  <c r="I280" i="7"/>
  <c r="I282" i="7"/>
  <c r="I283" i="7"/>
  <c r="N134" i="7"/>
  <c r="N356" i="7" s="1"/>
  <c r="O134" i="7"/>
  <c r="O356" i="7" s="1"/>
  <c r="M231" i="7" l="1"/>
  <c r="M232" i="7"/>
  <c r="M169" i="7" s="1"/>
  <c r="M173" i="7" s="1"/>
  <c r="N225" i="7"/>
  <c r="O223" i="7"/>
  <c r="O221" i="7"/>
  <c r="O219" i="7"/>
  <c r="O220" i="7"/>
  <c r="O222" i="7"/>
  <c r="M88" i="7"/>
  <c r="M91" i="7" s="1"/>
  <c r="K94" i="7"/>
  <c r="M276" i="7"/>
  <c r="M288" i="7" s="1"/>
  <c r="M165" i="7" s="1"/>
  <c r="M81" i="7"/>
  <c r="L291" i="7"/>
  <c r="L181" i="7" s="1"/>
  <c r="O408" i="7"/>
  <c r="O360" i="7"/>
  <c r="L289" i="7"/>
  <c r="L166" i="7" s="1"/>
  <c r="L290" i="7"/>
  <c r="L180" i="7" s="1"/>
  <c r="K292" i="7"/>
  <c r="K294" i="7" s="1"/>
  <c r="K125" i="7" s="1"/>
  <c r="N61" i="7"/>
  <c r="N86" i="7" s="1"/>
  <c r="O106" i="7"/>
  <c r="N229" i="7"/>
  <c r="M185" i="7"/>
  <c r="M340" i="7"/>
  <c r="N53" i="7"/>
  <c r="N54" i="7" s="1"/>
  <c r="O60" i="7"/>
  <c r="O53" i="7" s="1"/>
  <c r="O54" i="7" s="1"/>
  <c r="L169" i="7"/>
  <c r="L173" i="7" s="1"/>
  <c r="O59" i="7"/>
  <c r="M184" i="7"/>
  <c r="M289" i="7"/>
  <c r="M166" i="7" s="1"/>
  <c r="N328" i="7"/>
  <c r="N330" i="7" s="1"/>
  <c r="N332" i="7" s="1"/>
  <c r="N336" i="7"/>
  <c r="N337" i="7" s="1"/>
  <c r="M291" i="7" l="1"/>
  <c r="M181" i="7" s="1"/>
  <c r="M290" i="7"/>
  <c r="M180" i="7" s="1"/>
  <c r="O225" i="7"/>
  <c r="O231" i="7" s="1"/>
  <c r="O93" i="7"/>
  <c r="O123" i="7" s="1"/>
  <c r="N93" i="7"/>
  <c r="N123" i="7" s="1"/>
  <c r="N231" i="7"/>
  <c r="N232" i="7" s="1"/>
  <c r="M94" i="7"/>
  <c r="N88" i="7"/>
  <c r="N91" i="7" s="1"/>
  <c r="N140" i="7"/>
  <c r="N357" i="7"/>
  <c r="L292" i="7"/>
  <c r="L294" i="7" s="1"/>
  <c r="L125" i="7" s="1"/>
  <c r="N276" i="7"/>
  <c r="N290" i="7" s="1"/>
  <c r="N180" i="7" s="1"/>
  <c r="N81" i="7"/>
  <c r="O61" i="7"/>
  <c r="O86" i="7" s="1"/>
  <c r="N184" i="7"/>
  <c r="O328" i="7"/>
  <c r="O330" i="7" s="1"/>
  <c r="M292" i="7" l="1"/>
  <c r="M294" i="7" s="1"/>
  <c r="M125" i="7" s="1"/>
  <c r="O229" i="7"/>
  <c r="O232" i="7" s="1"/>
  <c r="O169" i="7" s="1"/>
  <c r="O173" i="7" s="1"/>
  <c r="N169" i="7"/>
  <c r="N173" i="7" s="1"/>
  <c r="O88" i="7"/>
  <c r="O91" i="7" s="1"/>
  <c r="N94" i="7"/>
  <c r="N291" i="7"/>
  <c r="N181" i="7" s="1"/>
  <c r="O81" i="7"/>
  <c r="N289" i="7"/>
  <c r="N166" i="7" s="1"/>
  <c r="N288" i="7"/>
  <c r="N165" i="7" s="1"/>
  <c r="O276" i="7"/>
  <c r="O290" i="7" s="1"/>
  <c r="O180" i="7" s="1"/>
  <c r="O184" i="7"/>
  <c r="O332" i="7"/>
  <c r="N338" i="7"/>
  <c r="O94" i="7" l="1"/>
  <c r="O288" i="7"/>
  <c r="O165" i="7" s="1"/>
  <c r="O291" i="7"/>
  <c r="O181" i="7" s="1"/>
  <c r="N292" i="7"/>
  <c r="N294" i="7" s="1"/>
  <c r="N125" i="7" s="1"/>
  <c r="O289" i="7"/>
  <c r="O166" i="7" s="1"/>
  <c r="N185" i="7"/>
  <c r="N340" i="7"/>
  <c r="O336" i="7"/>
  <c r="O337" i="7" s="1"/>
  <c r="O292" i="7" l="1"/>
  <c r="O294" i="7" s="1"/>
  <c r="O125" i="7" s="1"/>
  <c r="O140" i="7"/>
  <c r="O357" i="7"/>
  <c r="O338" i="7"/>
  <c r="O340" i="7" s="1"/>
  <c r="O185" i="7" l="1"/>
  <c r="B3" i="7" l="1"/>
  <c r="B37" i="7"/>
  <c r="B71" i="7"/>
  <c r="K97" i="7"/>
  <c r="L97" i="7"/>
  <c r="M97" i="7"/>
  <c r="N97" i="7"/>
  <c r="O97" i="7"/>
  <c r="K98" i="7"/>
  <c r="L98" i="7"/>
  <c r="M98" i="7"/>
  <c r="N98" i="7"/>
  <c r="O98" i="7"/>
  <c r="K100" i="7"/>
  <c r="L100" i="7"/>
  <c r="M100" i="7"/>
  <c r="N100" i="7"/>
  <c r="O100" i="7"/>
  <c r="K101" i="7"/>
  <c r="L101" i="7"/>
  <c r="M101" i="7"/>
  <c r="N101" i="7"/>
  <c r="O101" i="7"/>
  <c r="K102" i="7"/>
  <c r="L102" i="7"/>
  <c r="M102" i="7"/>
  <c r="N102" i="7"/>
  <c r="O102" i="7"/>
  <c r="K104" i="7"/>
  <c r="L104" i="7"/>
  <c r="M104" i="7"/>
  <c r="N104" i="7"/>
  <c r="O104" i="7"/>
  <c r="K107" i="7"/>
  <c r="L107" i="7"/>
  <c r="M107" i="7"/>
  <c r="N107" i="7"/>
  <c r="O107" i="7"/>
  <c r="B113" i="7"/>
  <c r="K122" i="7"/>
  <c r="L122" i="7"/>
  <c r="M122" i="7"/>
  <c r="N122" i="7"/>
  <c r="O122" i="7"/>
  <c r="K124" i="7"/>
  <c r="L124" i="7"/>
  <c r="M124" i="7"/>
  <c r="N124" i="7"/>
  <c r="O124" i="7"/>
  <c r="K127" i="7"/>
  <c r="L127" i="7"/>
  <c r="M127" i="7"/>
  <c r="N127" i="7"/>
  <c r="O127" i="7"/>
  <c r="K138" i="7"/>
  <c r="L138" i="7"/>
  <c r="M138" i="7"/>
  <c r="N138" i="7"/>
  <c r="O138" i="7"/>
  <c r="K144" i="7"/>
  <c r="L144" i="7"/>
  <c r="M144" i="7"/>
  <c r="N144" i="7"/>
  <c r="O144" i="7"/>
  <c r="K146" i="7"/>
  <c r="L146" i="7"/>
  <c r="M146" i="7"/>
  <c r="N146" i="7"/>
  <c r="O146" i="7"/>
  <c r="K148" i="7"/>
  <c r="L148" i="7"/>
  <c r="M148" i="7"/>
  <c r="N148" i="7"/>
  <c r="O148" i="7"/>
  <c r="L149" i="7"/>
  <c r="M149" i="7"/>
  <c r="N149" i="7"/>
  <c r="O149" i="7"/>
  <c r="K150" i="7"/>
  <c r="L150" i="7"/>
  <c r="M150" i="7"/>
  <c r="N150" i="7"/>
  <c r="O150" i="7"/>
  <c r="B155" i="7"/>
  <c r="K163" i="7"/>
  <c r="L163" i="7"/>
  <c r="M163" i="7"/>
  <c r="N163" i="7"/>
  <c r="O163" i="7"/>
  <c r="K167" i="7"/>
  <c r="L167" i="7"/>
  <c r="M167" i="7"/>
  <c r="N167" i="7"/>
  <c r="O167" i="7"/>
  <c r="K175" i="7"/>
  <c r="L175" i="7"/>
  <c r="M175" i="7"/>
  <c r="N175" i="7"/>
  <c r="O175" i="7"/>
  <c r="K179" i="7"/>
  <c r="L179" i="7"/>
  <c r="M179" i="7"/>
  <c r="N179" i="7"/>
  <c r="O179" i="7"/>
  <c r="K182" i="7"/>
  <c r="L182" i="7"/>
  <c r="M182" i="7"/>
  <c r="N182" i="7"/>
  <c r="O182" i="7"/>
  <c r="K186" i="7"/>
  <c r="L186" i="7"/>
  <c r="M186" i="7"/>
  <c r="N186" i="7"/>
  <c r="O186" i="7"/>
  <c r="K188" i="7"/>
  <c r="L188" i="7"/>
  <c r="M188" i="7"/>
  <c r="N188" i="7"/>
  <c r="O188" i="7"/>
  <c r="K190" i="7"/>
  <c r="L190" i="7"/>
  <c r="M190" i="7"/>
  <c r="N190" i="7"/>
  <c r="O190" i="7"/>
  <c r="K194" i="7"/>
  <c r="L194" i="7"/>
  <c r="M194" i="7"/>
  <c r="N194" i="7"/>
  <c r="O194" i="7"/>
  <c r="K196" i="7"/>
  <c r="L196" i="7"/>
  <c r="M196" i="7"/>
  <c r="N196" i="7"/>
  <c r="O196" i="7"/>
  <c r="K198" i="7"/>
  <c r="L198" i="7"/>
  <c r="M198" i="7"/>
  <c r="N198" i="7"/>
  <c r="O198" i="7"/>
  <c r="K200" i="7"/>
  <c r="L200" i="7"/>
  <c r="M200" i="7"/>
  <c r="N200" i="7"/>
  <c r="O200" i="7"/>
  <c r="B205" i="7"/>
  <c r="B238" i="7"/>
  <c r="K248" i="7"/>
  <c r="L248" i="7"/>
  <c r="M248" i="7"/>
  <c r="N248" i="7"/>
  <c r="O248" i="7"/>
  <c r="K251" i="7"/>
  <c r="L251" i="7"/>
  <c r="M251" i="7"/>
  <c r="N251" i="7"/>
  <c r="O251" i="7"/>
  <c r="K253" i="7"/>
  <c r="L253" i="7"/>
  <c r="M253" i="7"/>
  <c r="N253" i="7"/>
  <c r="O253" i="7"/>
  <c r="K256" i="7"/>
  <c r="L256" i="7"/>
  <c r="M256" i="7"/>
  <c r="N256" i="7"/>
  <c r="O256" i="7"/>
  <c r="K257" i="7"/>
  <c r="L257" i="7"/>
  <c r="M257" i="7"/>
  <c r="N257" i="7"/>
  <c r="O257" i="7"/>
  <c r="K258" i="7"/>
  <c r="L258" i="7"/>
  <c r="M258" i="7"/>
  <c r="N258" i="7"/>
  <c r="O258" i="7"/>
  <c r="B264" i="7"/>
  <c r="B300" i="7"/>
  <c r="L320" i="7"/>
  <c r="M320" i="7"/>
  <c r="N320" i="7"/>
  <c r="O320" i="7"/>
  <c r="K321" i="7"/>
  <c r="L321" i="7"/>
  <c r="M321" i="7"/>
  <c r="N321" i="7"/>
  <c r="O321" i="7"/>
  <c r="K322" i="7"/>
  <c r="L322" i="7"/>
  <c r="M322" i="7"/>
  <c r="N322" i="7"/>
  <c r="O322" i="7"/>
  <c r="K324" i="7"/>
  <c r="L324" i="7"/>
  <c r="M324" i="7"/>
  <c r="N324" i="7"/>
  <c r="O324" i="7"/>
  <c r="B346" i="7"/>
  <c r="K355" i="7"/>
  <c r="L355" i="7"/>
  <c r="M355" i="7"/>
  <c r="N355" i="7"/>
  <c r="O355" i="7"/>
  <c r="K361" i="7"/>
  <c r="L361" i="7"/>
  <c r="M361" i="7"/>
  <c r="N361" i="7"/>
  <c r="O361" i="7"/>
  <c r="K362" i="7"/>
  <c r="L362" i="7"/>
  <c r="M362" i="7"/>
  <c r="N362" i="7"/>
  <c r="O362" i="7"/>
  <c r="L364" i="7"/>
  <c r="M364" i="7"/>
  <c r="N364" i="7"/>
  <c r="O364" i="7"/>
  <c r="K365" i="7"/>
  <c r="L365" i="7"/>
  <c r="M365" i="7"/>
  <c r="N365" i="7"/>
  <c r="O365" i="7"/>
  <c r="K366" i="7"/>
  <c r="L366" i="7"/>
  <c r="M366" i="7"/>
  <c r="N366" i="7"/>
  <c r="O366" i="7"/>
  <c r="K368" i="7"/>
  <c r="L368" i="7"/>
  <c r="M368" i="7"/>
  <c r="N368" i="7"/>
  <c r="O368" i="7"/>
  <c r="K371" i="7"/>
  <c r="L371" i="7"/>
  <c r="M371" i="7"/>
  <c r="N371" i="7"/>
  <c r="O371" i="7"/>
  <c r="B377" i="7"/>
  <c r="K392" i="7"/>
  <c r="L392" i="7"/>
  <c r="M392" i="7"/>
  <c r="N392" i="7"/>
  <c r="O392" i="7"/>
  <c r="K393" i="7"/>
  <c r="L393" i="7"/>
  <c r="M393" i="7"/>
  <c r="N393" i="7"/>
  <c r="O393" i="7"/>
  <c r="L406" i="7"/>
  <c r="M406" i="7"/>
  <c r="N406" i="7"/>
  <c r="O406" i="7"/>
  <c r="K407" i="7"/>
  <c r="L407" i="7"/>
  <c r="M407" i="7"/>
  <c r="N407" i="7"/>
  <c r="O407" i="7"/>
  <c r="K409" i="7"/>
  <c r="L409" i="7"/>
  <c r="M409" i="7"/>
  <c r="N409" i="7"/>
  <c r="O409" i="7"/>
  <c r="K410" i="7"/>
  <c r="L410" i="7"/>
  <c r="M410" i="7"/>
  <c r="N410" i="7"/>
  <c r="O410" i="7"/>
</calcChain>
</file>

<file path=xl/sharedStrings.xml><?xml version="1.0" encoding="utf-8"?>
<sst xmlns="http://schemas.openxmlformats.org/spreadsheetml/2006/main" count="398" uniqueCount="235">
  <si>
    <t>Income Statement</t>
  </si>
  <si>
    <t>Revenue Growth</t>
  </si>
  <si>
    <t>COGS (% of revenue)</t>
  </si>
  <si>
    <t>SG&amp;A (% of revenue)</t>
  </si>
  <si>
    <t>SG&amp;A</t>
  </si>
  <si>
    <t>Total Costs</t>
  </si>
  <si>
    <t>Cost Adjustments - Gain / (Loss)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</si>
  <si>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</si>
  <si>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</si>
  <si>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</si>
  <si>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</si>
  <si>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</si>
  <si>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</si>
  <si>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</si>
  <si>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</si>
  <si>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</si>
  <si>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</si>
  <si>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</si>
  <si>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</si>
  <si>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</si>
  <si>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</si>
  <si>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</si>
  <si>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</si>
  <si>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</si>
  <si>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Revolver Issuance / (Repayment)</t>
  </si>
  <si>
    <t>Financing Cash Flow</t>
  </si>
  <si>
    <t>ASSETS</t>
  </si>
  <si>
    <t>Accounts Receivable</t>
  </si>
  <si>
    <t>Inventory</t>
  </si>
  <si>
    <t>Other</t>
  </si>
  <si>
    <t>Total Current Assets</t>
  </si>
  <si>
    <t>Net PP&amp;E</t>
  </si>
  <si>
    <t>Goodwill</t>
  </si>
  <si>
    <t>Intangibles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</si>
  <si>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</si>
  <si>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</si>
  <si>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</si>
  <si>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</si>
  <si>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</si>
  <si>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</si>
  <si>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</si>
  <si>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</si>
  <si>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</si>
  <si>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</si>
  <si>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</si>
  <si>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</si>
  <si>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</si>
  <si>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</si>
  <si>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Cash and Equivalents</t>
  </si>
  <si>
    <t>Variable Rate Long Term Debt</t>
  </si>
  <si>
    <t>Fixed Rate Long Term Debt</t>
  </si>
  <si>
    <t>Variable Rate Long Term Debt Issuance / (Repayment)</t>
  </si>
  <si>
    <t>Fixed Rate Long Term Debt Issuance / (Repayment)</t>
  </si>
  <si>
    <t>Preferred Dividend</t>
  </si>
  <si>
    <t>Net Income to Common</t>
  </si>
  <si>
    <t>Preferred Shares</t>
  </si>
  <si>
    <t>Common Shares</t>
  </si>
  <si>
    <t>Preferred Share Dividends</t>
  </si>
  <si>
    <t>Common Share Dividends</t>
  </si>
  <si>
    <t>Net Interest Expense</t>
  </si>
  <si>
    <t>Millions for the Year Ended December 31</t>
  </si>
  <si>
    <t>Preferred Share Issuance / (Buy-Back)</t>
  </si>
  <si>
    <t>Common Share Issuance / (Buy-Back)</t>
  </si>
  <si>
    <t>Revenue</t>
  </si>
  <si>
    <t>Operating Costs</t>
  </si>
  <si>
    <t>McLAREN GROUP LTD</t>
  </si>
  <si>
    <t>Date:</t>
  </si>
  <si>
    <t>Version:</t>
  </si>
  <si>
    <t>Modeller:</t>
  </si>
  <si>
    <t>Oni, Segun John</t>
  </si>
  <si>
    <t>Vs. 1.01</t>
  </si>
  <si>
    <t>EXECUTIVE SUMMARY</t>
  </si>
  <si>
    <t>INPUTS AND ASSUMPTIONS</t>
  </si>
  <si>
    <t>GENERAL</t>
  </si>
  <si>
    <t>-</t>
  </si>
  <si>
    <t>ECONOMIC AND RENT SCHEDULE</t>
  </si>
  <si>
    <t>Projected</t>
  </si>
  <si>
    <t>SCENARIOS USED:</t>
  </si>
  <si>
    <t xml:space="preserve">The first year of the forecast </t>
  </si>
  <si>
    <t xml:space="preserve">COST </t>
  </si>
  <si>
    <t>ECONOMIC SCENARIOS</t>
  </si>
  <si>
    <t>Cost Inflation</t>
  </si>
  <si>
    <t>Base</t>
  </si>
  <si>
    <t>Best</t>
  </si>
  <si>
    <t>Worse</t>
  </si>
  <si>
    <t>RENT SCENARIOS</t>
  </si>
  <si>
    <t>The House Volume case used in this model</t>
  </si>
  <si>
    <t>Research Forecast</t>
  </si>
  <si>
    <t>Units</t>
  </si>
  <si>
    <t>%</t>
  </si>
  <si>
    <t>$/Units</t>
  </si>
  <si>
    <t>INCOME STATEMENT</t>
  </si>
  <si>
    <t>BALANCE SHEET</t>
  </si>
  <si>
    <t xml:space="preserve">CHECK </t>
  </si>
  <si>
    <t xml:space="preserve">The Scenarios used in this forecast are Cost Inflation, </t>
  </si>
  <si>
    <t>Volume and Rent</t>
  </si>
  <si>
    <t>PRICING</t>
  </si>
  <si>
    <t>House Price</t>
  </si>
  <si>
    <t>Variable cost</t>
  </si>
  <si>
    <t>SG&amp;A in 2022, to grow at Inflation</t>
  </si>
  <si>
    <t>DEPRECIATION</t>
  </si>
  <si>
    <t>Depreciation method used in the forecast</t>
  </si>
  <si>
    <t>Straight line Method</t>
  </si>
  <si>
    <t>Remaining life of existing asset</t>
  </si>
  <si>
    <t>Useful life of new asset</t>
  </si>
  <si>
    <t>TAXES</t>
  </si>
  <si>
    <t>Income Tax rate</t>
  </si>
  <si>
    <t>DEBT</t>
  </si>
  <si>
    <t>Interest of Fixed rate term debt</t>
  </si>
  <si>
    <t>Interest rate on Revolver</t>
  </si>
  <si>
    <t>LIBOR rate</t>
  </si>
  <si>
    <t>Premium on Variable rate term debt</t>
  </si>
  <si>
    <t>Interest rate in Excess Cash</t>
  </si>
  <si>
    <t>EQUITY</t>
  </si>
  <si>
    <t>Dividend payment rate on preferred share</t>
  </si>
  <si>
    <t>Common shares buyback in 2022</t>
  </si>
  <si>
    <t>Preferrence Share Issuance</t>
  </si>
  <si>
    <t>Dividend payment on common share</t>
  </si>
  <si>
    <t>All other Tax Assumptions are in the other schedule</t>
  </si>
  <si>
    <t>OTHER INPUT AND ASSUMPTIONS</t>
  </si>
  <si>
    <t>Cost Adjustments - Gain / (Loss) [Operation]</t>
  </si>
  <si>
    <t>Cost Adjustments - Gain / (Loss) [Financing]</t>
  </si>
  <si>
    <t>Other Operating Activities</t>
  </si>
  <si>
    <t>Other Investing Activities</t>
  </si>
  <si>
    <t>Other Financing Activities</t>
  </si>
  <si>
    <t>REVENUE SCHEDULE</t>
  </si>
  <si>
    <t>COST SCHEDULE</t>
  </si>
  <si>
    <t>COST PER UNIT</t>
  </si>
  <si>
    <t>COST IN TOTAL</t>
  </si>
  <si>
    <t>Variable cost per unit</t>
  </si>
  <si>
    <t>Fixed cost per Unit</t>
  </si>
  <si>
    <t>Total Variable Cost per Unit</t>
  </si>
  <si>
    <t>Fixed Cost in total</t>
  </si>
  <si>
    <t>Total Cost</t>
  </si>
  <si>
    <t>Variable cost in total</t>
  </si>
  <si>
    <t>Unit</t>
  </si>
  <si>
    <t>$MM</t>
  </si>
  <si>
    <t>DEPRECIATION SCHEDULE</t>
  </si>
  <si>
    <t>Years remaing for Existing Asset</t>
  </si>
  <si>
    <t>Useful Life of New asset</t>
  </si>
  <si>
    <t>years</t>
  </si>
  <si>
    <t>Depreciation of Existing Asset</t>
  </si>
  <si>
    <t>Total Depreciation</t>
  </si>
  <si>
    <t>PP&amp;E Schedule</t>
  </si>
  <si>
    <t>Opening Balance</t>
  </si>
  <si>
    <t>Addition</t>
  </si>
  <si>
    <t>Closing Balnce</t>
  </si>
  <si>
    <t>Less: Depreciation</t>
  </si>
  <si>
    <t>TAX SCHEDULE</t>
  </si>
  <si>
    <t>Tax Rate</t>
  </si>
  <si>
    <t xml:space="preserve">Accounting EBT </t>
  </si>
  <si>
    <t>A</t>
  </si>
  <si>
    <t>Decrease in EBT due to Timing Diffeence</t>
  </si>
  <si>
    <t>Decrease due to timing Difference</t>
  </si>
  <si>
    <t>Government EBT</t>
  </si>
  <si>
    <t>B</t>
  </si>
  <si>
    <t>Taxes as they appear on Income Statement</t>
  </si>
  <si>
    <t>Current Taxes (35% of B)</t>
  </si>
  <si>
    <t>Total Income Tax</t>
  </si>
  <si>
    <t>Account Tax Rate (35% of A)</t>
  </si>
  <si>
    <t>WORKING CAPITAL SCHEDULE</t>
  </si>
  <si>
    <t>Days in the Year</t>
  </si>
  <si>
    <t>days</t>
  </si>
  <si>
    <t>Days in</t>
  </si>
  <si>
    <t>Working Capital</t>
  </si>
  <si>
    <t>Working Capital Days</t>
  </si>
  <si>
    <t>Net Working Capital</t>
  </si>
  <si>
    <t xml:space="preserve">Change in Working Capital </t>
  </si>
  <si>
    <t>DEBT SCHEDULE</t>
  </si>
  <si>
    <t>Share price as at 31st od December, 2020</t>
  </si>
  <si>
    <t>Interest rates</t>
  </si>
  <si>
    <t>Interest Rate on Variable Rate term Debt</t>
  </si>
  <si>
    <t>Variable Rate Term Debt</t>
  </si>
  <si>
    <t>Beginning Balance</t>
  </si>
  <si>
    <t>Additions / (Repayments)</t>
  </si>
  <si>
    <t>Closing Balance</t>
  </si>
  <si>
    <t>Interest expense on Variable Rate Term Debt</t>
  </si>
  <si>
    <t>Fixed Rate Term Debt</t>
  </si>
  <si>
    <t>Interest expense on Fixed Rate Term Debt</t>
  </si>
  <si>
    <t>Revolver</t>
  </si>
  <si>
    <t>Interest expense on Revolver</t>
  </si>
  <si>
    <t>Mandatory Debt Payment</t>
  </si>
  <si>
    <t>Common Stock Buyback / Issuance</t>
  </si>
  <si>
    <t>FCF after mandatory debt and dividend</t>
  </si>
  <si>
    <t>EQUITY SCHEDULE</t>
  </si>
  <si>
    <t>Preffered Shares</t>
  </si>
  <si>
    <t>Issuance / Repayments</t>
  </si>
  <si>
    <t>Dividend payout ratio</t>
  </si>
  <si>
    <t>Dividend on Common Shares</t>
  </si>
  <si>
    <t>Issuance / (Buyback)</t>
  </si>
  <si>
    <t>Less: Common Dividend</t>
  </si>
  <si>
    <t>Dividend on Preffered Shares</t>
  </si>
  <si>
    <t>Cash</t>
  </si>
  <si>
    <t>Change in Cash during the year</t>
  </si>
  <si>
    <t xml:space="preserve">Square feet of All property </t>
  </si>
  <si>
    <t>Asset Disposal</t>
  </si>
  <si>
    <t>Ammortization  on Fixed rate term debt</t>
  </si>
  <si>
    <t>Ammortization on variable term debt</t>
  </si>
  <si>
    <t>Intabdileb Asset</t>
  </si>
  <si>
    <t>Other Non current asset</t>
  </si>
  <si>
    <t>Total Square Feet</t>
  </si>
  <si>
    <t>Additional Houses</t>
  </si>
  <si>
    <t>$ MM</t>
  </si>
  <si>
    <t>houses</t>
  </si>
  <si>
    <t>Number of Houses at 2021</t>
  </si>
  <si>
    <t>Opening Number of Houses</t>
  </si>
  <si>
    <t>Closing Number of Houses</t>
  </si>
  <si>
    <t>Square feet per House</t>
  </si>
  <si>
    <t>House Volume</t>
  </si>
  <si>
    <t>Sales per square foot</t>
  </si>
  <si>
    <t>House Rent Growth per Square feet</t>
  </si>
  <si>
    <t>Rent per Square Foot</t>
  </si>
  <si>
    <t>$ / foot</t>
  </si>
  <si>
    <t>Growth in Rent per sq. foot</t>
  </si>
  <si>
    <t>Revenues</t>
  </si>
  <si>
    <t>Total square feet</t>
  </si>
  <si>
    <t>sq ft</t>
  </si>
  <si>
    <t>Total revenues</t>
  </si>
  <si>
    <t>$ / sq ft</t>
  </si>
  <si>
    <r>
      <t xml:space="preserve">House Rent </t>
    </r>
    <r>
      <rPr>
        <i/>
        <sz val="10"/>
        <rFont val="Times New Roman"/>
        <family val="1"/>
      </rPr>
      <t>(Assuming rent remains the same price)</t>
    </r>
  </si>
  <si>
    <t>Total Square feet</t>
  </si>
  <si>
    <t>CASH FLOW STATEMENT</t>
  </si>
  <si>
    <t>Less: Preffered Dividend</t>
  </si>
  <si>
    <t>Preferred shares buyback / Issuance</t>
  </si>
  <si>
    <t>Common Dividend</t>
  </si>
  <si>
    <t>COGS Margin</t>
  </si>
  <si>
    <t>EBT Margin</t>
  </si>
  <si>
    <t>EBITDA Margin</t>
  </si>
  <si>
    <t>Net Income Margin</t>
  </si>
  <si>
    <t>BASE SCENARIOS SUMMARY</t>
  </si>
  <si>
    <t>WORSE SCENARIOS SUMMARY</t>
  </si>
  <si>
    <t>or</t>
  </si>
  <si>
    <t>WhatsApp</t>
  </si>
  <si>
    <t>LinkedIn</t>
  </si>
  <si>
    <t>Only rows with blue font can be edited. To make any further edits, kindly contact the modeler 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</si>
</sst>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_(* #,##0.0_);_(* \(#,##0.0\);_(* &quot;-&quot;??_);_(@_)"/>
    <numFmt numFmtId="166" formatCode="_-* #,##0_-;\-* #,##0_-;_-* &quot;-&quot;??_-;_-@_-"/>
    <numFmt numFmtId="167" formatCode="0.0%"/>
    <numFmt numFmtId="168" formatCode="#,##0.0"/>
    <numFmt numFmtId="169" formatCode="\+0.0%;\(0.0%\)"/>
    <numFmt numFmtId="170" formatCode="0\ &quot;Years&quot;"/>
    <numFmt numFmtId="171" formatCode="&quot;$&quot;0&quot; MM&quot;"/>
    <numFmt numFmtId="172" formatCode="#,##0.0;\(#,##0.0\)"/>
    <numFmt numFmtId="173" formatCode="&quot;$&quot;0.0&quot; MM&quot;"/>
    <numFmt numFmtId="174" formatCode="#,##0.000;\(#,##0.000\)"/>
    <numFmt numFmtId="175" formatCode="0_);\(0\)"/>
    <numFmt numFmtId="176" formatCode="0.0_);\(0.0\)"/>
    <numFmt numFmtId="181" formatCode="0.000%"/>
  </numFmts>
  <fonts count="35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4"/>
      <name val="Calibri"/>
      <family val="2"/>
      <scheme val="minor"/>
    </font>
    <font>
      <b/>
      <sz val="26"/>
      <name val="Times New Roman"/>
      <family val="1"/>
    </font>
    <font>
      <b/>
      <sz val="30"/>
      <name val="Times New Roman"/>
      <family val="1"/>
    </font>
    <font>
      <sz val="10"/>
      <color theme="4" tint="-0.249977111117893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10"/>
      <color theme="5" tint="-0.249977111117893"/>
      <name val="Times New Roman"/>
      <family val="1"/>
    </font>
    <font>
      <b/>
      <i/>
      <u/>
      <sz val="10"/>
      <color theme="2" tint="-0.749992370372631"/>
      <name val="Times New Roman"/>
      <family val="1"/>
    </font>
    <font>
      <i/>
      <sz val="10"/>
      <color theme="2" tint="-0.749992370372631"/>
      <name val="Times New Roman"/>
      <family val="1"/>
    </font>
    <font>
      <b/>
      <i/>
      <sz val="10"/>
      <color theme="2" tint="-0.749992370372631"/>
      <name val="Times New Roman"/>
      <family val="1"/>
    </font>
    <font>
      <sz val="14"/>
      <name val="Times New Roman"/>
      <family val="1"/>
    </font>
    <font>
      <i/>
      <sz val="10"/>
      <name val="Times New Roman"/>
      <family val="1"/>
    </font>
    <font>
      <b/>
      <i/>
      <sz val="10"/>
      <color theme="1" tint="0.14999847407452621"/>
      <name val="Times New Roman"/>
      <family val="1"/>
    </font>
    <font>
      <b/>
      <i/>
      <sz val="10"/>
      <name val="Times New Roman"/>
      <family val="1"/>
    </font>
    <font>
      <sz val="10"/>
      <color rgb="FF0000FF"/>
      <name val="Times New Roman"/>
      <family val="1"/>
    </font>
    <font>
      <b/>
      <u/>
      <sz val="10"/>
      <color theme="2" tint="-0.749992370372631"/>
      <name val="Times New Roman"/>
      <family val="1"/>
    </font>
    <font>
      <sz val="10"/>
      <color theme="2" tint="-0.749992370372631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rgb="FF0000FF"/>
      <name val="Times New Roman"/>
      <family val="1"/>
    </font>
    <font>
      <sz val="10"/>
      <color indexed="12"/>
      <name val="Times New Roman"/>
      <family val="1"/>
    </font>
    <font>
      <vertAlign val="superscript"/>
      <sz val="10"/>
      <name val="Times New Roman"/>
      <family val="1"/>
    </font>
    <font>
      <b/>
      <sz val="10"/>
      <color theme="2" tint="-0.749992370372631"/>
      <name val="Times New Roman"/>
      <family val="1"/>
    </font>
    <font>
      <b/>
      <sz val="28"/>
      <name val="Times New Roman"/>
      <family val="1"/>
    </font>
    <font>
      <b/>
      <sz val="10"/>
      <color indexed="12"/>
      <name val="Times New Roman"/>
      <family val="1"/>
    </font>
    <font>
      <b/>
      <sz val="10"/>
      <color theme="0"/>
      <name val="Times New Roman"/>
      <family val="1"/>
    </font>
    <font>
      <u/>
      <sz val="10"/>
      <color theme="10"/>
      <name val="Arial"/>
      <family val="2"/>
    </font>
    <font>
      <sz val="1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8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66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292">
    <xf numFmtId="0" fontId="0" fillId="0" borderId="0" xfId="0"/>
    <xf numFmtId="0" fontId="7" fillId="0" borderId="1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9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2" xfId="0" applyFont="1" applyBorder="1"/>
    <xf numFmtId="0" fontId="8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2" borderId="8" xfId="0" applyFont="1" applyFill="1" applyBorder="1"/>
    <xf numFmtId="0" fontId="2" fillId="2" borderId="10" xfId="0" applyFont="1" applyFill="1" applyBorder="1"/>
    <xf numFmtId="0" fontId="11" fillId="0" borderId="0" xfId="0" applyFont="1"/>
    <xf numFmtId="0" fontId="12" fillId="0" borderId="0" xfId="0" applyFont="1"/>
    <xf numFmtId="0" fontId="11" fillId="0" borderId="2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10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2" xfId="0" applyFont="1" applyBorder="1"/>
    <xf numFmtId="167" fontId="2" fillId="0" borderId="13" xfId="0" applyNumberFormat="1" applyFont="1" applyBorder="1"/>
    <xf numFmtId="167" fontId="2" fillId="0" borderId="0" xfId="0" applyNumberFormat="1" applyFont="1" applyBorder="1"/>
    <xf numFmtId="167" fontId="2" fillId="0" borderId="4" xfId="0" applyNumberFormat="1" applyFont="1" applyBorder="1"/>
    <xf numFmtId="167" fontId="2" fillId="0" borderId="14" xfId="0" applyNumberFormat="1" applyFont="1" applyBorder="1"/>
    <xf numFmtId="167" fontId="2" fillId="0" borderId="15" xfId="0" applyNumberFormat="1" applyFont="1" applyBorder="1"/>
    <xf numFmtId="167" fontId="2" fillId="0" borderId="16" xfId="0" applyNumberFormat="1" applyFont="1" applyBorder="1"/>
    <xf numFmtId="167" fontId="2" fillId="0" borderId="11" xfId="0" applyNumberFormat="1" applyFont="1" applyBorder="1"/>
    <xf numFmtId="167" fontId="2" fillId="0" borderId="2" xfId="0" applyNumberFormat="1" applyFont="1" applyBorder="1"/>
    <xf numFmtId="167" fontId="2" fillId="0" borderId="12" xfId="0" applyNumberFormat="1" applyFont="1" applyBorder="1"/>
    <xf numFmtId="167" fontId="11" fillId="0" borderId="9" xfId="0" applyNumberFormat="1" applyFont="1" applyBorder="1"/>
    <xf numFmtId="167" fontId="11" fillId="0" borderId="8" xfId="0" applyNumberFormat="1" applyFont="1" applyBorder="1"/>
    <xf numFmtId="167" fontId="11" fillId="0" borderId="10" xfId="0" applyNumberFormat="1" applyFont="1" applyBorder="1"/>
    <xf numFmtId="0" fontId="11" fillId="0" borderId="15" xfId="0" applyFont="1" applyBorder="1"/>
    <xf numFmtId="0" fontId="2" fillId="0" borderId="0" xfId="0" applyFont="1" applyBorder="1" applyAlignment="1">
      <alignment horizontal="center"/>
    </xf>
    <xf numFmtId="168" fontId="2" fillId="0" borderId="0" xfId="0" applyNumberFormat="1" applyFont="1" applyBorder="1"/>
    <xf numFmtId="168" fontId="11" fillId="0" borderId="9" xfId="0" applyNumberFormat="1" applyFont="1" applyBorder="1"/>
    <xf numFmtId="168" fontId="11" fillId="0" borderId="8" xfId="0" applyNumberFormat="1" applyFont="1" applyBorder="1"/>
    <xf numFmtId="168" fontId="11" fillId="0" borderId="10" xfId="0" applyNumberFormat="1" applyFont="1" applyBorder="1"/>
    <xf numFmtId="0" fontId="10" fillId="0" borderId="0" xfId="0" applyFont="1" applyBorder="1"/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16" xfId="0" applyFont="1" applyBorder="1"/>
    <xf numFmtId="0" fontId="12" fillId="0" borderId="1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9" fontId="2" fillId="0" borderId="0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169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9" xfId="0" applyFont="1" applyFill="1" applyBorder="1" applyAlignment="1"/>
    <xf numFmtId="171" fontId="10" fillId="0" borderId="12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72" fontId="2" fillId="0" borderId="0" xfId="0" applyNumberFormat="1" applyFont="1" applyBorder="1"/>
    <xf numFmtId="168" fontId="22" fillId="0" borderId="0" xfId="0" applyNumberFormat="1" applyFont="1"/>
    <xf numFmtId="168" fontId="22" fillId="0" borderId="16" xfId="0" applyNumberFormat="1" applyFont="1" applyBorder="1"/>
    <xf numFmtId="0" fontId="22" fillId="0" borderId="0" xfId="0" applyFont="1"/>
    <xf numFmtId="164" fontId="11" fillId="0" borderId="0" xfId="1" applyNumberFormat="1" applyFont="1"/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2" fillId="0" borderId="4" xfId="1" applyNumberFormat="1" applyFont="1" applyBorder="1"/>
    <xf numFmtId="164" fontId="11" fillId="0" borderId="3" xfId="1" applyNumberFormat="1" applyFont="1" applyBorder="1"/>
    <xf numFmtId="170" fontId="10" fillId="0" borderId="0" xfId="0" applyNumberFormat="1" applyFont="1" applyBorder="1" applyAlignment="1">
      <alignment horizontal="right"/>
    </xf>
    <xf numFmtId="10" fontId="10" fillId="0" borderId="0" xfId="0" applyNumberFormat="1" applyFont="1" applyBorder="1"/>
    <xf numFmtId="165" fontId="2" fillId="0" borderId="0" xfId="1" applyNumberFormat="1" applyFont="1"/>
    <xf numFmtId="165" fontId="2" fillId="0" borderId="0" xfId="1" applyNumberFormat="1" applyFont="1" applyBorder="1"/>
    <xf numFmtId="165" fontId="11" fillId="0" borderId="0" xfId="1" applyNumberFormat="1" applyFont="1" applyBorder="1"/>
    <xf numFmtId="165" fontId="11" fillId="0" borderId="8" xfId="1" applyNumberFormat="1" applyFont="1" applyBorder="1"/>
    <xf numFmtId="165" fontId="2" fillId="0" borderId="4" xfId="1" applyNumberFormat="1" applyFont="1" applyBorder="1"/>
    <xf numFmtId="165" fontId="2" fillId="0" borderId="16" xfId="1" applyNumberFormat="1" applyFont="1" applyBorder="1"/>
    <xf numFmtId="165" fontId="11" fillId="0" borderId="2" xfId="1" applyNumberFormat="1" applyFont="1" applyBorder="1"/>
    <xf numFmtId="165" fontId="11" fillId="0" borderId="10" xfId="1" applyNumberFormat="1" applyFont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73" fontId="10" fillId="0" borderId="0" xfId="0" applyNumberFormat="1" applyFont="1" applyFill="1" applyBorder="1"/>
    <xf numFmtId="165" fontId="2" fillId="0" borderId="8" xfId="1" applyNumberFormat="1" applyFont="1" applyBorder="1"/>
    <xf numFmtId="172" fontId="2" fillId="0" borderId="16" xfId="0" applyNumberFormat="1" applyFont="1" applyBorder="1"/>
    <xf numFmtId="172" fontId="27" fillId="0" borderId="0" xfId="1" applyNumberFormat="1" applyFont="1" applyProtection="1">
      <protection locked="0"/>
    </xf>
    <xf numFmtId="172" fontId="2" fillId="0" borderId="0" xfId="1" applyNumberFormat="1" applyFont="1" applyProtection="1">
      <protection locked="0"/>
    </xf>
    <xf numFmtId="172" fontId="27" fillId="0" borderId="2" xfId="1" applyNumberFormat="1" applyFont="1" applyBorder="1" applyProtection="1">
      <protection locked="0"/>
    </xf>
    <xf numFmtId="172" fontId="27" fillId="0" borderId="0" xfId="1" applyNumberFormat="1" applyFont="1" applyBorder="1" applyProtection="1">
      <protection locked="0"/>
    </xf>
    <xf numFmtId="172" fontId="2" fillId="0" borderId="0" xfId="1" applyNumberFormat="1" applyFont="1"/>
    <xf numFmtId="172" fontId="2" fillId="0" borderId="4" xfId="1" applyNumberFormat="1" applyFont="1" applyBorder="1"/>
    <xf numFmtId="172" fontId="11" fillId="0" borderId="3" xfId="1" applyNumberFormat="1" applyFont="1" applyBorder="1"/>
    <xf numFmtId="172" fontId="22" fillId="0" borderId="0" xfId="1" applyNumberFormat="1" applyFont="1" applyProtection="1">
      <protection locked="0"/>
    </xf>
    <xf numFmtId="172" fontId="11" fillId="0" borderId="0" xfId="1" applyNumberFormat="1" applyFont="1"/>
    <xf numFmtId="172" fontId="11" fillId="0" borderId="4" xfId="1" applyNumberFormat="1" applyFont="1" applyBorder="1"/>
    <xf numFmtId="172" fontId="2" fillId="0" borderId="2" xfId="1" applyNumberFormat="1" applyFont="1" applyBorder="1"/>
    <xf numFmtId="172" fontId="2" fillId="0" borderId="2" xfId="0" applyNumberFormat="1" applyFont="1" applyBorder="1"/>
    <xf numFmtId="174" fontId="19" fillId="0" borderId="0" xfId="1" applyNumberFormat="1" applyFont="1"/>
    <xf numFmtId="172" fontId="2" fillId="0" borderId="12" xfId="0" applyNumberFormat="1" applyFont="1" applyBorder="1"/>
    <xf numFmtId="172" fontId="27" fillId="0" borderId="0" xfId="1" applyNumberFormat="1" applyFont="1" applyBorder="1" applyAlignment="1" applyProtection="1">
      <alignment horizontal="right"/>
      <protection locked="0"/>
    </xf>
    <xf numFmtId="172" fontId="22" fillId="0" borderId="2" xfId="1" applyNumberFormat="1" applyFont="1" applyBorder="1" applyAlignment="1" applyProtection="1">
      <alignment horizontal="right"/>
      <protection locked="0"/>
    </xf>
    <xf numFmtId="172" fontId="11" fillId="0" borderId="0" xfId="1" applyNumberFormat="1" applyFont="1" applyProtection="1">
      <protection locked="0"/>
    </xf>
    <xf numFmtId="172" fontId="11" fillId="0" borderId="4" xfId="1" applyNumberFormat="1" applyFont="1" applyBorder="1" applyProtection="1">
      <protection locked="0"/>
    </xf>
    <xf numFmtId="172" fontId="2" fillId="0" borderId="0" xfId="1" applyNumberFormat="1" applyFont="1" applyBorder="1"/>
    <xf numFmtId="172" fontId="2" fillId="0" borderId="15" xfId="0" applyNumberFormat="1" applyFont="1" applyBorder="1"/>
    <xf numFmtId="172" fontId="2" fillId="0" borderId="11" xfId="0" applyNumberFormat="1" applyFont="1" applyBorder="1"/>
    <xf numFmtId="43" fontId="2" fillId="0" borderId="0" xfId="1" applyFont="1"/>
    <xf numFmtId="43" fontId="24" fillId="0" borderId="0" xfId="1" applyFont="1"/>
    <xf numFmtId="43" fontId="2" fillId="0" borderId="0" xfId="1" applyFont="1" applyAlignment="1">
      <alignment horizontal="right"/>
    </xf>
    <xf numFmtId="43" fontId="30" fillId="0" borderId="0" xfId="1" applyFont="1" applyAlignment="1">
      <alignment horizontal="centerContinuous"/>
    </xf>
    <xf numFmtId="43" fontId="2" fillId="0" borderId="0" xfId="1" applyFont="1" applyAlignment="1">
      <alignment horizontal="centerContinuous"/>
    </xf>
    <xf numFmtId="43" fontId="24" fillId="0" borderId="0" xfId="1" applyFont="1" applyAlignment="1">
      <alignment horizontal="centerContinuous"/>
    </xf>
    <xf numFmtId="43" fontId="18" fillId="0" borderId="0" xfId="1" applyFont="1" applyAlignment="1">
      <alignment horizontal="centerContinuous"/>
    </xf>
    <xf numFmtId="43" fontId="11" fillId="0" borderId="1" xfId="1" applyFont="1" applyBorder="1" applyAlignment="1">
      <alignment horizontal="centerContinuous"/>
    </xf>
    <xf numFmtId="43" fontId="29" fillId="0" borderId="1" xfId="1" applyFont="1" applyBorder="1" applyAlignment="1">
      <alignment horizontal="centerContinuous"/>
    </xf>
    <xf numFmtId="43" fontId="19" fillId="0" borderId="0" xfId="1" quotePrefix="1" applyFont="1"/>
    <xf numFmtId="43" fontId="11" fillId="0" borderId="2" xfId="1" applyFont="1" applyBorder="1" applyAlignment="1">
      <alignment horizontal="centerContinuous"/>
    </xf>
    <xf numFmtId="43" fontId="2" fillId="0" borderId="2" xfId="1" applyFont="1" applyBorder="1" applyAlignment="1">
      <alignment horizontal="centerContinuous"/>
    </xf>
    <xf numFmtId="43" fontId="15" fillId="0" borderId="0" xfId="1" applyFont="1" applyAlignment="1">
      <alignment horizontal="center"/>
    </xf>
    <xf numFmtId="43" fontId="12" fillId="0" borderId="0" xfId="1" applyFont="1"/>
    <xf numFmtId="43" fontId="2" fillId="0" borderId="0" xfId="1" applyFont="1" applyBorder="1"/>
    <xf numFmtId="43" fontId="16" fillId="0" borderId="0" xfId="1" applyFont="1" applyBorder="1" applyAlignment="1">
      <alignment horizontal="center"/>
    </xf>
    <xf numFmtId="43" fontId="11" fillId="0" borderId="0" xfId="1" applyFont="1" applyBorder="1"/>
    <xf numFmtId="43" fontId="16" fillId="0" borderId="0" xfId="1" applyFont="1" applyAlignment="1">
      <alignment horizontal="center"/>
    </xf>
    <xf numFmtId="43" fontId="11" fillId="0" borderId="0" xfId="1" applyFont="1"/>
    <xf numFmtId="43" fontId="17" fillId="0" borderId="0" xfId="1" applyFont="1" applyAlignment="1">
      <alignment horizontal="center"/>
    </xf>
    <xf numFmtId="43" fontId="11" fillId="0" borderId="8" xfId="1" applyFont="1" applyBorder="1"/>
    <xf numFmtId="43" fontId="19" fillId="0" borderId="0" xfId="1" applyFont="1" applyBorder="1"/>
    <xf numFmtId="43" fontId="21" fillId="0" borderId="13" xfId="1" applyFont="1" applyBorder="1"/>
    <xf numFmtId="43" fontId="2" fillId="0" borderId="4" xfId="1" applyFont="1" applyBorder="1"/>
    <xf numFmtId="43" fontId="19" fillId="0" borderId="4" xfId="1" applyFont="1" applyBorder="1" applyAlignment="1">
      <alignment horizontal="center"/>
    </xf>
    <xf numFmtId="43" fontId="24" fillId="0" borderId="4" xfId="1" applyFont="1" applyBorder="1"/>
    <xf numFmtId="43" fontId="2" fillId="0" borderId="14" xfId="1" applyFont="1" applyBorder="1"/>
    <xf numFmtId="43" fontId="2" fillId="0" borderId="15" xfId="1" applyFont="1" applyBorder="1"/>
    <xf numFmtId="43" fontId="2" fillId="0" borderId="16" xfId="1" applyFont="1" applyBorder="1"/>
    <xf numFmtId="43" fontId="19" fillId="0" borderId="0" xfId="1" applyFont="1" applyBorder="1" applyAlignment="1">
      <alignment horizontal="center"/>
    </xf>
    <xf numFmtId="43" fontId="2" fillId="0" borderId="11" xfId="1" applyFont="1" applyBorder="1"/>
    <xf numFmtId="43" fontId="11" fillId="0" borderId="2" xfId="1" applyFont="1" applyBorder="1"/>
    <xf numFmtId="43" fontId="21" fillId="0" borderId="2" xfId="1" applyFont="1" applyBorder="1" applyAlignment="1">
      <alignment horizontal="center"/>
    </xf>
    <xf numFmtId="43" fontId="17" fillId="0" borderId="2" xfId="1" applyFont="1" applyBorder="1" applyAlignment="1">
      <alignment horizontal="center"/>
    </xf>
    <xf numFmtId="43" fontId="2" fillId="0" borderId="8" xfId="1" applyFont="1" applyBorder="1"/>
    <xf numFmtId="43" fontId="19" fillId="0" borderId="8" xfId="1" applyFont="1" applyBorder="1" applyAlignment="1">
      <alignment horizontal="center"/>
    </xf>
    <xf numFmtId="43" fontId="24" fillId="0" borderId="8" xfId="1" applyFont="1" applyBorder="1"/>
    <xf numFmtId="43" fontId="2" fillId="0" borderId="13" xfId="1" applyFont="1" applyBorder="1"/>
    <xf numFmtId="43" fontId="16" fillId="0" borderId="4" xfId="1" applyFont="1" applyBorder="1" applyAlignment="1">
      <alignment horizontal="center"/>
    </xf>
    <xf numFmtId="43" fontId="2" fillId="0" borderId="2" xfId="1" applyFont="1" applyBorder="1"/>
    <xf numFmtId="43" fontId="16" fillId="0" borderId="2" xfId="1" applyFont="1" applyBorder="1" applyAlignment="1">
      <alignment horizontal="center"/>
    </xf>
    <xf numFmtId="43" fontId="14" fillId="0" borderId="18" xfId="1" applyFont="1" applyBorder="1"/>
    <xf numFmtId="43" fontId="2" fillId="0" borderId="17" xfId="1" applyFont="1" applyBorder="1"/>
    <xf numFmtId="43" fontId="11" fillId="0" borderId="15" xfId="1" applyFont="1" applyBorder="1"/>
    <xf numFmtId="43" fontId="17" fillId="0" borderId="0" xfId="1" applyFont="1" applyBorder="1" applyAlignment="1">
      <alignment horizontal="center"/>
    </xf>
    <xf numFmtId="43" fontId="11" fillId="0" borderId="11" xfId="1" applyFont="1" applyBorder="1"/>
    <xf numFmtId="43" fontId="11" fillId="0" borderId="9" xfId="1" applyFont="1" applyBorder="1"/>
    <xf numFmtId="43" fontId="17" fillId="0" borderId="8" xfId="1" applyFont="1" applyBorder="1" applyAlignment="1">
      <alignment horizontal="center"/>
    </xf>
    <xf numFmtId="43" fontId="16" fillId="0" borderId="8" xfId="1" applyFont="1" applyBorder="1" applyAlignment="1">
      <alignment horizontal="center"/>
    </xf>
    <xf numFmtId="43" fontId="24" fillId="0" borderId="0" xfId="1" applyFont="1" applyBorder="1"/>
    <xf numFmtId="43" fontId="11" fillId="0" borderId="0" xfId="1" applyFont="1" applyBorder="1" applyAlignment="1">
      <alignment horizontal="centerContinuous"/>
    </xf>
    <xf numFmtId="43" fontId="29" fillId="0" borderId="0" xfId="1" applyFont="1" applyBorder="1" applyAlignment="1">
      <alignment horizontal="centerContinuous"/>
    </xf>
    <xf numFmtId="43" fontId="2" fillId="0" borderId="13" xfId="1" applyFont="1" applyBorder="1" applyAlignment="1">
      <alignment horizontal="left" vertical="center"/>
    </xf>
    <xf numFmtId="43" fontId="2" fillId="0" borderId="15" xfId="1" applyFont="1" applyBorder="1" applyAlignment="1">
      <alignment horizontal="left" vertical="center"/>
    </xf>
    <xf numFmtId="43" fontId="2" fillId="0" borderId="11" xfId="1" applyFont="1" applyBorder="1" applyAlignment="1">
      <alignment horizontal="left" vertical="center"/>
    </xf>
    <xf numFmtId="43" fontId="12" fillId="0" borderId="2" xfId="1" applyFont="1" applyBorder="1"/>
    <xf numFmtId="43" fontId="23" fillId="0" borderId="2" xfId="1" quotePrefix="1" applyFont="1" applyBorder="1" applyAlignment="1">
      <alignment horizontal="right"/>
    </xf>
    <xf numFmtId="43" fontId="2" fillId="0" borderId="12" xfId="1" applyFont="1" applyBorder="1"/>
    <xf numFmtId="43" fontId="23" fillId="0" borderId="0" xfId="1" applyFont="1"/>
    <xf numFmtId="43" fontId="2" fillId="0" borderId="0" xfId="1" quotePrefix="1" applyFont="1" applyAlignment="1">
      <alignment horizontal="left"/>
    </xf>
    <xf numFmtId="43" fontId="11" fillId="0" borderId="0" xfId="1" quotePrefix="1" applyFont="1" applyAlignment="1">
      <alignment horizontal="left"/>
    </xf>
    <xf numFmtId="43" fontId="2" fillId="0" borderId="0" xfId="1" applyFont="1" applyAlignment="1">
      <alignment horizontal="left"/>
    </xf>
    <xf numFmtId="43" fontId="11" fillId="0" borderId="0" xfId="1" applyFont="1" applyAlignment="1">
      <alignment horizontal="left"/>
    </xf>
    <xf numFmtId="43" fontId="24" fillId="0" borderId="2" xfId="1" applyFont="1" applyBorder="1"/>
    <xf numFmtId="43" fontId="28" fillId="0" borderId="0" xfId="1" quotePrefix="1" applyFont="1"/>
    <xf numFmtId="43" fontId="16" fillId="0" borderId="0" xfId="1" applyFont="1"/>
    <xf numFmtId="43" fontId="19" fillId="0" borderId="0" xfId="1" applyFont="1"/>
    <xf numFmtId="43" fontId="29" fillId="0" borderId="0" xfId="1" applyFont="1"/>
    <xf numFmtId="43" fontId="19" fillId="0" borderId="0" xfId="1" quotePrefix="1" applyFont="1" applyAlignment="1">
      <alignment horizontal="left"/>
    </xf>
    <xf numFmtId="43" fontId="12" fillId="0" borderId="0" xfId="1" applyFont="1" applyAlignment="1">
      <alignment horizontal="right"/>
    </xf>
    <xf numFmtId="43" fontId="27" fillId="0" borderId="0" xfId="1" applyFont="1"/>
    <xf numFmtId="43" fontId="2" fillId="0" borderId="18" xfId="1" applyFont="1" applyBorder="1"/>
    <xf numFmtId="43" fontId="2" fillId="0" borderId="19" xfId="1" applyFont="1" applyBorder="1"/>
    <xf numFmtId="43" fontId="2" fillId="0" borderId="9" xfId="1" applyFont="1" applyBorder="1"/>
    <xf numFmtId="43" fontId="29" fillId="0" borderId="2" xfId="1" applyFont="1" applyBorder="1"/>
    <xf numFmtId="43" fontId="11" fillId="0" borderId="13" xfId="1" applyFont="1" applyBorder="1"/>
    <xf numFmtId="167" fontId="14" fillId="0" borderId="0" xfId="1" applyNumberFormat="1" applyFont="1" applyBorder="1"/>
    <xf numFmtId="167" fontId="14" fillId="0" borderId="2" xfId="1" applyNumberFormat="1" applyFont="1" applyBorder="1"/>
    <xf numFmtId="167" fontId="14" fillId="0" borderId="12" xfId="1" applyNumberFormat="1" applyFont="1" applyBorder="1"/>
    <xf numFmtId="167" fontId="12" fillId="0" borderId="4" xfId="1" applyNumberFormat="1" applyFont="1" applyBorder="1"/>
    <xf numFmtId="167" fontId="2" fillId="0" borderId="4" xfId="1" applyNumberFormat="1" applyFont="1" applyBorder="1"/>
    <xf numFmtId="167" fontId="2" fillId="0" borderId="14" xfId="1" applyNumberFormat="1" applyFont="1" applyBorder="1"/>
    <xf numFmtId="167" fontId="2" fillId="0" borderId="0" xfId="1" applyNumberFormat="1" applyFont="1" applyBorder="1"/>
    <xf numFmtId="167" fontId="2" fillId="0" borderId="16" xfId="1" applyNumberFormat="1" applyFont="1" applyBorder="1"/>
    <xf numFmtId="167" fontId="2" fillId="0" borderId="2" xfId="1" applyNumberFormat="1" applyFont="1" applyBorder="1"/>
    <xf numFmtId="167" fontId="2" fillId="0" borderId="12" xfId="1" applyNumberFormat="1" applyFont="1" applyBorder="1"/>
    <xf numFmtId="167" fontId="2" fillId="0" borderId="0" xfId="1" applyNumberFormat="1" applyFont="1"/>
    <xf numFmtId="167" fontId="2" fillId="0" borderId="15" xfId="1" applyNumberFormat="1" applyFont="1" applyBorder="1"/>
    <xf numFmtId="167" fontId="2" fillId="0" borderId="11" xfId="1" applyNumberFormat="1" applyFont="1" applyBorder="1"/>
    <xf numFmtId="167" fontId="24" fillId="0" borderId="0" xfId="1" applyNumberFormat="1" applyFont="1" applyBorder="1"/>
    <xf numFmtId="167" fontId="24" fillId="0" borderId="2" xfId="1" applyNumberFormat="1" applyFont="1" applyBorder="1"/>
    <xf numFmtId="167" fontId="14" fillId="0" borderId="0" xfId="1" applyNumberFormat="1" applyFont="1"/>
    <xf numFmtId="167" fontId="2" fillId="0" borderId="10" xfId="1" applyNumberFormat="1" applyFont="1" applyBorder="1"/>
    <xf numFmtId="165" fontId="12" fillId="0" borderId="0" xfId="1" applyNumberFormat="1" applyFont="1"/>
    <xf numFmtId="175" fontId="12" fillId="0" borderId="0" xfId="1" applyNumberFormat="1" applyFont="1"/>
    <xf numFmtId="165" fontId="26" fillId="0" borderId="0" xfId="1" applyNumberFormat="1" applyFont="1" applyAlignment="1" applyProtection="1">
      <alignment horizontal="right"/>
      <protection locked="0"/>
    </xf>
    <xf numFmtId="165" fontId="27" fillId="0" borderId="0" xfId="1" applyNumberFormat="1" applyFont="1" applyAlignment="1" applyProtection="1">
      <alignment horizontal="right"/>
      <protection locked="0"/>
    </xf>
    <xf numFmtId="165" fontId="27" fillId="0" borderId="2" xfId="1" applyNumberFormat="1" applyFont="1" applyBorder="1" applyAlignment="1" applyProtection="1">
      <alignment horizontal="right"/>
      <protection locked="0"/>
    </xf>
    <xf numFmtId="165" fontId="27" fillId="0" borderId="0" xfId="1" applyNumberFormat="1" applyFont="1" applyBorder="1" applyAlignment="1" applyProtection="1">
      <alignment horizontal="right"/>
      <protection locked="0"/>
    </xf>
    <xf numFmtId="165" fontId="11" fillId="0" borderId="0" xfId="1" applyNumberFormat="1" applyFont="1" applyAlignment="1">
      <alignment horizontal="right"/>
    </xf>
    <xf numFmtId="165" fontId="11" fillId="0" borderId="4" xfId="1" applyNumberFormat="1" applyFont="1" applyBorder="1" applyAlignment="1">
      <alignment horizontal="right"/>
    </xf>
    <xf numFmtId="165" fontId="11" fillId="0" borderId="0" xfId="1" applyNumberFormat="1" applyFont="1"/>
    <xf numFmtId="165" fontId="11" fillId="0" borderId="4" xfId="1" applyNumberFormat="1" applyFont="1" applyBorder="1"/>
    <xf numFmtId="165" fontId="27" fillId="0" borderId="2" xfId="1" applyNumberFormat="1" applyFont="1" applyBorder="1" applyProtection="1">
      <protection locked="0"/>
    </xf>
    <xf numFmtId="165" fontId="27" fillId="0" borderId="0" xfId="1" applyNumberFormat="1" applyFont="1" applyBorder="1" applyProtection="1">
      <protection locked="0"/>
    </xf>
    <xf numFmtId="165" fontId="27" fillId="0" borderId="0" xfId="1" applyNumberFormat="1" applyFont="1" applyProtection="1">
      <protection locked="0"/>
    </xf>
    <xf numFmtId="165" fontId="11" fillId="0" borderId="8" xfId="1" applyNumberFormat="1" applyFont="1" applyBorder="1" applyAlignment="1">
      <alignment horizontal="right"/>
    </xf>
    <xf numFmtId="165" fontId="2" fillId="0" borderId="2" xfId="1" applyNumberFormat="1" applyFont="1" applyBorder="1" applyProtection="1">
      <protection locked="0"/>
    </xf>
    <xf numFmtId="165" fontId="11" fillId="0" borderId="7" xfId="1" applyNumberFormat="1" applyFont="1" applyBorder="1" applyAlignment="1">
      <alignment horizontal="right"/>
    </xf>
    <xf numFmtId="165" fontId="11" fillId="0" borderId="3" xfId="1" applyNumberFormat="1" applyFont="1" applyBorder="1" applyAlignment="1">
      <alignment horizontal="right"/>
    </xf>
    <xf numFmtId="165" fontId="11" fillId="0" borderId="3" xfId="1" applyNumberFormat="1" applyFont="1" applyBorder="1"/>
    <xf numFmtId="172" fontId="11" fillId="0" borderId="8" xfId="1" applyNumberFormat="1" applyFont="1" applyBorder="1"/>
    <xf numFmtId="164" fontId="2" fillId="0" borderId="8" xfId="1" applyNumberFormat="1" applyFont="1" applyBorder="1"/>
    <xf numFmtId="164" fontId="2" fillId="0" borderId="10" xfId="1" applyNumberFormat="1" applyFont="1" applyBorder="1"/>
    <xf numFmtId="164" fontId="2" fillId="0" borderId="14" xfId="1" applyNumberFormat="1" applyFont="1" applyBorder="1"/>
    <xf numFmtId="164" fontId="2" fillId="0" borderId="12" xfId="1" applyNumberFormat="1" applyFont="1" applyBorder="1"/>
    <xf numFmtId="164" fontId="14" fillId="0" borderId="0" xfId="1" applyNumberFormat="1" applyFont="1"/>
    <xf numFmtId="164" fontId="11" fillId="0" borderId="8" xfId="1" applyNumberFormat="1" applyFont="1" applyBorder="1"/>
    <xf numFmtId="164" fontId="2" fillId="0" borderId="3" xfId="1" applyNumberFormat="1" applyFont="1" applyBorder="1"/>
    <xf numFmtId="165" fontId="14" fillId="0" borderId="0" xfId="1" applyNumberFormat="1" applyFont="1" applyBorder="1"/>
    <xf numFmtId="165" fontId="25" fillId="0" borderId="8" xfId="1" applyNumberFormat="1" applyFont="1" applyBorder="1"/>
    <xf numFmtId="165" fontId="22" fillId="0" borderId="0" xfId="1" applyNumberFormat="1" applyFont="1" applyBorder="1"/>
    <xf numFmtId="165" fontId="2" fillId="0" borderId="14" xfId="1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centerContinuous"/>
    </xf>
    <xf numFmtId="165" fontId="11" fillId="0" borderId="1" xfId="1" applyNumberFormat="1" applyFont="1" applyBorder="1" applyAlignment="1">
      <alignment horizontal="centerContinuous"/>
    </xf>
    <xf numFmtId="165" fontId="11" fillId="0" borderId="2" xfId="1" applyNumberFormat="1" applyFont="1" applyBorder="1" applyAlignment="1">
      <alignment horizontal="centerContinuous"/>
    </xf>
    <xf numFmtId="165" fontId="2" fillId="0" borderId="2" xfId="1" applyNumberFormat="1" applyFont="1" applyBorder="1" applyAlignment="1">
      <alignment horizontal="centerContinuous"/>
    </xf>
    <xf numFmtId="165" fontId="14" fillId="0" borderId="4" xfId="1" applyNumberFormat="1" applyFont="1" applyBorder="1"/>
    <xf numFmtId="165" fontId="14" fillId="0" borderId="14" xfId="1" applyNumberFormat="1" applyFont="1" applyBorder="1"/>
    <xf numFmtId="165" fontId="11" fillId="0" borderId="20" xfId="1" applyNumberFormat="1" applyFont="1" applyBorder="1"/>
    <xf numFmtId="165" fontId="11" fillId="0" borderId="12" xfId="1" applyNumberFormat="1" applyFont="1" applyBorder="1"/>
    <xf numFmtId="1" fontId="12" fillId="0" borderId="0" xfId="1" applyNumberFormat="1" applyFont="1"/>
    <xf numFmtId="43" fontId="31" fillId="0" borderId="0" xfId="1" applyFont="1"/>
    <xf numFmtId="172" fontId="14" fillId="0" borderId="0" xfId="1" applyNumberFormat="1" applyFont="1"/>
    <xf numFmtId="176" fontId="12" fillId="0" borderId="0" xfId="1" applyNumberFormat="1" applyFont="1"/>
    <xf numFmtId="172" fontId="2" fillId="0" borderId="14" xfId="1" applyNumberFormat="1" applyFont="1" applyBorder="1"/>
    <xf numFmtId="172" fontId="2" fillId="0" borderId="16" xfId="1" applyNumberFormat="1" applyFont="1" applyBorder="1"/>
    <xf numFmtId="172" fontId="11" fillId="0" borderId="10" xfId="1" applyNumberFormat="1" applyFont="1" applyBorder="1"/>
    <xf numFmtId="43" fontId="15" fillId="0" borderId="0" xfId="1" applyFont="1" applyBorder="1" applyAlignment="1">
      <alignment horizontal="center"/>
    </xf>
    <xf numFmtId="175" fontId="12" fillId="0" borderId="0" xfId="1" applyNumberFormat="1" applyFont="1" applyBorder="1"/>
    <xf numFmtId="43" fontId="11" fillId="0" borderId="4" xfId="1" applyFont="1" applyBorder="1" applyAlignment="1">
      <alignment horizontal="centerContinuous"/>
    </xf>
    <xf numFmtId="43" fontId="2" fillId="0" borderId="4" xfId="1" applyFont="1" applyBorder="1" applyAlignment="1">
      <alignment horizontal="centerContinuous"/>
    </xf>
    <xf numFmtId="43" fontId="2" fillId="0" borderId="14" xfId="1" applyFont="1" applyBorder="1" applyAlignment="1">
      <alignment horizontal="centerContinuous"/>
    </xf>
    <xf numFmtId="0" fontId="32" fillId="2" borderId="8" xfId="0" applyFont="1" applyFill="1" applyBorder="1" applyAlignment="1">
      <alignment horizontal="centerContinuous"/>
    </xf>
    <xf numFmtId="0" fontId="32" fillId="2" borderId="10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Continuous"/>
    </xf>
    <xf numFmtId="22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centerContinuous"/>
    </xf>
    <xf numFmtId="43" fontId="2" fillId="0" borderId="16" xfId="1" applyFont="1" applyBorder="1" applyAlignment="1">
      <alignment horizontal="centerContinuous"/>
    </xf>
    <xf numFmtId="175" fontId="12" fillId="0" borderId="4" xfId="1" applyNumberFormat="1" applyFont="1" applyBorder="1"/>
    <xf numFmtId="175" fontId="12" fillId="0" borderId="14" xfId="1" applyNumberFormat="1" applyFont="1" applyBorder="1"/>
    <xf numFmtId="167" fontId="12" fillId="0" borderId="0" xfId="1" applyNumberFormat="1" applyFont="1" applyBorder="1"/>
    <xf numFmtId="0" fontId="18" fillId="0" borderId="0" xfId="0" applyFont="1" applyAlignment="1">
      <alignment horizontal="centerContinuous"/>
    </xf>
    <xf numFmtId="1" fontId="22" fillId="0" borderId="14" xfId="0" applyNumberFormat="1" applyFont="1" applyBorder="1" applyProtection="1">
      <protection locked="0"/>
    </xf>
    <xf numFmtId="168" fontId="22" fillId="0" borderId="16" xfId="1" applyNumberFormat="1" applyFont="1" applyBorder="1" applyProtection="1">
      <protection locked="0"/>
    </xf>
    <xf numFmtId="168" fontId="22" fillId="0" borderId="12" xfId="0" applyNumberFormat="1" applyFont="1" applyBorder="1" applyProtection="1">
      <protection locked="0"/>
    </xf>
    <xf numFmtId="168" fontId="22" fillId="0" borderId="0" xfId="0" applyNumberFormat="1" applyFont="1" applyProtection="1">
      <protection locked="0"/>
    </xf>
    <xf numFmtId="172" fontId="2" fillId="0" borderId="13" xfId="0" applyNumberFormat="1" applyFont="1" applyBorder="1" applyProtection="1">
      <protection locked="0"/>
    </xf>
    <xf numFmtId="172" fontId="2" fillId="0" borderId="4" xfId="0" applyNumberFormat="1" applyFont="1" applyBorder="1" applyProtection="1">
      <protection locked="0"/>
    </xf>
    <xf numFmtId="172" fontId="2" fillId="0" borderId="14" xfId="0" applyNumberFormat="1" applyFont="1" applyBorder="1" applyProtection="1">
      <protection locked="0"/>
    </xf>
    <xf numFmtId="167" fontId="2" fillId="0" borderId="13" xfId="0" applyNumberFormat="1" applyFont="1" applyBorder="1" applyProtection="1">
      <protection locked="0"/>
    </xf>
    <xf numFmtId="167" fontId="2" fillId="0" borderId="4" xfId="0" applyNumberFormat="1" applyFont="1" applyBorder="1" applyProtection="1">
      <protection locked="0"/>
    </xf>
    <xf numFmtId="167" fontId="2" fillId="0" borderId="14" xfId="0" applyNumberFormat="1" applyFont="1" applyBorder="1" applyProtection="1">
      <protection locked="0"/>
    </xf>
    <xf numFmtId="181" fontId="2" fillId="0" borderId="0" xfId="0" applyNumberFormat="1" applyFont="1"/>
    <xf numFmtId="0" fontId="2" fillId="0" borderId="16" xfId="0" applyFont="1" applyBorder="1" applyAlignment="1" applyProtection="1">
      <alignment horizontal="center"/>
      <protection locked="0"/>
    </xf>
    <xf numFmtId="0" fontId="33" fillId="0" borderId="2" xfId="11" applyBorder="1"/>
    <xf numFmtId="0" fontId="33" fillId="0" borderId="0" xfId="11" applyBorder="1"/>
    <xf numFmtId="0" fontId="33" fillId="0" borderId="0" xfId="11"/>
    <xf numFmtId="0" fontId="34" fillId="0" borderId="0" xfId="0" applyFont="1"/>
    <xf numFmtId="167" fontId="22" fillId="0" borderId="14" xfId="0" applyNumberFormat="1" applyFont="1" applyBorder="1" applyProtection="1">
      <protection locked="0"/>
    </xf>
    <xf numFmtId="167" fontId="22" fillId="0" borderId="16" xfId="0" applyNumberFormat="1" applyFont="1" applyBorder="1" applyProtection="1">
      <protection locked="0"/>
    </xf>
    <xf numFmtId="171" fontId="22" fillId="0" borderId="12" xfId="0" applyNumberFormat="1" applyFont="1" applyBorder="1" applyAlignment="1" applyProtection="1">
      <alignment horizontal="right"/>
      <protection locked="0"/>
    </xf>
    <xf numFmtId="167" fontId="22" fillId="0" borderId="14" xfId="0" applyNumberFormat="1" applyFont="1" applyBorder="1" applyAlignment="1" applyProtection="1">
      <alignment horizontal="right"/>
      <protection locked="0"/>
    </xf>
    <xf numFmtId="170" fontId="22" fillId="0" borderId="16" xfId="0" applyNumberFormat="1" applyFont="1" applyBorder="1" applyProtection="1">
      <protection locked="0"/>
    </xf>
    <xf numFmtId="170" fontId="22" fillId="0" borderId="12" xfId="0" applyNumberFormat="1" applyFont="1" applyBorder="1" applyAlignment="1" applyProtection="1">
      <alignment horizontal="right"/>
      <protection locked="0"/>
    </xf>
    <xf numFmtId="171" fontId="22" fillId="0" borderId="14" xfId="0" applyNumberFormat="1" applyFont="1" applyBorder="1" applyProtection="1">
      <protection locked="0"/>
    </xf>
    <xf numFmtId="10" fontId="22" fillId="0" borderId="16" xfId="0" applyNumberFormat="1" applyFont="1" applyBorder="1" applyProtection="1">
      <protection locked="0"/>
    </xf>
    <xf numFmtId="171" fontId="22" fillId="0" borderId="16" xfId="0" applyNumberFormat="1" applyFont="1" applyBorder="1" applyProtection="1">
      <protection locked="0"/>
    </xf>
    <xf numFmtId="10" fontId="22" fillId="0" borderId="12" xfId="0" applyNumberFormat="1" applyFont="1" applyBorder="1" applyProtection="1">
      <protection locked="0"/>
    </xf>
    <xf numFmtId="0" fontId="22" fillId="0" borderId="2" xfId="0" applyFont="1" applyBorder="1"/>
    <xf numFmtId="169" fontId="22" fillId="0" borderId="0" xfId="0" applyNumberFormat="1" applyFont="1" applyBorder="1" applyAlignment="1" applyProtection="1">
      <alignment horizontal="center"/>
      <protection locked="0"/>
    </xf>
    <xf numFmtId="169" fontId="22" fillId="0" borderId="2" xfId="0" applyNumberFormat="1" applyFont="1" applyBorder="1" applyAlignment="1" applyProtection="1">
      <alignment horizontal="center"/>
      <protection locked="0"/>
    </xf>
  </cellXfs>
  <cellStyles count="12">
    <cellStyle name="Across" xfId="2" xr:uid="{00000000-0005-0000-0000-000000000000}"/>
    <cellStyle name="Bottom" xfId="3" xr:uid="{00000000-0005-0000-0000-000001000000}"/>
    <cellStyle name="Center" xfId="4" xr:uid="{00000000-0005-0000-0000-000002000000}"/>
    <cellStyle name="Comma" xfId="1" builtinId="3"/>
    <cellStyle name="Currency [2]" xfId="5" xr:uid="{00000000-0005-0000-0000-000004000000}"/>
    <cellStyle name="Double" xfId="6" xr:uid="{00000000-0005-0000-0000-000005000000}"/>
    <cellStyle name="Hyperlink" xfId="11" builtinId="8"/>
    <cellStyle name="Normal" xfId="0" builtinId="0"/>
    <cellStyle name="Numbers" xfId="7" xr:uid="{00000000-0005-0000-0000-000008000000}"/>
    <cellStyle name="Numbers - Bold - Italic" xfId="8" xr:uid="{00000000-0005-0000-0000-000009000000}"/>
    <cellStyle name="Outline" xfId="9" xr:uid="{00000000-0005-0000-0000-00000A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3" dropStyle="combo" dx="26" fmlaLink="$E$12" fmlaRange="$D$20:$D$22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891540</xdr:colOff>
          <xdr:row>10</xdr:row>
          <xdr:rowOff>22860</xdr:rowOff>
        </xdr:from>
        <xdr:to>
          <xdr:col>4</xdr:col>
          <xdr:colOff>624840</xdr:colOff>
          <xdr:row>12</xdr:row>
          <xdr:rowOff>15240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i.whatsapp.com/send?phone=%2B2348166113016&amp;text&amp;app_absent=0" TargetMode="External"/><Relationship Id="rId1" Type="http://schemas.openxmlformats.org/officeDocument/2006/relationships/hyperlink" Target="https://www.linkedin.com/in/onisj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2FF7-22AE-4E15-975E-74F3B8C4F369}">
  <dimension ref="A2:K28"/>
  <sheetViews>
    <sheetView showGridLines="0" workbookViewId="0">
      <selection activeCell="P37" sqref="P37"/>
    </sheetView>
  </sheetViews>
  <sheetFormatPr defaultRowHeight="13.2"/>
  <cols>
    <col min="1" max="1" width="8.88671875" style="2"/>
    <col min="2" max="2" width="8.88671875" style="2" customWidth="1"/>
    <col min="3" max="4" width="8.88671875" style="2"/>
    <col min="5" max="5" width="11.21875" style="2" customWidth="1"/>
    <col min="6" max="6" width="14.77734375" style="2" bestFit="1" customWidth="1"/>
    <col min="7" max="7" width="6.44140625" style="2" customWidth="1"/>
    <col min="8" max="8" width="5.6640625" style="2" customWidth="1"/>
    <col min="9" max="9" width="7.44140625" style="2" customWidth="1"/>
    <col min="10" max="10" width="2.33203125" style="2" customWidth="1"/>
    <col min="11" max="16384" width="8.88671875" style="2"/>
  </cols>
  <sheetData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10" spans="1:11" ht="37.200000000000003">
      <c r="C10" s="4" t="s">
        <v>65</v>
      </c>
    </row>
    <row r="11" spans="1:11" ht="22.2">
      <c r="C11" s="278" t="str">
        <f>" FINANCIAL STATEMENT FOR "&amp;Model!K9 &amp;" - "&amp;Model!O9</f>
        <v xml:space="preserve"> FINANCIAL STATEMENT FOR 2022 - 2026</v>
      </c>
    </row>
    <row r="17" spans="1:11">
      <c r="E17" s="5" t="s">
        <v>68</v>
      </c>
      <c r="F17" s="12" t="s">
        <v>69</v>
      </c>
    </row>
    <row r="18" spans="1:11">
      <c r="E18" s="5" t="s">
        <v>67</v>
      </c>
      <c r="F18" s="2" t="s">
        <v>70</v>
      </c>
    </row>
    <row r="19" spans="1:11">
      <c r="E19" s="5" t="s">
        <v>66</v>
      </c>
      <c r="F19" s="256">
        <f ca="1">NOW()</f>
        <v>44769.254945833301</v>
      </c>
    </row>
    <row r="27" spans="1:11">
      <c r="A27" s="6" t="s">
        <v>234</v>
      </c>
      <c r="B27" s="6"/>
      <c r="C27" s="6"/>
      <c r="D27" s="6"/>
      <c r="E27" s="6"/>
      <c r="F27" s="6"/>
      <c r="G27" s="6"/>
      <c r="H27" s="6"/>
      <c r="I27" s="276" t="s">
        <v>233</v>
      </c>
      <c r="J27" s="6" t="s">
        <v>231</v>
      </c>
      <c r="K27" s="277" t="s">
        <v>232</v>
      </c>
    </row>
    <row r="28" spans="1:11">
      <c r="A28" s="7"/>
      <c r="B28" s="7"/>
      <c r="C28" s="7"/>
      <c r="D28" s="275"/>
      <c r="E28" s="275"/>
      <c r="F28" s="7"/>
      <c r="G28" s="7"/>
      <c r="H28" s="7"/>
      <c r="I28" s="7"/>
      <c r="J28" s="7"/>
      <c r="K28" s="275"/>
    </row>
  </sheetData>
  <sheetProtection algorithmName="SHA-512" hashValue="QXNOshobta/omcq/s5nmydxWla5PZZ5HXGK82F+gbrJP4iqfKpX8bQkAngsCBnadlGupm9eEFxqSbtQ8XfpPHg==" saltValue="hdtg2vn5TlNWiR6Lgd8cPw==" spinCount="100000" sheet="1" objects="1" scenarios="1"/>
  <hyperlinks>
    <hyperlink ref="I27" r:id="rId1" display="linkedIn" xr:uid="{A548DA62-924A-4E2D-A3D0-7D67D0BEEC39}"/>
    <hyperlink ref="K27" r:id="rId2" xr:uid="{309B14F6-F941-46F5-98CD-D50BCC4FF730}"/>
  </hyperlinks>
  <printOptions horizontalCentered="1" verticalCentered="1"/>
  <pageMargins left="0.7" right="0.7" top="0.75" bottom="0.75" header="0.3" footer="0.3"/>
  <pageSetup paperSize="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1E50-BE98-4A35-AEC1-AC69F9B69E1C}">
  <dimension ref="B3:R49"/>
  <sheetViews>
    <sheetView showGridLines="0" topLeftCell="D1" workbookViewId="0">
      <selection activeCell="P37" sqref="P37"/>
    </sheetView>
  </sheetViews>
  <sheetFormatPr defaultRowHeight="13.2"/>
  <cols>
    <col min="1" max="1" width="8.88671875" style="2"/>
    <col min="2" max="2" width="4.5546875" style="2" customWidth="1"/>
    <col min="3" max="3" width="3.77734375" style="2" customWidth="1"/>
    <col min="4" max="4" width="5.77734375" style="2" customWidth="1"/>
    <col min="5" max="5" width="23.6640625" style="2" customWidth="1"/>
    <col min="6" max="16384" width="8.88671875" style="2"/>
  </cols>
  <sheetData>
    <row r="3" spans="2:18" ht="31.8">
      <c r="B3" s="8" t="str">
        <f>Cover!C10</f>
        <v>McLAREN GROUP LTD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2:18" ht="18">
      <c r="B4" s="262" t="s">
        <v>71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2:18" ht="3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18" ht="3" customHeigh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9" spans="2:18">
      <c r="D9" s="255" t="s">
        <v>229</v>
      </c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4"/>
    </row>
    <row r="10" spans="2:18" ht="4.95" customHeight="1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8">
      <c r="B11" s="109"/>
      <c r="D11" s="146"/>
      <c r="E11" s="132"/>
      <c r="F11" s="132"/>
      <c r="G11" s="132"/>
      <c r="H11" s="134"/>
      <c r="I11" s="132"/>
      <c r="J11" s="132"/>
      <c r="K11" s="132"/>
      <c r="L11" s="250"/>
      <c r="M11" s="251"/>
      <c r="N11" s="251"/>
      <c r="O11" s="251"/>
      <c r="P11" s="252"/>
    </row>
    <row r="12" spans="2:18">
      <c r="B12" s="109"/>
      <c r="D12" s="136"/>
      <c r="E12" s="123"/>
      <c r="F12" s="123"/>
      <c r="G12" s="123"/>
      <c r="H12" s="158"/>
      <c r="I12" s="123"/>
      <c r="J12" s="123"/>
      <c r="K12" s="123"/>
      <c r="L12" s="159" t="s">
        <v>76</v>
      </c>
      <c r="M12" s="257"/>
      <c r="N12" s="257"/>
      <c r="O12" s="257"/>
      <c r="P12" s="258"/>
    </row>
    <row r="13" spans="2:18" ht="13.8">
      <c r="B13" s="109"/>
      <c r="D13" s="136"/>
      <c r="E13" s="123"/>
      <c r="F13" s="123"/>
      <c r="G13" s="123"/>
      <c r="H13" s="248"/>
      <c r="I13" s="249">
        <f>J13-1</f>
        <v>2019</v>
      </c>
      <c r="J13" s="249">
        <f t="shared" ref="J13" si="0">K13-1</f>
        <v>2020</v>
      </c>
      <c r="K13" s="249">
        <f>L13-1</f>
        <v>2021</v>
      </c>
      <c r="L13" s="259">
        <f>Scenarios!$I$9</f>
        <v>2022</v>
      </c>
      <c r="M13" s="259">
        <f>Scenarios!$J$9</f>
        <v>2023</v>
      </c>
      <c r="N13" s="259">
        <f>Scenarios!$K$9</f>
        <v>2024</v>
      </c>
      <c r="O13" s="259">
        <f>Scenarios!$L$9</f>
        <v>2025</v>
      </c>
      <c r="P13" s="260">
        <f>Scenarios!$M$9</f>
        <v>2026</v>
      </c>
    </row>
    <row r="14" spans="2:18">
      <c r="B14" s="123"/>
      <c r="D14" s="136"/>
      <c r="E14" s="123"/>
      <c r="F14" s="123"/>
      <c r="G14" s="123"/>
      <c r="H14" s="158"/>
      <c r="I14" s="123"/>
      <c r="J14" s="123"/>
      <c r="K14" s="123"/>
      <c r="L14" s="123"/>
      <c r="M14" s="123"/>
      <c r="N14" s="123"/>
      <c r="O14" s="123"/>
      <c r="P14" s="137"/>
    </row>
    <row r="15" spans="2:18">
      <c r="B15" s="123"/>
      <c r="D15" s="136" t="s">
        <v>1</v>
      </c>
      <c r="E15" s="123"/>
      <c r="F15" s="123"/>
      <c r="G15" s="123"/>
      <c r="H15" s="158"/>
      <c r="I15" s="191"/>
      <c r="J15" s="191">
        <v>0.06</v>
      </c>
      <c r="K15" s="191">
        <v>0.04</v>
      </c>
      <c r="L15" s="191">
        <v>0.05</v>
      </c>
      <c r="M15" s="191">
        <v>0.05</v>
      </c>
      <c r="N15" s="191">
        <v>0.06</v>
      </c>
      <c r="O15" s="191">
        <v>0.06</v>
      </c>
      <c r="P15" s="192">
        <v>0.06</v>
      </c>
    </row>
    <row r="16" spans="2:18">
      <c r="B16" s="123"/>
      <c r="D16" s="136" t="s">
        <v>225</v>
      </c>
      <c r="E16" s="123"/>
      <c r="F16" s="123"/>
      <c r="G16" s="123"/>
      <c r="H16" s="158"/>
      <c r="I16" s="191">
        <v>0.42</v>
      </c>
      <c r="J16" s="191">
        <v>0.44</v>
      </c>
      <c r="K16" s="191">
        <v>0.44</v>
      </c>
      <c r="L16" s="191">
        <v>0.44</v>
      </c>
      <c r="M16" s="191">
        <v>0.43</v>
      </c>
      <c r="N16" s="191">
        <v>0.43</v>
      </c>
      <c r="O16" s="191">
        <v>0.43</v>
      </c>
      <c r="P16" s="192">
        <v>0.43</v>
      </c>
    </row>
    <row r="17" spans="2:16">
      <c r="B17" s="123"/>
      <c r="D17" s="136" t="s">
        <v>227</v>
      </c>
      <c r="E17" s="123"/>
      <c r="F17" s="123"/>
      <c r="G17" s="123"/>
      <c r="H17" s="158"/>
      <c r="I17" s="191">
        <v>0.51</v>
      </c>
      <c r="J17" s="191">
        <v>0.49</v>
      </c>
      <c r="K17" s="191">
        <v>0.49</v>
      </c>
      <c r="L17" s="191">
        <v>0.49</v>
      </c>
      <c r="M17" s="191">
        <v>0.49</v>
      </c>
      <c r="N17" s="191">
        <v>0.49</v>
      </c>
      <c r="O17" s="191">
        <v>0.5</v>
      </c>
      <c r="P17" s="192">
        <v>0.5</v>
      </c>
    </row>
    <row r="18" spans="2:16">
      <c r="B18" s="123"/>
      <c r="D18" s="136" t="s">
        <v>226</v>
      </c>
      <c r="E18" s="123"/>
      <c r="F18" s="123"/>
      <c r="G18" s="123"/>
      <c r="H18" s="158"/>
      <c r="I18" s="191">
        <v>0.26</v>
      </c>
      <c r="J18" s="191">
        <v>0.25</v>
      </c>
      <c r="K18" s="191">
        <v>0.24</v>
      </c>
      <c r="L18" s="191">
        <v>0.27</v>
      </c>
      <c r="M18" s="191">
        <v>0.28999999999999998</v>
      </c>
      <c r="N18" s="191">
        <v>0.3</v>
      </c>
      <c r="O18" s="191">
        <v>0.32</v>
      </c>
      <c r="P18" s="192">
        <v>0.33</v>
      </c>
    </row>
    <row r="19" spans="2:16">
      <c r="B19" s="123"/>
      <c r="D19" s="139" t="s">
        <v>228</v>
      </c>
      <c r="E19" s="148"/>
      <c r="F19" s="148"/>
      <c r="G19" s="148"/>
      <c r="H19" s="172"/>
      <c r="I19" s="193">
        <v>0.16</v>
      </c>
      <c r="J19" s="193">
        <v>0.16</v>
      </c>
      <c r="K19" s="193">
        <v>0.16</v>
      </c>
      <c r="L19" s="193">
        <v>0.18</v>
      </c>
      <c r="M19" s="193">
        <v>0.19</v>
      </c>
      <c r="N19" s="193">
        <v>0.2</v>
      </c>
      <c r="O19" s="193">
        <v>0.21</v>
      </c>
      <c r="P19" s="194">
        <v>0.22</v>
      </c>
    </row>
    <row r="20" spans="2:16">
      <c r="B20" s="123"/>
      <c r="D20" s="123"/>
      <c r="E20" s="123"/>
      <c r="F20" s="123"/>
      <c r="G20" s="123"/>
      <c r="H20" s="158"/>
      <c r="I20" s="109"/>
      <c r="J20" s="109"/>
      <c r="K20" s="109"/>
      <c r="L20" s="109"/>
      <c r="M20" s="109"/>
      <c r="N20" s="109"/>
      <c r="O20" s="109"/>
      <c r="P20" s="109"/>
    </row>
    <row r="21" spans="2:16">
      <c r="B21" s="123"/>
      <c r="D21" s="123"/>
      <c r="E21" s="123"/>
      <c r="F21" s="123"/>
      <c r="G21" s="123"/>
      <c r="H21" s="158"/>
      <c r="I21" s="109"/>
      <c r="J21" s="109"/>
      <c r="K21" s="109"/>
      <c r="L21" s="109"/>
      <c r="M21" s="109"/>
      <c r="N21" s="109"/>
      <c r="O21" s="109"/>
      <c r="P21" s="109"/>
    </row>
    <row r="22" spans="2:16">
      <c r="B22" s="123"/>
      <c r="D22" s="123"/>
      <c r="E22" s="123"/>
      <c r="F22" s="123"/>
      <c r="G22" s="123"/>
      <c r="H22" s="158"/>
      <c r="I22" s="109"/>
      <c r="J22" s="109"/>
      <c r="K22" s="109"/>
      <c r="L22" s="109"/>
      <c r="M22" s="109"/>
      <c r="N22" s="109"/>
      <c r="O22" s="109"/>
      <c r="P22" s="109"/>
    </row>
    <row r="23" spans="2:16">
      <c r="B23" s="123"/>
      <c r="D23" s="255" t="s">
        <v>229</v>
      </c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4"/>
    </row>
    <row r="24" spans="2:16" ht="4.95" customHeight="1">
      <c r="B24" s="123"/>
      <c r="D24" s="123"/>
      <c r="E24" s="123"/>
      <c r="F24" s="123"/>
      <c r="G24" s="123"/>
      <c r="H24" s="158"/>
      <c r="I24" s="109"/>
      <c r="J24" s="109"/>
      <c r="K24" s="109"/>
      <c r="L24" s="109"/>
      <c r="M24" s="109"/>
      <c r="N24" s="109"/>
      <c r="O24" s="109"/>
      <c r="P24" s="109"/>
    </row>
    <row r="25" spans="2:16">
      <c r="B25" s="123"/>
      <c r="D25" s="146"/>
      <c r="E25" s="132"/>
      <c r="F25" s="132"/>
      <c r="G25" s="132"/>
      <c r="H25" s="134"/>
      <c r="I25" s="132"/>
      <c r="J25" s="132"/>
      <c r="K25" s="132"/>
      <c r="L25" s="250"/>
      <c r="M25" s="251"/>
      <c r="N25" s="251"/>
      <c r="O25" s="251"/>
      <c r="P25" s="252"/>
    </row>
    <row r="26" spans="2:16">
      <c r="B26" s="123"/>
      <c r="D26" s="136"/>
      <c r="E26" s="123"/>
      <c r="F26" s="123"/>
      <c r="G26" s="123"/>
      <c r="H26" s="158"/>
      <c r="I26" s="123"/>
      <c r="J26" s="123"/>
      <c r="K26" s="123"/>
      <c r="L26" s="159" t="s">
        <v>76</v>
      </c>
      <c r="M26" s="257"/>
      <c r="N26" s="257"/>
      <c r="O26" s="257"/>
      <c r="P26" s="258"/>
    </row>
    <row r="27" spans="2:16" ht="13.8">
      <c r="B27" s="123"/>
      <c r="D27" s="136"/>
      <c r="E27" s="123"/>
      <c r="F27" s="123"/>
      <c r="G27" s="123"/>
      <c r="H27" s="248"/>
      <c r="I27" s="249">
        <f>J27-1</f>
        <v>2019</v>
      </c>
      <c r="J27" s="249">
        <f t="shared" ref="J27" si="1">K27-1</f>
        <v>2020</v>
      </c>
      <c r="K27" s="249">
        <f>L27-1</f>
        <v>2021</v>
      </c>
      <c r="L27" s="259">
        <f>Scenarios!$I$9</f>
        <v>2022</v>
      </c>
      <c r="M27" s="259">
        <f>Scenarios!$J$9</f>
        <v>2023</v>
      </c>
      <c r="N27" s="259">
        <f>Scenarios!$K$9</f>
        <v>2024</v>
      </c>
      <c r="O27" s="259">
        <f>Scenarios!$L$9</f>
        <v>2025</v>
      </c>
      <c r="P27" s="260">
        <f>Scenarios!$M$9</f>
        <v>2026</v>
      </c>
    </row>
    <row r="28" spans="2:16">
      <c r="B28" s="123"/>
      <c r="D28" s="136"/>
      <c r="E28" s="123"/>
      <c r="F28" s="123"/>
      <c r="G28" s="123"/>
      <c r="H28" s="158"/>
      <c r="I28" s="123"/>
      <c r="J28" s="123"/>
      <c r="K28" s="123"/>
      <c r="L28" s="123"/>
      <c r="M28" s="123"/>
      <c r="N28" s="123"/>
      <c r="O28" s="123"/>
      <c r="P28" s="137"/>
    </row>
    <row r="29" spans="2:16">
      <c r="B29" s="123"/>
      <c r="D29" s="196" t="s">
        <v>1</v>
      </c>
      <c r="E29" s="191"/>
      <c r="F29" s="191"/>
      <c r="G29" s="191"/>
      <c r="H29" s="198"/>
      <c r="I29" s="191"/>
      <c r="J29" s="191">
        <v>0.06</v>
      </c>
      <c r="K29" s="191">
        <v>0.04</v>
      </c>
      <c r="L29" s="191">
        <v>0.13</v>
      </c>
      <c r="M29" s="191">
        <v>0.12</v>
      </c>
      <c r="N29" s="191">
        <v>0.12</v>
      </c>
      <c r="O29" s="191">
        <v>0.11</v>
      </c>
      <c r="P29" s="192">
        <v>0.11</v>
      </c>
    </row>
    <row r="30" spans="2:16">
      <c r="B30" s="123"/>
      <c r="D30" s="196" t="s">
        <v>225</v>
      </c>
      <c r="E30" s="191"/>
      <c r="F30" s="191"/>
      <c r="G30" s="191"/>
      <c r="H30" s="198"/>
      <c r="I30" s="191">
        <v>0.42</v>
      </c>
      <c r="J30" s="191">
        <v>0.44</v>
      </c>
      <c r="K30" s="191">
        <v>0.44</v>
      </c>
      <c r="L30" s="191">
        <v>0.42</v>
      </c>
      <c r="M30" s="191">
        <v>0.41</v>
      </c>
      <c r="N30" s="191">
        <v>0.4</v>
      </c>
      <c r="O30" s="191">
        <v>0.39</v>
      </c>
      <c r="P30" s="192">
        <v>0.39</v>
      </c>
    </row>
    <row r="31" spans="2:16">
      <c r="B31" s="123"/>
      <c r="D31" s="196" t="s">
        <v>227</v>
      </c>
      <c r="E31" s="191"/>
      <c r="F31" s="191"/>
      <c r="G31" s="191"/>
      <c r="H31" s="198"/>
      <c r="I31" s="191">
        <v>0.51</v>
      </c>
      <c r="J31" s="191">
        <v>0.49</v>
      </c>
      <c r="K31" s="191">
        <v>0.49</v>
      </c>
      <c r="L31" s="191">
        <v>0.5</v>
      </c>
      <c r="M31" s="191">
        <v>0.52</v>
      </c>
      <c r="N31" s="191">
        <v>0.54</v>
      </c>
      <c r="O31" s="191">
        <v>0.55000000000000004</v>
      </c>
      <c r="P31" s="192">
        <v>0.56000000000000005</v>
      </c>
    </row>
    <row r="32" spans="2:16">
      <c r="B32" s="123"/>
      <c r="D32" s="196" t="s">
        <v>226</v>
      </c>
      <c r="E32" s="191"/>
      <c r="F32" s="191"/>
      <c r="G32" s="191"/>
      <c r="H32" s="198"/>
      <c r="I32" s="191">
        <v>0.26</v>
      </c>
      <c r="J32" s="191">
        <v>0.25</v>
      </c>
      <c r="K32" s="191">
        <v>0.24</v>
      </c>
      <c r="L32" s="191">
        <v>0.3</v>
      </c>
      <c r="M32" s="191">
        <v>0.34</v>
      </c>
      <c r="N32" s="191">
        <v>0.38</v>
      </c>
      <c r="O32" s="191">
        <v>0.41</v>
      </c>
      <c r="P32" s="192">
        <v>0.44</v>
      </c>
    </row>
    <row r="33" spans="2:16">
      <c r="B33" s="123"/>
      <c r="D33" s="197" t="s">
        <v>228</v>
      </c>
      <c r="E33" s="193"/>
      <c r="F33" s="193"/>
      <c r="G33" s="193"/>
      <c r="H33" s="199"/>
      <c r="I33" s="193">
        <v>0.16</v>
      </c>
      <c r="J33" s="193">
        <v>0.16</v>
      </c>
      <c r="K33" s="193">
        <v>0.16</v>
      </c>
      <c r="L33" s="193">
        <v>0.2</v>
      </c>
      <c r="M33" s="193">
        <v>0.22</v>
      </c>
      <c r="N33" s="193">
        <v>0.25</v>
      </c>
      <c r="O33" s="193">
        <v>0.27</v>
      </c>
      <c r="P33" s="194">
        <v>0.28000000000000003</v>
      </c>
    </row>
    <row r="34" spans="2:16">
      <c r="B34" s="123"/>
      <c r="D34" s="123"/>
      <c r="E34" s="123"/>
      <c r="F34" s="123"/>
      <c r="G34" s="123"/>
      <c r="H34" s="158"/>
      <c r="I34" s="109"/>
      <c r="J34" s="109"/>
      <c r="K34" s="109"/>
      <c r="L34" s="109"/>
      <c r="M34" s="109"/>
      <c r="N34" s="109"/>
      <c r="O34" s="109"/>
      <c r="P34" s="109"/>
    </row>
    <row r="35" spans="2:16">
      <c r="B35" s="123"/>
      <c r="D35" s="123"/>
      <c r="E35" s="123"/>
      <c r="F35" s="123"/>
      <c r="G35" s="123"/>
      <c r="H35" s="158"/>
      <c r="I35" s="109"/>
      <c r="J35" s="109"/>
      <c r="K35" s="109"/>
      <c r="L35" s="109"/>
      <c r="M35" s="109"/>
      <c r="N35" s="109"/>
      <c r="O35" s="109"/>
      <c r="P35" s="109"/>
    </row>
    <row r="36" spans="2:16">
      <c r="B36" s="123"/>
      <c r="D36" s="123"/>
      <c r="E36" s="123"/>
      <c r="F36" s="123"/>
      <c r="G36" s="123"/>
      <c r="H36" s="158"/>
      <c r="I36" s="109"/>
      <c r="J36" s="109"/>
      <c r="K36" s="109"/>
      <c r="L36" s="109"/>
      <c r="M36" s="109"/>
      <c r="N36" s="109"/>
      <c r="O36" s="109"/>
      <c r="P36" s="109"/>
    </row>
    <row r="37" spans="2:16">
      <c r="B37" s="123"/>
      <c r="D37" s="255" t="s">
        <v>230</v>
      </c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4"/>
    </row>
    <row r="38" spans="2:16" ht="4.95" customHeight="1">
      <c r="B38" s="123"/>
      <c r="D38" s="123"/>
      <c r="E38" s="123"/>
      <c r="F38" s="123"/>
      <c r="G38" s="123"/>
      <c r="H38" s="158"/>
      <c r="I38" s="109"/>
      <c r="J38" s="109"/>
      <c r="K38" s="109"/>
      <c r="L38" s="109"/>
      <c r="M38" s="109"/>
      <c r="N38" s="109"/>
      <c r="O38" s="109"/>
      <c r="P38" s="109"/>
    </row>
    <row r="39" spans="2:16">
      <c r="B39" s="123"/>
      <c r="D39" s="1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9"/>
    </row>
    <row r="40" spans="2:16">
      <c r="B40" s="123"/>
      <c r="D40" s="136"/>
      <c r="E40" s="123"/>
      <c r="F40" s="123"/>
      <c r="G40" s="123"/>
      <c r="H40" s="158"/>
      <c r="I40" s="123"/>
      <c r="J40" s="123"/>
      <c r="K40" s="123"/>
      <c r="L40" s="159" t="s">
        <v>76</v>
      </c>
      <c r="M40" s="257"/>
      <c r="N40" s="257"/>
      <c r="O40" s="257"/>
      <c r="P40" s="258"/>
    </row>
    <row r="41" spans="2:16" ht="13.8">
      <c r="B41" s="123"/>
      <c r="D41" s="136"/>
      <c r="E41" s="123"/>
      <c r="F41" s="123"/>
      <c r="G41" s="123"/>
      <c r="H41" s="248"/>
      <c r="I41" s="249">
        <f>J41-1</f>
        <v>2019</v>
      </c>
      <c r="J41" s="249">
        <f t="shared" ref="J41" si="2">K41-1</f>
        <v>2020</v>
      </c>
      <c r="K41" s="249">
        <f>L41-1</f>
        <v>2021</v>
      </c>
      <c r="L41" s="259">
        <f>Scenarios!$I$9</f>
        <v>2022</v>
      </c>
      <c r="M41" s="259">
        <f>Scenarios!$J$9</f>
        <v>2023</v>
      </c>
      <c r="N41" s="259">
        <f>Scenarios!$K$9</f>
        <v>2024</v>
      </c>
      <c r="O41" s="259">
        <f>Scenarios!$L$9</f>
        <v>2025</v>
      </c>
      <c r="P41" s="260">
        <f>Scenarios!$M$9</f>
        <v>2026</v>
      </c>
    </row>
    <row r="42" spans="2:16">
      <c r="B42" s="123"/>
      <c r="D42" s="136"/>
      <c r="E42" s="123"/>
      <c r="F42" s="123"/>
      <c r="G42" s="123"/>
      <c r="H42" s="158"/>
      <c r="I42" s="123"/>
      <c r="J42" s="123"/>
      <c r="K42" s="123"/>
      <c r="L42" s="123"/>
      <c r="M42" s="123"/>
      <c r="N42" s="123"/>
      <c r="O42" s="123"/>
      <c r="P42" s="137"/>
    </row>
    <row r="43" spans="2:16">
      <c r="B43" s="123"/>
      <c r="D43" s="196" t="s">
        <v>1</v>
      </c>
      <c r="E43" s="191"/>
      <c r="F43" s="191"/>
      <c r="G43" s="191"/>
      <c r="H43" s="198"/>
      <c r="I43" s="261"/>
      <c r="J43" s="191">
        <v>6.2E-2</v>
      </c>
      <c r="K43" s="191">
        <v>0.04</v>
      </c>
      <c r="L43" s="191">
        <v>-1.4999999999999999E-2</v>
      </c>
      <c r="M43" s="191">
        <v>-1.6E-2</v>
      </c>
      <c r="N43" s="191">
        <v>-4.0000000000000001E-3</v>
      </c>
      <c r="O43" s="191">
        <v>-4.0000000000000001E-3</v>
      </c>
      <c r="P43" s="192">
        <v>-4.0000000000000001E-3</v>
      </c>
    </row>
    <row r="44" spans="2:16">
      <c r="B44" s="123"/>
      <c r="D44" s="196" t="s">
        <v>225</v>
      </c>
      <c r="E44" s="191"/>
      <c r="F44" s="191"/>
      <c r="G44" s="191"/>
      <c r="H44" s="198"/>
      <c r="I44" s="191">
        <v>0.41499999999999998</v>
      </c>
      <c r="J44" s="191">
        <v>0.437</v>
      </c>
      <c r="K44" s="191">
        <v>0.436</v>
      </c>
      <c r="L44" s="191">
        <v>0.44700000000000001</v>
      </c>
      <c r="M44" s="191">
        <v>0.45800000000000002</v>
      </c>
      <c r="N44" s="191">
        <v>0.46899999999999997</v>
      </c>
      <c r="O44" s="191">
        <v>0.48</v>
      </c>
      <c r="P44" s="192">
        <v>0.49</v>
      </c>
    </row>
    <row r="45" spans="2:16">
      <c r="B45" s="123"/>
      <c r="D45" s="196" t="s">
        <v>227</v>
      </c>
      <c r="E45" s="191"/>
      <c r="F45" s="191"/>
      <c r="G45" s="191"/>
      <c r="H45" s="198"/>
      <c r="I45" s="191">
        <v>0.50800000000000001</v>
      </c>
      <c r="J45" s="191">
        <v>0.48499999999999999</v>
      </c>
      <c r="K45" s="191">
        <v>0.49099999999999999</v>
      </c>
      <c r="L45" s="191">
        <v>0.46800000000000003</v>
      </c>
      <c r="M45" s="191">
        <v>0.45300000000000001</v>
      </c>
      <c r="N45" s="191">
        <v>0.439</v>
      </c>
      <c r="O45" s="191">
        <v>0.42499999999999999</v>
      </c>
      <c r="P45" s="192">
        <v>0.41099999999999998</v>
      </c>
    </row>
    <row r="46" spans="2:16">
      <c r="B46" s="123"/>
      <c r="D46" s="196" t="s">
        <v>226</v>
      </c>
      <c r="E46" s="191"/>
      <c r="F46" s="191"/>
      <c r="G46" s="191"/>
      <c r="H46" s="198"/>
      <c r="I46" s="191">
        <v>0.25700000000000001</v>
      </c>
      <c r="J46" s="191">
        <v>0.248</v>
      </c>
      <c r="K46" s="191">
        <v>0.23599999999999999</v>
      </c>
      <c r="L46" s="191">
        <v>0.23699999999999999</v>
      </c>
      <c r="M46" s="191">
        <v>0.219</v>
      </c>
      <c r="N46" s="191">
        <v>0.20499999999999999</v>
      </c>
      <c r="O46" s="191">
        <v>0.191</v>
      </c>
      <c r="P46" s="192">
        <v>0.17599999999999999</v>
      </c>
    </row>
    <row r="47" spans="2:16">
      <c r="B47" s="123"/>
      <c r="D47" s="197" t="s">
        <v>228</v>
      </c>
      <c r="E47" s="193"/>
      <c r="F47" s="193"/>
      <c r="G47" s="193"/>
      <c r="H47" s="199"/>
      <c r="I47" s="193">
        <v>0.16300000000000001</v>
      </c>
      <c r="J47" s="193">
        <v>0.16300000000000001</v>
      </c>
      <c r="K47" s="193">
        <v>0.16</v>
      </c>
      <c r="L47" s="193">
        <v>0.154</v>
      </c>
      <c r="M47" s="193">
        <v>0.14199999999999999</v>
      </c>
      <c r="N47" s="193">
        <v>0.13400000000000001</v>
      </c>
      <c r="O47" s="193">
        <v>0.124</v>
      </c>
      <c r="P47" s="194">
        <v>0.115</v>
      </c>
    </row>
    <row r="48" spans="2:16">
      <c r="B48" s="123"/>
      <c r="D48" s="123"/>
      <c r="E48" s="123"/>
      <c r="F48" s="123"/>
      <c r="G48" s="123"/>
      <c r="H48" s="158"/>
      <c r="I48" s="109"/>
      <c r="J48" s="109"/>
      <c r="K48" s="109"/>
      <c r="L48" s="109"/>
      <c r="M48" s="109"/>
      <c r="N48" s="109"/>
      <c r="O48" s="109"/>
      <c r="P48" s="109"/>
    </row>
    <row r="49" spans="2:17">
      <c r="B49" s="132"/>
      <c r="C49" s="3"/>
      <c r="D49" s="132"/>
      <c r="E49" s="132"/>
      <c r="F49" s="132"/>
      <c r="G49" s="132"/>
      <c r="H49" s="134"/>
      <c r="I49" s="132"/>
      <c r="J49" s="132"/>
      <c r="K49" s="132"/>
      <c r="L49" s="132"/>
      <c r="M49" s="132"/>
      <c r="N49" s="132"/>
      <c r="O49" s="132"/>
      <c r="P49" s="132"/>
      <c r="Q49" s="3"/>
    </row>
  </sheetData>
  <sheetProtection algorithmName="SHA-512" hashValue="CkZGGWXRIjrDfu+6wxsOv3ir20I7hk8p4zYNerfaEYpLQccwJh0vwkdRCnjwaG2Fyg1yENYcBk0xaMrglwUk/w==" saltValue="JlCjbh72LngxPWaa/TmzVQ==" spinCount="100000" sheet="1" objects="1" scenarios="1"/>
  <printOptions horizontalCentered="1"/>
  <pageMargins left="0.3" right="0.3" top="0.2" bottom="0.03" header="0.05" footer="0.15"/>
  <pageSetup paperSize="9" scale="90" orientation="landscape" r:id="rId1"/>
  <headerFooter>
    <oddFooter>&amp;LMcLAREN GROUP LTD&amp;CPage &amp;P of &amp;N&amp;R&amp;D,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D784-9A3A-47F2-88D7-3E962B67194B}">
  <dimension ref="B3:R107"/>
  <sheetViews>
    <sheetView showGridLines="0" tabSelected="1" workbookViewId="0">
      <selection activeCell="L27" sqref="L27"/>
    </sheetView>
  </sheetViews>
  <sheetFormatPr defaultRowHeight="13.2"/>
  <cols>
    <col min="1" max="1" width="8.88671875" style="2"/>
    <col min="2" max="2" width="3.21875" style="15" customWidth="1"/>
    <col min="3" max="3" width="3.77734375" style="2" customWidth="1"/>
    <col min="4" max="4" width="5.77734375" style="2" customWidth="1"/>
    <col min="5" max="5" width="23.6640625" style="2" customWidth="1"/>
    <col min="6" max="6" width="11.5546875" style="2" customWidth="1"/>
    <col min="7" max="7" width="8.88671875" style="2"/>
    <col min="8" max="8" width="6.44140625" style="2" customWidth="1"/>
    <col min="9" max="9" width="13.5546875" style="2" customWidth="1"/>
    <col min="10" max="10" width="8.88671875" style="2"/>
    <col min="11" max="11" width="3.6640625" style="2" customWidth="1"/>
    <col min="12" max="15" width="8.88671875" style="2"/>
    <col min="16" max="16" width="10.21875" style="2" bestFit="1" customWidth="1"/>
    <col min="17" max="16384" width="8.88671875" style="2"/>
  </cols>
  <sheetData>
    <row r="3" spans="2:18" ht="31.8">
      <c r="B3" s="8" t="str">
        <f>Cover!C10</f>
        <v>McLAREN GROUP LTD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2:18" ht="18">
      <c r="B4" s="262" t="s">
        <v>72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2:18" ht="3" customHeight="1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8">
      <c r="B6" s="2"/>
    </row>
    <row r="7" spans="2:18">
      <c r="D7" s="56" t="s">
        <v>73</v>
      </c>
      <c r="E7" s="10"/>
      <c r="F7" s="10"/>
      <c r="G7" s="10"/>
      <c r="H7" s="10"/>
      <c r="I7" s="11"/>
      <c r="K7" s="56" t="s">
        <v>105</v>
      </c>
      <c r="L7" s="10"/>
      <c r="M7" s="10"/>
      <c r="N7" s="10"/>
      <c r="O7" s="10"/>
      <c r="P7" s="11"/>
    </row>
    <row r="8" spans="2:18">
      <c r="B8" s="2"/>
      <c r="D8" s="43" t="s">
        <v>74</v>
      </c>
      <c r="E8" s="3" t="s">
        <v>78</v>
      </c>
      <c r="F8" s="3"/>
      <c r="G8" s="3"/>
      <c r="H8" s="3"/>
      <c r="I8" s="263">
        <v>2022</v>
      </c>
      <c r="K8" s="43" t="s">
        <v>74</v>
      </c>
      <c r="L8" s="3" t="s">
        <v>106</v>
      </c>
      <c r="M8" s="3"/>
      <c r="N8" s="3"/>
      <c r="O8" s="3"/>
      <c r="P8" s="279">
        <v>0.35</v>
      </c>
    </row>
    <row r="9" spans="2:18">
      <c r="B9" s="2"/>
      <c r="D9" s="44" t="s">
        <v>74</v>
      </c>
      <c r="E9" s="6" t="s">
        <v>94</v>
      </c>
      <c r="F9" s="6"/>
      <c r="G9" s="6"/>
      <c r="H9" s="6"/>
      <c r="I9" s="64"/>
      <c r="K9" s="16" t="s">
        <v>74</v>
      </c>
      <c r="L9" s="7" t="s">
        <v>118</v>
      </c>
      <c r="M9" s="7"/>
      <c r="N9" s="7"/>
      <c r="O9" s="7"/>
      <c r="P9" s="57"/>
    </row>
    <row r="10" spans="2:18">
      <c r="B10" s="2"/>
      <c r="D10" s="44"/>
      <c r="E10" s="6" t="s">
        <v>95</v>
      </c>
      <c r="F10" s="6"/>
      <c r="G10" s="6"/>
      <c r="H10" s="6"/>
      <c r="I10" s="64"/>
      <c r="K10" s="35"/>
      <c r="L10" s="6"/>
      <c r="M10" s="6"/>
      <c r="N10" s="6"/>
      <c r="O10" s="6"/>
      <c r="P10" s="40"/>
    </row>
    <row r="11" spans="2:18" s="6" customFormat="1">
      <c r="D11" s="44" t="s">
        <v>74</v>
      </c>
      <c r="E11" s="6" t="s">
        <v>194</v>
      </c>
      <c r="I11" s="264">
        <v>2900000</v>
      </c>
      <c r="K11" s="56" t="s">
        <v>107</v>
      </c>
      <c r="L11" s="10"/>
      <c r="M11" s="10"/>
      <c r="N11" s="10"/>
      <c r="O11" s="10"/>
      <c r="P11" s="11"/>
    </row>
    <row r="12" spans="2:18">
      <c r="B12" s="2"/>
      <c r="D12" s="16" t="s">
        <v>74</v>
      </c>
      <c r="E12" s="7" t="s">
        <v>204</v>
      </c>
      <c r="F12" s="7"/>
      <c r="G12" s="7"/>
      <c r="H12" s="7"/>
      <c r="I12" s="265">
        <v>79</v>
      </c>
      <c r="K12" s="44" t="s">
        <v>74</v>
      </c>
      <c r="L12" s="6" t="s">
        <v>108</v>
      </c>
      <c r="M12" s="6"/>
      <c r="N12" s="6"/>
      <c r="O12" s="6"/>
      <c r="P12" s="286">
        <v>4.4999999999999998E-2</v>
      </c>
    </row>
    <row r="13" spans="2:18">
      <c r="B13" s="2"/>
      <c r="K13" s="44" t="s">
        <v>74</v>
      </c>
      <c r="L13" s="6" t="s">
        <v>109</v>
      </c>
      <c r="M13" s="6"/>
      <c r="N13" s="6"/>
      <c r="O13" s="42"/>
      <c r="P13" s="286">
        <f>P12</f>
        <v>4.4999999999999998E-2</v>
      </c>
    </row>
    <row r="14" spans="2:18">
      <c r="B14" s="2"/>
      <c r="D14" s="56" t="s">
        <v>96</v>
      </c>
      <c r="E14" s="10"/>
      <c r="F14" s="10"/>
      <c r="G14" s="10"/>
      <c r="H14" s="10"/>
      <c r="I14" s="11"/>
      <c r="K14" s="44" t="s">
        <v>74</v>
      </c>
      <c r="L14" s="41" t="s">
        <v>110</v>
      </c>
      <c r="M14" s="6"/>
      <c r="N14" s="6"/>
      <c r="O14" s="35"/>
      <c r="P14" s="286">
        <v>1.0999999999999999E-2</v>
      </c>
    </row>
    <row r="15" spans="2:18">
      <c r="B15" s="2"/>
      <c r="D15" s="44" t="s">
        <v>74</v>
      </c>
      <c r="E15" s="6" t="s">
        <v>86</v>
      </c>
      <c r="F15" s="6"/>
      <c r="G15" s="6"/>
      <c r="H15" s="6"/>
      <c r="I15" s="45"/>
      <c r="K15" s="44" t="s">
        <v>74</v>
      </c>
      <c r="L15" s="41" t="s">
        <v>111</v>
      </c>
      <c r="M15" s="6"/>
      <c r="N15" s="6"/>
      <c r="O15" s="48"/>
      <c r="P15" s="286">
        <v>2.2499999999999999E-2</v>
      </c>
    </row>
    <row r="16" spans="2:18">
      <c r="B16" s="2"/>
      <c r="D16" s="46" t="s">
        <v>97</v>
      </c>
      <c r="E16" s="6"/>
      <c r="F16" s="6"/>
      <c r="G16" s="6"/>
      <c r="H16" s="42" t="str">
        <f>Scenarios!I9&amp; " - "&amp;Scenarios!M9</f>
        <v>2022 - 2026</v>
      </c>
      <c r="I16" s="45"/>
      <c r="K16" s="16" t="str">
        <f>K15</f>
        <v>-</v>
      </c>
      <c r="L16" s="47" t="s">
        <v>112</v>
      </c>
      <c r="M16" s="7"/>
      <c r="N16" s="7"/>
      <c r="O16" s="49"/>
      <c r="P16" s="288">
        <v>2.5000000000000001E-3</v>
      </c>
    </row>
    <row r="17" spans="2:17">
      <c r="B17" s="2"/>
      <c r="D17" s="44"/>
      <c r="E17" s="41" t="s">
        <v>82</v>
      </c>
      <c r="F17" s="6"/>
      <c r="G17" s="6"/>
      <c r="H17" s="35" t="s">
        <v>87</v>
      </c>
      <c r="I17" s="45"/>
    </row>
    <row r="18" spans="2:17">
      <c r="B18" s="2"/>
      <c r="D18" s="44"/>
      <c r="E18" s="41" t="s">
        <v>83</v>
      </c>
      <c r="F18" s="6"/>
      <c r="G18" s="6"/>
      <c r="H18" s="290">
        <v>0.05</v>
      </c>
      <c r="I18" s="45"/>
      <c r="K18" s="56" t="s">
        <v>113</v>
      </c>
      <c r="L18" s="10"/>
      <c r="M18" s="10"/>
      <c r="N18" s="10"/>
      <c r="O18" s="10"/>
      <c r="P18" s="11"/>
    </row>
    <row r="19" spans="2:17">
      <c r="B19" s="2"/>
      <c r="D19" s="16"/>
      <c r="E19" s="47" t="s">
        <v>84</v>
      </c>
      <c r="F19" s="7"/>
      <c r="G19" s="7"/>
      <c r="H19" s="291">
        <v>-0.05</v>
      </c>
      <c r="I19" s="17"/>
      <c r="K19" s="44" t="s">
        <v>74</v>
      </c>
      <c r="L19" s="2" t="s">
        <v>169</v>
      </c>
      <c r="P19" s="285">
        <v>15</v>
      </c>
    </row>
    <row r="20" spans="2:17">
      <c r="B20" s="2"/>
      <c r="D20" s="35"/>
      <c r="E20" s="6"/>
      <c r="F20" s="6"/>
      <c r="G20" s="6"/>
      <c r="H20" s="6"/>
      <c r="I20" s="40"/>
      <c r="K20" s="44" t="s">
        <v>74</v>
      </c>
      <c r="L20" s="6" t="s">
        <v>114</v>
      </c>
      <c r="M20" s="6"/>
      <c r="N20" s="6"/>
      <c r="O20" s="6"/>
      <c r="P20" s="286">
        <v>7.4999999999999997E-2</v>
      </c>
    </row>
    <row r="21" spans="2:17">
      <c r="B21" s="2"/>
      <c r="D21" s="56" t="s">
        <v>79</v>
      </c>
      <c r="E21" s="10"/>
      <c r="F21" s="10"/>
      <c r="G21" s="10"/>
      <c r="H21" s="10"/>
      <c r="I21" s="11"/>
      <c r="K21" s="44" t="s">
        <v>74</v>
      </c>
      <c r="L21" s="6" t="s">
        <v>116</v>
      </c>
      <c r="M21" s="6"/>
      <c r="N21" s="6"/>
      <c r="O21" s="42"/>
      <c r="P21" s="287">
        <v>75</v>
      </c>
    </row>
    <row r="22" spans="2:17">
      <c r="B22" s="2"/>
      <c r="D22" s="43" t="s">
        <v>74</v>
      </c>
      <c r="E22" s="3" t="s">
        <v>98</v>
      </c>
      <c r="F22" s="3"/>
      <c r="G22" s="3"/>
      <c r="H22" s="3"/>
      <c r="I22" s="279">
        <v>0.8</v>
      </c>
      <c r="K22" s="44" t="s">
        <v>74</v>
      </c>
      <c r="L22" s="6" t="s">
        <v>115</v>
      </c>
      <c r="M22" s="6"/>
      <c r="N22" s="6"/>
      <c r="O22" s="42"/>
      <c r="P22" s="287">
        <v>10</v>
      </c>
    </row>
    <row r="23" spans="2:17">
      <c r="D23" s="44" t="s">
        <v>74</v>
      </c>
      <c r="E23" s="6" t="s">
        <v>81</v>
      </c>
      <c r="F23" s="6"/>
      <c r="G23" s="6"/>
      <c r="H23" s="6"/>
      <c r="I23" s="280">
        <v>0.02</v>
      </c>
      <c r="K23" s="16" t="s">
        <v>74</v>
      </c>
      <c r="L23" s="47" t="s">
        <v>117</v>
      </c>
      <c r="M23" s="7"/>
      <c r="N23" s="7"/>
      <c r="O23" s="49"/>
      <c r="P23" s="288">
        <v>0.2</v>
      </c>
    </row>
    <row r="24" spans="2:17">
      <c r="D24" s="16" t="s">
        <v>74</v>
      </c>
      <c r="E24" s="7" t="s">
        <v>99</v>
      </c>
      <c r="F24" s="7"/>
      <c r="G24" s="7"/>
      <c r="H24" s="7"/>
      <c r="I24" s="281">
        <v>48</v>
      </c>
    </row>
    <row r="25" spans="2:17">
      <c r="D25" s="15"/>
      <c r="K25" s="82"/>
      <c r="L25" s="83"/>
      <c r="M25" s="83"/>
      <c r="N25" s="83"/>
      <c r="O25" s="83"/>
      <c r="P25" s="83"/>
      <c r="Q25" s="6"/>
    </row>
    <row r="26" spans="2:17">
      <c r="D26" s="56" t="s">
        <v>100</v>
      </c>
      <c r="E26" s="10"/>
      <c r="F26" s="10"/>
      <c r="G26" s="10"/>
      <c r="H26" s="10"/>
      <c r="I26" s="11"/>
      <c r="K26" s="84"/>
      <c r="L26" s="83"/>
      <c r="M26" s="83"/>
      <c r="N26" s="83"/>
      <c r="O26" s="83"/>
      <c r="P26" s="85"/>
      <c r="Q26" s="6"/>
    </row>
    <row r="27" spans="2:17">
      <c r="D27" s="43" t="s">
        <v>74</v>
      </c>
      <c r="E27" s="3" t="s">
        <v>101</v>
      </c>
      <c r="F27" s="3"/>
      <c r="G27" s="3"/>
      <c r="H27" s="3"/>
      <c r="I27" s="282" t="s">
        <v>102</v>
      </c>
      <c r="K27" s="35"/>
      <c r="L27" s="6"/>
      <c r="M27" s="6"/>
      <c r="N27" s="6"/>
      <c r="O27" s="42"/>
      <c r="P27" s="73"/>
      <c r="Q27" s="6"/>
    </row>
    <row r="28" spans="2:17">
      <c r="D28" s="44" t="s">
        <v>74</v>
      </c>
      <c r="E28" s="6" t="s">
        <v>103</v>
      </c>
      <c r="F28" s="6"/>
      <c r="G28" s="6"/>
      <c r="H28" s="6"/>
      <c r="I28" s="283">
        <v>25</v>
      </c>
      <c r="K28" s="35"/>
      <c r="L28" s="41"/>
      <c r="M28" s="6"/>
      <c r="N28" s="6"/>
      <c r="O28" s="35"/>
      <c r="P28" s="73"/>
      <c r="Q28" s="6"/>
    </row>
    <row r="29" spans="2:17">
      <c r="D29" s="16" t="s">
        <v>74</v>
      </c>
      <c r="E29" s="7" t="s">
        <v>104</v>
      </c>
      <c r="F29" s="7"/>
      <c r="G29" s="7"/>
      <c r="H29" s="7"/>
      <c r="I29" s="284">
        <v>30</v>
      </c>
      <c r="K29" s="35"/>
      <c r="L29" s="41"/>
      <c r="M29" s="6"/>
      <c r="N29" s="6"/>
      <c r="O29" s="48"/>
      <c r="P29" s="73"/>
    </row>
    <row r="30" spans="2:17">
      <c r="C30" s="6"/>
      <c r="D30" s="35"/>
      <c r="E30" s="6"/>
      <c r="F30" s="6"/>
      <c r="G30" s="6"/>
      <c r="H30" s="6"/>
      <c r="I30" s="72"/>
      <c r="J30" s="6"/>
      <c r="K30" s="35"/>
      <c r="L30" s="41"/>
      <c r="M30" s="6"/>
      <c r="N30" s="6"/>
      <c r="O30" s="48"/>
      <c r="P30" s="73"/>
    </row>
    <row r="31" spans="2:17">
      <c r="B31" s="5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6" spans="2:17" ht="31.8">
      <c r="B36" s="8" t="str">
        <f>$B$3</f>
        <v>McLAREN GROUP LTD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7" ht="18">
      <c r="B37" s="262" t="s">
        <v>119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2:17" ht="3" customHeight="1" thickBo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2:17">
      <c r="B39" s="2"/>
    </row>
    <row r="41" spans="2:17">
      <c r="L41" s="13">
        <f>Scenarios!I9</f>
        <v>2022</v>
      </c>
      <c r="M41" s="13">
        <f>Scenarios!J9</f>
        <v>2023</v>
      </c>
      <c r="N41" s="13">
        <f>Scenarios!K9</f>
        <v>2024</v>
      </c>
      <c r="O41" s="13">
        <f>Scenarios!L9</f>
        <v>2025</v>
      </c>
      <c r="P41" s="13">
        <f>Scenarios!M9</f>
        <v>2026</v>
      </c>
    </row>
    <row r="42" spans="2:17">
      <c r="D42" s="58" t="s">
        <v>0</v>
      </c>
    </row>
    <row r="43" spans="2:17">
      <c r="D43" s="59"/>
      <c r="E43" s="2" t="s">
        <v>120</v>
      </c>
      <c r="G43" s="52" t="s">
        <v>136</v>
      </c>
      <c r="K43" s="65"/>
      <c r="L43" s="266">
        <v>0</v>
      </c>
      <c r="M43" s="266">
        <v>0</v>
      </c>
      <c r="N43" s="266">
        <v>0</v>
      </c>
      <c r="O43" s="266">
        <v>0</v>
      </c>
      <c r="P43" s="266">
        <v>0</v>
      </c>
      <c r="Q43" s="65"/>
    </row>
    <row r="44" spans="2:17">
      <c r="D44" s="59"/>
      <c r="E44" s="2" t="s">
        <v>121</v>
      </c>
      <c r="G44" s="52" t="s">
        <v>136</v>
      </c>
      <c r="K44" s="65"/>
      <c r="L44" s="266">
        <v>0</v>
      </c>
      <c r="M44" s="266">
        <v>0</v>
      </c>
      <c r="N44" s="266">
        <v>0</v>
      </c>
      <c r="O44" s="266">
        <v>0</v>
      </c>
      <c r="P44" s="266">
        <v>0</v>
      </c>
      <c r="Q44" s="65"/>
    </row>
    <row r="45" spans="2:17">
      <c r="D45" s="59"/>
      <c r="K45" s="65"/>
      <c r="L45" s="65"/>
      <c r="M45" s="65"/>
      <c r="N45" s="65"/>
      <c r="O45" s="65"/>
      <c r="P45" s="65"/>
      <c r="Q45" s="65"/>
    </row>
    <row r="46" spans="2:17">
      <c r="D46" s="59"/>
      <c r="E46" s="2" t="s">
        <v>153</v>
      </c>
      <c r="G46" s="52" t="s">
        <v>136</v>
      </c>
      <c r="K46" s="65"/>
      <c r="L46" s="266">
        <v>60</v>
      </c>
      <c r="M46" s="266">
        <v>60</v>
      </c>
      <c r="N46" s="266">
        <v>60</v>
      </c>
      <c r="O46" s="266">
        <v>60</v>
      </c>
      <c r="P46" s="266">
        <v>60</v>
      </c>
      <c r="Q46" s="65"/>
    </row>
    <row r="47" spans="2:17">
      <c r="D47" s="59"/>
      <c r="K47" s="65"/>
      <c r="L47" s="65"/>
      <c r="M47" s="65"/>
      <c r="N47" s="65"/>
      <c r="O47" s="65"/>
      <c r="P47" s="65"/>
      <c r="Q47" s="65"/>
    </row>
    <row r="48" spans="2:17">
      <c r="D48" s="59"/>
      <c r="K48" s="65"/>
      <c r="L48" s="65"/>
      <c r="M48" s="65"/>
      <c r="N48" s="65"/>
      <c r="O48" s="65"/>
      <c r="P48" s="65"/>
      <c r="Q48" s="65"/>
    </row>
    <row r="49" spans="4:17">
      <c r="D49" s="58" t="s">
        <v>15</v>
      </c>
      <c r="K49" s="65"/>
      <c r="L49" s="65"/>
      <c r="M49" s="65"/>
      <c r="N49" s="65"/>
      <c r="O49" s="65"/>
      <c r="P49" s="65"/>
      <c r="Q49" s="65"/>
    </row>
    <row r="50" spans="4:17">
      <c r="D50" s="59"/>
      <c r="E50" s="2" t="s">
        <v>122</v>
      </c>
      <c r="G50" s="52" t="s">
        <v>136</v>
      </c>
      <c r="K50" s="65"/>
      <c r="L50" s="266">
        <v>0</v>
      </c>
      <c r="M50" s="266">
        <v>0</v>
      </c>
      <c r="N50" s="266">
        <v>0</v>
      </c>
      <c r="O50" s="266">
        <v>0</v>
      </c>
      <c r="P50" s="266">
        <v>0</v>
      </c>
      <c r="Q50" s="65"/>
    </row>
    <row r="51" spans="4:17">
      <c r="D51" s="59"/>
      <c r="E51" s="2" t="s">
        <v>123</v>
      </c>
      <c r="G51" s="52" t="s">
        <v>136</v>
      </c>
      <c r="K51" s="65"/>
      <c r="L51" s="266">
        <v>0</v>
      </c>
      <c r="M51" s="266">
        <v>0</v>
      </c>
      <c r="N51" s="266">
        <v>0</v>
      </c>
      <c r="O51" s="266">
        <v>0</v>
      </c>
      <c r="P51" s="266">
        <v>0</v>
      </c>
      <c r="Q51" s="65"/>
    </row>
    <row r="52" spans="4:17">
      <c r="D52" s="59"/>
      <c r="E52" s="2" t="s">
        <v>124</v>
      </c>
      <c r="G52" s="52" t="s">
        <v>136</v>
      </c>
      <c r="K52" s="65"/>
      <c r="L52" s="266">
        <v>0</v>
      </c>
      <c r="M52" s="266">
        <v>0</v>
      </c>
      <c r="N52" s="266">
        <v>0</v>
      </c>
      <c r="O52" s="266">
        <v>0</v>
      </c>
      <c r="P52" s="266">
        <v>0</v>
      </c>
      <c r="Q52" s="65"/>
    </row>
    <row r="53" spans="4:17">
      <c r="D53" s="59"/>
      <c r="K53" s="65"/>
      <c r="L53" s="65"/>
      <c r="M53" s="65"/>
      <c r="N53" s="65"/>
      <c r="O53" s="65"/>
      <c r="P53" s="65"/>
      <c r="Q53" s="65"/>
    </row>
    <row r="54" spans="4:17">
      <c r="D54" s="59"/>
      <c r="K54" s="65"/>
      <c r="L54" s="65"/>
      <c r="M54" s="65"/>
      <c r="N54" s="65"/>
      <c r="O54" s="65"/>
      <c r="P54" s="65"/>
      <c r="Q54" s="65"/>
    </row>
    <row r="55" spans="4:17" ht="13.8">
      <c r="D55" s="59" t="s">
        <v>20</v>
      </c>
      <c r="G55" s="60" t="s">
        <v>136</v>
      </c>
      <c r="K55" s="65"/>
      <c r="L55" s="266">
        <v>120</v>
      </c>
      <c r="M55" s="266">
        <v>120</v>
      </c>
      <c r="N55" s="266">
        <v>120</v>
      </c>
      <c r="O55" s="266">
        <v>120</v>
      </c>
      <c r="P55" s="266">
        <v>120</v>
      </c>
      <c r="Q55" s="65"/>
    </row>
    <row r="56" spans="4:17">
      <c r="D56" s="59"/>
      <c r="K56" s="65"/>
      <c r="L56" s="65"/>
      <c r="M56" s="65"/>
      <c r="N56" s="65"/>
      <c r="O56" s="65"/>
      <c r="P56" s="65"/>
      <c r="Q56" s="65"/>
    </row>
    <row r="57" spans="4:17">
      <c r="D57" s="59"/>
      <c r="K57" s="65"/>
      <c r="L57" s="65"/>
      <c r="M57" s="65"/>
      <c r="N57" s="65"/>
      <c r="O57" s="65"/>
      <c r="P57" s="65"/>
      <c r="Q57" s="65"/>
    </row>
    <row r="58" spans="4:17">
      <c r="D58" s="59" t="s">
        <v>165</v>
      </c>
      <c r="K58" s="65"/>
      <c r="L58" s="65"/>
      <c r="M58" s="65"/>
      <c r="N58" s="65"/>
      <c r="O58" s="65"/>
      <c r="P58" s="65"/>
      <c r="Q58" s="65"/>
    </row>
    <row r="59" spans="4:17">
      <c r="D59" s="59"/>
      <c r="E59" s="2" t="s">
        <v>27</v>
      </c>
      <c r="G59" s="61" t="s">
        <v>162</v>
      </c>
      <c r="K59" s="65"/>
      <c r="L59" s="266">
        <v>214.1</v>
      </c>
      <c r="M59" s="266">
        <v>214.1</v>
      </c>
      <c r="N59" s="266">
        <v>214.1</v>
      </c>
      <c r="O59" s="266">
        <v>214.1</v>
      </c>
      <c r="P59" s="266">
        <v>214.1</v>
      </c>
      <c r="Q59" s="65"/>
    </row>
    <row r="60" spans="4:17">
      <c r="D60" s="59"/>
      <c r="E60" s="2" t="s">
        <v>28</v>
      </c>
      <c r="G60" s="61" t="s">
        <v>162</v>
      </c>
      <c r="K60" s="65"/>
      <c r="L60" s="266">
        <v>73.5</v>
      </c>
      <c r="M60" s="266">
        <v>73.5</v>
      </c>
      <c r="N60" s="266">
        <v>73.5</v>
      </c>
      <c r="O60" s="266">
        <v>73.5</v>
      </c>
      <c r="P60" s="266">
        <v>73.5</v>
      </c>
      <c r="Q60" s="65"/>
    </row>
    <row r="61" spans="4:17">
      <c r="D61" s="59"/>
      <c r="E61" s="2" t="s">
        <v>29</v>
      </c>
      <c r="G61" s="61" t="s">
        <v>162</v>
      </c>
      <c r="K61" s="65"/>
      <c r="L61" s="266">
        <v>7</v>
      </c>
      <c r="M61" s="266">
        <v>7</v>
      </c>
      <c r="N61" s="266">
        <v>7</v>
      </c>
      <c r="O61" s="266">
        <v>7</v>
      </c>
      <c r="P61" s="266">
        <v>7</v>
      </c>
      <c r="Q61" s="65"/>
    </row>
    <row r="62" spans="4:17">
      <c r="D62" s="59"/>
      <c r="E62" s="2" t="s">
        <v>38</v>
      </c>
      <c r="G62" s="61" t="s">
        <v>162</v>
      </c>
      <c r="K62" s="65"/>
      <c r="L62" s="266">
        <v>40.700000000000003</v>
      </c>
      <c r="M62" s="266">
        <v>40.700000000000003</v>
      </c>
      <c r="N62" s="266">
        <v>40.700000000000003</v>
      </c>
      <c r="O62" s="266">
        <v>40.700000000000003</v>
      </c>
      <c r="P62" s="266">
        <v>40.700000000000003</v>
      </c>
      <c r="Q62" s="65"/>
    </row>
    <row r="63" spans="4:17">
      <c r="D63" s="59"/>
      <c r="E63" s="2" t="s">
        <v>29</v>
      </c>
      <c r="G63" s="61" t="s">
        <v>162</v>
      </c>
      <c r="K63" s="65"/>
      <c r="L63" s="266">
        <v>6.9</v>
      </c>
      <c r="M63" s="266">
        <v>6.9</v>
      </c>
      <c r="N63" s="266">
        <v>6.9</v>
      </c>
      <c r="O63" s="266">
        <v>6.9</v>
      </c>
      <c r="P63" s="266">
        <v>6.9</v>
      </c>
      <c r="Q63" s="65"/>
    </row>
    <row r="64" spans="4:17">
      <c r="D64" s="59"/>
      <c r="K64" s="65"/>
      <c r="L64" s="65"/>
      <c r="M64" s="65"/>
      <c r="N64" s="65"/>
      <c r="O64" s="65"/>
      <c r="P64" s="65"/>
      <c r="Q64" s="65"/>
    </row>
    <row r="65" spans="2:17">
      <c r="D65" s="59" t="s">
        <v>195</v>
      </c>
      <c r="G65" s="52" t="s">
        <v>136</v>
      </c>
      <c r="K65" s="65"/>
      <c r="L65" s="266">
        <v>0</v>
      </c>
      <c r="M65" s="266">
        <v>0</v>
      </c>
      <c r="N65" s="266">
        <v>0</v>
      </c>
      <c r="O65" s="266">
        <v>0</v>
      </c>
      <c r="P65" s="266">
        <v>0</v>
      </c>
      <c r="Q65" s="65"/>
    </row>
    <row r="66" spans="2:17">
      <c r="D66" s="59" t="s">
        <v>32</v>
      </c>
      <c r="G66" s="52" t="s">
        <v>136</v>
      </c>
      <c r="K66" s="65"/>
      <c r="L66" s="266">
        <v>0</v>
      </c>
      <c r="M66" s="266">
        <v>0</v>
      </c>
      <c r="N66" s="266">
        <v>0</v>
      </c>
      <c r="O66" s="266">
        <v>0</v>
      </c>
      <c r="P66" s="266">
        <v>0</v>
      </c>
      <c r="Q66" s="65"/>
    </row>
    <row r="67" spans="2:17">
      <c r="D67" s="59" t="s">
        <v>198</v>
      </c>
      <c r="G67" s="52" t="s">
        <v>136</v>
      </c>
      <c r="K67" s="65"/>
      <c r="L67" s="266">
        <v>0</v>
      </c>
      <c r="M67" s="266">
        <v>0</v>
      </c>
      <c r="N67" s="266">
        <v>0</v>
      </c>
      <c r="O67" s="266">
        <v>0</v>
      </c>
      <c r="P67" s="266">
        <v>0</v>
      </c>
      <c r="Q67" s="65"/>
    </row>
    <row r="68" spans="2:17">
      <c r="D68" s="59" t="s">
        <v>199</v>
      </c>
      <c r="G68" s="52" t="s">
        <v>136</v>
      </c>
      <c r="K68" s="65"/>
      <c r="L68" s="266">
        <v>0</v>
      </c>
      <c r="M68" s="266">
        <v>0</v>
      </c>
      <c r="N68" s="266">
        <v>0</v>
      </c>
      <c r="O68" s="266">
        <v>0</v>
      </c>
      <c r="P68" s="266">
        <v>0</v>
      </c>
      <c r="Q68" s="65"/>
    </row>
    <row r="69" spans="2:17">
      <c r="D69" s="59"/>
      <c r="K69" s="65"/>
      <c r="L69" s="63"/>
      <c r="M69" s="65"/>
      <c r="N69" s="65"/>
      <c r="O69" s="65"/>
      <c r="P69" s="65"/>
      <c r="Q69" s="65"/>
    </row>
    <row r="70" spans="2:17">
      <c r="D70" s="59" t="s">
        <v>196</v>
      </c>
      <c r="G70" s="52" t="s">
        <v>136</v>
      </c>
      <c r="K70" s="65"/>
      <c r="L70" s="266">
        <v>70</v>
      </c>
      <c r="M70" s="266">
        <v>70</v>
      </c>
      <c r="N70" s="266">
        <v>70</v>
      </c>
      <c r="O70" s="266">
        <v>70</v>
      </c>
      <c r="P70" s="266">
        <v>70</v>
      </c>
      <c r="Q70" s="65"/>
    </row>
    <row r="71" spans="2:17">
      <c r="D71" s="59" t="s">
        <v>197</v>
      </c>
      <c r="G71" s="52" t="s">
        <v>136</v>
      </c>
      <c r="K71" s="65"/>
      <c r="L71" s="266">
        <v>35</v>
      </c>
      <c r="M71" s="266">
        <v>35</v>
      </c>
      <c r="N71" s="266">
        <v>35</v>
      </c>
      <c r="O71" s="266">
        <v>35</v>
      </c>
      <c r="P71" s="266">
        <v>35</v>
      </c>
      <c r="Q71" s="65"/>
    </row>
    <row r="72" spans="2:17">
      <c r="D72" s="59"/>
      <c r="K72" s="65"/>
      <c r="L72" s="65"/>
      <c r="M72" s="65"/>
      <c r="N72" s="65"/>
      <c r="O72" s="65"/>
      <c r="P72" s="65"/>
      <c r="Q72" s="65"/>
    </row>
    <row r="73" spans="2:17">
      <c r="B73" s="55"/>
      <c r="C73" s="7"/>
      <c r="D73" s="47"/>
      <c r="E73" s="7"/>
      <c r="F73" s="7"/>
      <c r="G73" s="7"/>
      <c r="H73" s="7"/>
      <c r="I73" s="7"/>
      <c r="J73" s="7"/>
      <c r="K73" s="289"/>
      <c r="L73" s="289"/>
      <c r="M73" s="289"/>
      <c r="N73" s="289"/>
      <c r="O73" s="289"/>
      <c r="P73" s="289"/>
      <c r="Q73" s="289"/>
    </row>
    <row r="74" spans="2:17">
      <c r="B74" s="59"/>
    </row>
    <row r="75" spans="2:17">
      <c r="B75" s="59"/>
    </row>
    <row r="76" spans="2:17">
      <c r="B76" s="59"/>
    </row>
    <row r="77" spans="2:17">
      <c r="B77" s="59"/>
    </row>
    <row r="78" spans="2:17">
      <c r="B78" s="59"/>
    </row>
    <row r="79" spans="2:17">
      <c r="B79" s="59"/>
    </row>
    <row r="80" spans="2:17">
      <c r="B80" s="59"/>
    </row>
    <row r="81" spans="2:2">
      <c r="B81" s="59"/>
    </row>
    <row r="82" spans="2:2">
      <c r="B82" s="59"/>
    </row>
    <row r="83" spans="2:2">
      <c r="B83" s="59"/>
    </row>
    <row r="84" spans="2:2">
      <c r="B84" s="59"/>
    </row>
    <row r="85" spans="2:2">
      <c r="B85" s="59"/>
    </row>
    <row r="86" spans="2:2">
      <c r="B86" s="59"/>
    </row>
    <row r="87" spans="2:2">
      <c r="B87" s="59"/>
    </row>
    <row r="88" spans="2:2">
      <c r="B88" s="59"/>
    </row>
    <row r="89" spans="2:2">
      <c r="B89" s="59"/>
    </row>
    <row r="90" spans="2:2">
      <c r="B90" s="59"/>
    </row>
    <row r="91" spans="2:2">
      <c r="B91" s="59"/>
    </row>
    <row r="92" spans="2:2">
      <c r="B92" s="59"/>
    </row>
    <row r="93" spans="2:2">
      <c r="B93" s="59"/>
    </row>
    <row r="94" spans="2:2">
      <c r="B94" s="59"/>
    </row>
    <row r="95" spans="2:2">
      <c r="B95" s="59"/>
    </row>
    <row r="96" spans="2:2">
      <c r="B96" s="59"/>
    </row>
    <row r="97" spans="2:2">
      <c r="B97" s="59"/>
    </row>
    <row r="98" spans="2:2">
      <c r="B98" s="59"/>
    </row>
    <row r="99" spans="2:2">
      <c r="B99" s="59"/>
    </row>
    <row r="100" spans="2:2">
      <c r="B100" s="59"/>
    </row>
    <row r="101" spans="2:2">
      <c r="B101" s="59"/>
    </row>
    <row r="102" spans="2:2">
      <c r="B102" s="59"/>
    </row>
    <row r="103" spans="2:2">
      <c r="B103" s="59"/>
    </row>
    <row r="104" spans="2:2">
      <c r="B104" s="59"/>
    </row>
    <row r="105" spans="2:2">
      <c r="B105" s="59"/>
    </row>
    <row r="106" spans="2:2">
      <c r="B106" s="59"/>
    </row>
    <row r="107" spans="2:2">
      <c r="B107" s="59"/>
    </row>
  </sheetData>
  <printOptions horizontalCentered="1"/>
  <pageMargins left="0.3" right="0.3" top="0.2" bottom="0.03" header="0.05" footer="0.15"/>
  <pageSetup paperSize="9" scale="90" orientation="landscape" r:id="rId1"/>
  <headerFooter>
    <oddFooter>&amp;LMcLAREN GROUP LTD&amp;CPage &amp;P of &amp;N&amp;R&amp;D,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BA6E-79E2-48D0-83C8-FDC53A34C3AC}">
  <dimension ref="B3:P43"/>
  <sheetViews>
    <sheetView showGridLines="0" workbookViewId="0">
      <selection activeCell="P37" sqref="P37"/>
    </sheetView>
  </sheetViews>
  <sheetFormatPr defaultRowHeight="13.2"/>
  <cols>
    <col min="1" max="1" width="8.88671875" style="2"/>
    <col min="2" max="2" width="2.88671875" style="2" customWidth="1"/>
    <col min="3" max="3" width="3" style="2" customWidth="1"/>
    <col min="4" max="4" width="16.77734375" style="2" customWidth="1"/>
    <col min="5" max="5" width="9.5546875" style="2" customWidth="1"/>
    <col min="6" max="16384" width="8.88671875" style="2"/>
  </cols>
  <sheetData>
    <row r="3" spans="2:14" ht="31.8">
      <c r="B3" s="8" t="str">
        <f>Cover!C10</f>
        <v>McLAREN GROUP LTD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>
      <c r="B4" s="9" t="s">
        <v>75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4" ht="3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8" spans="2:14">
      <c r="I8" s="14" t="s">
        <v>76</v>
      </c>
      <c r="J8" s="14"/>
      <c r="K8" s="14"/>
      <c r="L8" s="14"/>
      <c r="M8" s="14"/>
    </row>
    <row r="9" spans="2:14" ht="13.8" customHeight="1">
      <c r="G9" s="51" t="s">
        <v>88</v>
      </c>
      <c r="H9" s="13"/>
      <c r="I9" s="13">
        <f>Inp!I8</f>
        <v>2022</v>
      </c>
      <c r="J9" s="13">
        <f>I9+1</f>
        <v>2023</v>
      </c>
      <c r="K9" s="13">
        <f t="shared" ref="K9:M9" si="0">J9+1</f>
        <v>2024</v>
      </c>
      <c r="L9" s="13">
        <f t="shared" si="0"/>
        <v>2025</v>
      </c>
      <c r="M9" s="13">
        <f t="shared" si="0"/>
        <v>2026</v>
      </c>
    </row>
    <row r="10" spans="2:14" ht="13.8" customHeight="1">
      <c r="G10" s="52"/>
      <c r="I10" s="13"/>
      <c r="J10" s="13"/>
      <c r="K10" s="13"/>
      <c r="L10" s="13"/>
      <c r="M10" s="13"/>
    </row>
    <row r="11" spans="2:14" ht="3" customHeight="1">
      <c r="B11" s="18"/>
      <c r="C11" s="3"/>
      <c r="D11" s="3"/>
      <c r="E11" s="19"/>
      <c r="G11" s="52"/>
      <c r="I11" s="13"/>
      <c r="J11" s="13"/>
      <c r="K11" s="13"/>
      <c r="L11" s="13"/>
      <c r="M11" s="13"/>
    </row>
    <row r="12" spans="2:14">
      <c r="B12" s="34" t="s">
        <v>77</v>
      </c>
      <c r="C12" s="6"/>
      <c r="E12" s="274">
        <v>3</v>
      </c>
      <c r="G12" s="52"/>
    </row>
    <row r="13" spans="2:14" ht="3" customHeight="1">
      <c r="B13" s="20"/>
      <c r="C13" s="7"/>
      <c r="D13" s="7"/>
      <c r="E13" s="21"/>
      <c r="G13" s="52"/>
    </row>
    <row r="14" spans="2:14">
      <c r="G14" s="52"/>
    </row>
    <row r="15" spans="2:14">
      <c r="G15" s="52"/>
    </row>
    <row r="16" spans="2:14">
      <c r="B16" s="12" t="s">
        <v>80</v>
      </c>
      <c r="G16" s="52"/>
    </row>
    <row r="17" spans="2:16">
      <c r="G17" s="52"/>
    </row>
    <row r="18" spans="2:16" s="12" customFormat="1" ht="13.8">
      <c r="C18" s="12" t="s">
        <v>81</v>
      </c>
      <c r="G18" s="53" t="s">
        <v>89</v>
      </c>
      <c r="I18" s="31">
        <f>CHOOSE($E$12,I20,I21,I22)</f>
        <v>0.03</v>
      </c>
      <c r="J18" s="32">
        <f>CHOOSE($E$12,J20,J21,J22)</f>
        <v>0.03</v>
      </c>
      <c r="K18" s="32">
        <f>CHOOSE($E$12,K20,K21,K22)</f>
        <v>0.03</v>
      </c>
      <c r="L18" s="32">
        <f>CHOOSE($E$12,L20,L21,L22)</f>
        <v>0.03</v>
      </c>
      <c r="M18" s="33">
        <f>CHOOSE($E$12,M20,M21,M22)</f>
        <v>0.03</v>
      </c>
    </row>
    <row r="19" spans="2:16" ht="3" customHeight="1">
      <c r="C19" s="12"/>
      <c r="G19" s="52"/>
      <c r="I19" s="6"/>
      <c r="J19" s="6"/>
      <c r="K19" s="6"/>
      <c r="L19" s="6"/>
      <c r="M19" s="6"/>
    </row>
    <row r="20" spans="2:16">
      <c r="D20" s="2" t="s">
        <v>82</v>
      </c>
      <c r="G20" s="52"/>
      <c r="I20" s="270">
        <v>0.02</v>
      </c>
      <c r="J20" s="271">
        <v>0.02</v>
      </c>
      <c r="K20" s="271">
        <v>0.02</v>
      </c>
      <c r="L20" s="271">
        <v>0.02</v>
      </c>
      <c r="M20" s="272">
        <v>0.02</v>
      </c>
    </row>
    <row r="21" spans="2:16">
      <c r="D21" s="2" t="s">
        <v>83</v>
      </c>
      <c r="G21" s="52"/>
      <c r="I21" s="26">
        <f>I20-0.5%</f>
        <v>1.4999999999999999E-2</v>
      </c>
      <c r="J21" s="23">
        <f t="shared" ref="J21:M21" si="1">J20-0.5%</f>
        <v>1.4999999999999999E-2</v>
      </c>
      <c r="K21" s="23">
        <f t="shared" si="1"/>
        <v>1.4999999999999999E-2</v>
      </c>
      <c r="L21" s="23">
        <f t="shared" si="1"/>
        <v>1.4999999999999999E-2</v>
      </c>
      <c r="M21" s="27">
        <f t="shared" si="1"/>
        <v>1.4999999999999999E-2</v>
      </c>
    </row>
    <row r="22" spans="2:16">
      <c r="D22" s="2" t="s">
        <v>84</v>
      </c>
      <c r="G22" s="52"/>
      <c r="I22" s="28">
        <f>I20+1%</f>
        <v>0.03</v>
      </c>
      <c r="J22" s="29">
        <f t="shared" ref="J22:M22" si="2">J20+1%</f>
        <v>0.03</v>
      </c>
      <c r="K22" s="29">
        <f t="shared" si="2"/>
        <v>0.03</v>
      </c>
      <c r="L22" s="29">
        <f t="shared" si="2"/>
        <v>0.03</v>
      </c>
      <c r="M22" s="30">
        <f t="shared" si="2"/>
        <v>0.03</v>
      </c>
    </row>
    <row r="23" spans="2:16">
      <c r="G23" s="52"/>
      <c r="P23" s="273"/>
    </row>
    <row r="24" spans="2:16">
      <c r="G24" s="52"/>
    </row>
    <row r="25" spans="2:16">
      <c r="B25" s="3"/>
      <c r="C25" s="3"/>
      <c r="D25" s="3"/>
      <c r="E25" s="3"/>
      <c r="F25" s="3"/>
      <c r="G25" s="54"/>
      <c r="H25" s="3"/>
      <c r="I25" s="3"/>
      <c r="J25" s="3"/>
      <c r="K25" s="3"/>
      <c r="L25" s="3"/>
      <c r="M25" s="3"/>
    </row>
    <row r="26" spans="2:16">
      <c r="G26" s="52"/>
      <c r="O26" s="273"/>
    </row>
    <row r="27" spans="2:16">
      <c r="B27" s="12" t="s">
        <v>85</v>
      </c>
      <c r="G27" s="52"/>
    </row>
    <row r="28" spans="2:16">
      <c r="G28" s="52"/>
    </row>
    <row r="29" spans="2:16">
      <c r="C29" s="2" t="s">
        <v>210</v>
      </c>
      <c r="G29" s="52" t="s">
        <v>89</v>
      </c>
      <c r="H29" s="12"/>
      <c r="I29" s="31">
        <f>CHOOSE($E$12,I31,I32,I33)</f>
        <v>0.01</v>
      </c>
      <c r="J29" s="32">
        <f>CHOOSE($E$12,J31,J32,J33)</f>
        <v>0.01</v>
      </c>
      <c r="K29" s="32">
        <f>CHOOSE($E$12,K31,K32,K33)</f>
        <v>0.01</v>
      </c>
      <c r="L29" s="32">
        <f>CHOOSE($E$12,L31,L32,L33)</f>
        <v>0.01</v>
      </c>
      <c r="M29" s="33">
        <f>CHOOSE($E$12,M31,M32,M33)</f>
        <v>0.01</v>
      </c>
    </row>
    <row r="30" spans="2:16" ht="3" customHeight="1">
      <c r="G30" s="52"/>
      <c r="I30" s="23"/>
      <c r="J30" s="23"/>
      <c r="K30" s="23"/>
      <c r="L30" s="23"/>
      <c r="M30" s="23"/>
    </row>
    <row r="31" spans="2:16">
      <c r="D31" s="2" t="s">
        <v>82</v>
      </c>
      <c r="G31" s="52"/>
      <c r="I31" s="22">
        <v>1.4999999999999999E-2</v>
      </c>
      <c r="J31" s="24">
        <v>1.4999999999999999E-2</v>
      </c>
      <c r="K31" s="24">
        <v>1.4999999999999999E-2</v>
      </c>
      <c r="L31" s="24">
        <v>1.4999999999999999E-2</v>
      </c>
      <c r="M31" s="25">
        <v>1.4999999999999999E-2</v>
      </c>
    </row>
    <row r="32" spans="2:16">
      <c r="D32" s="2" t="s">
        <v>83</v>
      </c>
      <c r="E32" s="50"/>
      <c r="G32" s="52"/>
      <c r="I32" s="26">
        <f>I31+1%</f>
        <v>2.5000000000000001E-2</v>
      </c>
      <c r="J32" s="23">
        <f t="shared" ref="J32:M32" si="3">J31+1%</f>
        <v>2.5000000000000001E-2</v>
      </c>
      <c r="K32" s="23">
        <f t="shared" si="3"/>
        <v>2.5000000000000001E-2</v>
      </c>
      <c r="L32" s="23">
        <f t="shared" si="3"/>
        <v>2.5000000000000001E-2</v>
      </c>
      <c r="M32" s="27">
        <f t="shared" si="3"/>
        <v>2.5000000000000001E-2</v>
      </c>
    </row>
    <row r="33" spans="2:13">
      <c r="D33" s="2" t="s">
        <v>84</v>
      </c>
      <c r="E33" s="50"/>
      <c r="G33" s="52"/>
      <c r="I33" s="28">
        <f>I31-0.5%</f>
        <v>0.01</v>
      </c>
      <c r="J33" s="29">
        <f t="shared" ref="J33:M33" si="4">J31-0.5%</f>
        <v>0.01</v>
      </c>
      <c r="K33" s="29">
        <f t="shared" si="4"/>
        <v>0.01</v>
      </c>
      <c r="L33" s="29">
        <f t="shared" si="4"/>
        <v>0.01</v>
      </c>
      <c r="M33" s="30">
        <f t="shared" si="4"/>
        <v>0.01</v>
      </c>
    </row>
    <row r="34" spans="2:13">
      <c r="E34" s="50"/>
      <c r="G34" s="52"/>
      <c r="I34" s="23"/>
      <c r="J34" s="23"/>
      <c r="K34" s="23"/>
      <c r="L34" s="23"/>
      <c r="M34" s="23"/>
    </row>
    <row r="35" spans="2:13">
      <c r="G35" s="15"/>
    </row>
    <row r="36" spans="2:13">
      <c r="C36" s="2" t="s">
        <v>201</v>
      </c>
      <c r="G36" s="52" t="s">
        <v>89</v>
      </c>
      <c r="H36" s="12"/>
      <c r="I36" s="37">
        <f>CHOOSE($E$12,I38,I39,I40)</f>
        <v>-2</v>
      </c>
      <c r="J36" s="38">
        <f>CHOOSE($E$12,J38,J39,J40)</f>
        <v>-2</v>
      </c>
      <c r="K36" s="38">
        <f>CHOOSE($E$12,K38,K39,K40)</f>
        <v>-1</v>
      </c>
      <c r="L36" s="38">
        <f>CHOOSE($E$12,L38,L39,L40)</f>
        <v>-1</v>
      </c>
      <c r="M36" s="39">
        <f>CHOOSE($E$12,M38,M39,M40)</f>
        <v>-1</v>
      </c>
    </row>
    <row r="37" spans="2:13" ht="3" customHeight="1">
      <c r="G37" s="52"/>
      <c r="I37" s="36"/>
      <c r="J37" s="36"/>
      <c r="K37" s="36"/>
      <c r="L37" s="36"/>
      <c r="M37" s="36"/>
    </row>
    <row r="38" spans="2:13">
      <c r="D38" s="2" t="s">
        <v>82</v>
      </c>
      <c r="G38" s="52"/>
      <c r="I38" s="267">
        <v>3</v>
      </c>
      <c r="J38" s="268">
        <v>3</v>
      </c>
      <c r="K38" s="268">
        <v>4</v>
      </c>
      <c r="L38" s="268">
        <v>4</v>
      </c>
      <c r="M38" s="269">
        <v>4</v>
      </c>
    </row>
    <row r="39" spans="2:13">
      <c r="D39" s="2" t="s">
        <v>83</v>
      </c>
      <c r="E39" s="50"/>
      <c r="G39" s="52"/>
      <c r="I39" s="107">
        <f>I38+5</f>
        <v>8</v>
      </c>
      <c r="J39" s="62">
        <f t="shared" ref="J39:M39" si="5">J38+5</f>
        <v>8</v>
      </c>
      <c r="K39" s="62">
        <f>K38+5</f>
        <v>9</v>
      </c>
      <c r="L39" s="62">
        <f t="shared" si="5"/>
        <v>9</v>
      </c>
      <c r="M39" s="87">
        <f>M38+5</f>
        <v>9</v>
      </c>
    </row>
    <row r="40" spans="2:13">
      <c r="D40" s="2" t="s">
        <v>84</v>
      </c>
      <c r="E40" s="50"/>
      <c r="G40" s="52"/>
      <c r="I40" s="108">
        <f>I38-5</f>
        <v>-2</v>
      </c>
      <c r="J40" s="99">
        <f t="shared" ref="J40:M40" si="6">J38-5</f>
        <v>-2</v>
      </c>
      <c r="K40" s="99">
        <f t="shared" si="6"/>
        <v>-1</v>
      </c>
      <c r="L40" s="99">
        <f t="shared" si="6"/>
        <v>-1</v>
      </c>
      <c r="M40" s="101">
        <f t="shared" si="6"/>
        <v>-1</v>
      </c>
    </row>
    <row r="41" spans="2:13">
      <c r="B41" s="7"/>
      <c r="C41" s="7"/>
      <c r="D41" s="7"/>
      <c r="E41" s="7"/>
      <c r="F41" s="7"/>
      <c r="G41" s="55"/>
      <c r="H41" s="7"/>
      <c r="I41" s="7"/>
      <c r="J41" s="7"/>
      <c r="K41" s="7"/>
      <c r="L41" s="7"/>
      <c r="M41" s="7"/>
    </row>
    <row r="42" spans="2:13">
      <c r="G42" s="15"/>
    </row>
    <row r="43" spans="2:13">
      <c r="G43" s="15"/>
    </row>
  </sheetData>
  <sheetProtection algorithmName="SHA-512" hashValue="nGKfzWr7Rp46djiGTIl77KPB1Iw7q3FYzMQJDPQUYyjrp2/p7fNg7dtkK0N0aUUBeVjxnM1PGHPHCfrJLRBXYQ==" saltValue="cV/jL9DRumX8C0cfWOEKAw==" spinCount="100000" sheet="1" objects="1" scenarios="1"/>
  <printOptions horizontalCentered="1"/>
  <pageMargins left="0.3" right="0.3" top="0.2" bottom="0.03" header="0.05" footer="0.15"/>
  <pageSetup paperSize="9" scale="90" orientation="landscape" r:id="rId1"/>
  <headerFooter>
    <oddFooter>&amp;LMcLAREN GROUP LTD&amp;CPage &amp;P of &amp;N&amp;R&amp;D,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3</xdr:col>
                    <xdr:colOff>891540</xdr:colOff>
                    <xdr:row>10</xdr:row>
                    <xdr:rowOff>22860</xdr:rowOff>
                  </from>
                  <to>
                    <xdr:col>4</xdr:col>
                    <xdr:colOff>624840</xdr:colOff>
                    <xdr:row>12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72F5-E759-4DE8-B851-DB5F9E22BC6D}">
  <dimension ref="A2:O411"/>
  <sheetViews>
    <sheetView showGridLines="0" zoomScaleNormal="100" workbookViewId="0">
      <selection activeCell="P37" sqref="P37"/>
    </sheetView>
  </sheetViews>
  <sheetFormatPr defaultRowHeight="13.2"/>
  <cols>
    <col min="1" max="1" width="8.88671875" style="109"/>
    <col min="2" max="2" width="4.5546875" style="109" customWidth="1"/>
    <col min="3" max="3" width="3.77734375" style="109" customWidth="1"/>
    <col min="4" max="4" width="21.33203125" style="109" customWidth="1"/>
    <col min="5" max="5" width="10.21875" style="109" customWidth="1"/>
    <col min="6" max="6" width="9" style="109" bestFit="1" customWidth="1"/>
    <col min="7" max="7" width="8.88671875" style="110"/>
    <col min="8" max="9" width="9.21875" style="109" bestFit="1" customWidth="1"/>
    <col min="10" max="10" width="12.6640625" style="109" bestFit="1" customWidth="1"/>
    <col min="11" max="11" width="13.6640625" style="109" bestFit="1" customWidth="1"/>
    <col min="12" max="14" width="12.6640625" style="109" bestFit="1" customWidth="1"/>
    <col min="15" max="15" width="12.44140625" style="109" customWidth="1"/>
    <col min="16" max="16384" width="8.88671875" style="109"/>
  </cols>
  <sheetData>
    <row r="2" spans="2:15">
      <c r="O2" s="111" t="str">
        <f>UPPER("CURRENTLY USING: "&amp;CHOOSE(Scenarios!$E$12,Scenarios!$D$20,Scenarios!$D$21,Scenarios!$D$22)&amp;" CASE SCENARIO")</f>
        <v>CURRENTLY USING: WORSE CASE SCENARIO</v>
      </c>
    </row>
    <row r="3" spans="2:15" ht="34.799999999999997">
      <c r="B3" s="112" t="str">
        <f ca="1">$B$71</f>
        <v>McLAREN GROUP LTD</v>
      </c>
      <c r="C3" s="113"/>
      <c r="D3" s="113"/>
      <c r="E3" s="113"/>
      <c r="F3" s="113"/>
      <c r="G3" s="114"/>
      <c r="H3" s="113"/>
      <c r="I3" s="113"/>
      <c r="J3" s="113"/>
      <c r="K3" s="113"/>
      <c r="L3" s="113"/>
      <c r="M3" s="113"/>
      <c r="N3" s="113"/>
      <c r="O3" s="113"/>
    </row>
    <row r="4" spans="2:15" ht="18">
      <c r="B4" s="115" t="s">
        <v>125</v>
      </c>
      <c r="C4" s="113"/>
      <c r="D4" s="113"/>
      <c r="E4" s="113"/>
      <c r="F4" s="113"/>
      <c r="G4" s="114"/>
      <c r="H4" s="113"/>
      <c r="I4" s="113"/>
      <c r="J4" s="113"/>
      <c r="K4" s="113"/>
      <c r="L4" s="113"/>
      <c r="M4" s="113"/>
      <c r="N4" s="113"/>
      <c r="O4" s="113"/>
    </row>
    <row r="5" spans="2:15" ht="3" customHeight="1" thickBot="1">
      <c r="B5" s="116"/>
      <c r="C5" s="116"/>
      <c r="D5" s="116"/>
      <c r="E5" s="116"/>
      <c r="F5" s="116"/>
      <c r="G5" s="117"/>
      <c r="H5" s="116"/>
      <c r="I5" s="116"/>
      <c r="J5" s="116"/>
      <c r="K5" s="116"/>
      <c r="L5" s="116"/>
      <c r="M5" s="116"/>
      <c r="N5" s="116"/>
      <c r="O5" s="116"/>
    </row>
    <row r="6" spans="2:15">
      <c r="B6" s="118" t="s">
        <v>60</v>
      </c>
    </row>
    <row r="8" spans="2:15">
      <c r="K8" s="119" t="s">
        <v>76</v>
      </c>
      <c r="L8" s="120"/>
      <c r="M8" s="120"/>
      <c r="N8" s="120"/>
      <c r="O8" s="120"/>
    </row>
    <row r="9" spans="2:15" ht="13.8">
      <c r="G9" s="121" t="s">
        <v>88</v>
      </c>
      <c r="H9" s="203">
        <f>$H$77</f>
        <v>2019</v>
      </c>
      <c r="I9" s="203">
        <f>$I$77</f>
        <v>2020</v>
      </c>
      <c r="J9" s="203">
        <f>$J$77</f>
        <v>2021</v>
      </c>
      <c r="K9" s="203">
        <f>$K$77</f>
        <v>2022</v>
      </c>
      <c r="L9" s="203">
        <f>$L$77</f>
        <v>2023</v>
      </c>
      <c r="M9" s="203">
        <f>$M$77</f>
        <v>2024</v>
      </c>
      <c r="N9" s="203">
        <f>$N$77</f>
        <v>2025</v>
      </c>
      <c r="O9" s="203">
        <f>$O$77</f>
        <v>2026</v>
      </c>
    </row>
    <row r="10" spans="2:15">
      <c r="B10" s="123"/>
      <c r="C10" s="123"/>
      <c r="D10" s="123"/>
      <c r="E10" s="123"/>
      <c r="F10" s="123"/>
      <c r="G10" s="124"/>
    </row>
    <row r="11" spans="2:15">
      <c r="B11" s="123"/>
      <c r="C11" s="123"/>
      <c r="D11" s="123"/>
      <c r="E11" s="123"/>
      <c r="F11" s="123"/>
      <c r="G11" s="124"/>
    </row>
    <row r="12" spans="2:15">
      <c r="B12" s="125" t="s">
        <v>208</v>
      </c>
      <c r="C12" s="123"/>
      <c r="D12" s="123"/>
      <c r="E12" s="123"/>
      <c r="F12" s="123"/>
      <c r="G12" s="124"/>
    </row>
    <row r="13" spans="2:15">
      <c r="C13" s="109" t="s">
        <v>205</v>
      </c>
      <c r="E13" s="123"/>
      <c r="F13" s="123"/>
      <c r="G13" s="126" t="s">
        <v>203</v>
      </c>
      <c r="H13" s="123"/>
      <c r="I13" s="123"/>
      <c r="J13" s="74"/>
      <c r="K13" s="75">
        <f>J15</f>
        <v>79</v>
      </c>
      <c r="L13" s="75">
        <f t="shared" ref="L13:O13" si="0">K15</f>
        <v>77</v>
      </c>
      <c r="M13" s="75">
        <f t="shared" si="0"/>
        <v>75</v>
      </c>
      <c r="N13" s="75">
        <f t="shared" si="0"/>
        <v>74</v>
      </c>
      <c r="O13" s="75">
        <f t="shared" si="0"/>
        <v>73</v>
      </c>
    </row>
    <row r="14" spans="2:15">
      <c r="C14" s="109" t="s">
        <v>201</v>
      </c>
      <c r="E14" s="123"/>
      <c r="F14" s="123"/>
      <c r="G14" s="126" t="s">
        <v>203</v>
      </c>
      <c r="H14" s="123"/>
      <c r="I14" s="123"/>
      <c r="J14" s="75"/>
      <c r="K14" s="228">
        <f>Scenarios!I36</f>
        <v>-2</v>
      </c>
      <c r="L14" s="228">
        <f>Scenarios!J36</f>
        <v>-2</v>
      </c>
      <c r="M14" s="228">
        <f>Scenarios!K36</f>
        <v>-1</v>
      </c>
      <c r="N14" s="228">
        <f>Scenarios!L36</f>
        <v>-1</v>
      </c>
      <c r="O14" s="228">
        <f>Scenarios!M36</f>
        <v>-1</v>
      </c>
    </row>
    <row r="15" spans="2:15" s="127" customFormat="1" ht="13.8">
      <c r="C15" s="127" t="s">
        <v>206</v>
      </c>
      <c r="E15" s="125"/>
      <c r="F15" s="125"/>
      <c r="G15" s="128"/>
      <c r="H15" s="125"/>
      <c r="I15" s="125"/>
      <c r="J15" s="229">
        <f>Inp!I12</f>
        <v>79</v>
      </c>
      <c r="K15" s="77">
        <f>SUM(K13:K14)</f>
        <v>77</v>
      </c>
      <c r="L15" s="77">
        <f t="shared" ref="L15:O15" si="1">SUM(L13:L14)</f>
        <v>75</v>
      </c>
      <c r="M15" s="77">
        <f t="shared" si="1"/>
        <v>74</v>
      </c>
      <c r="N15" s="77">
        <f t="shared" si="1"/>
        <v>73</v>
      </c>
      <c r="O15" s="77">
        <f t="shared" si="1"/>
        <v>72</v>
      </c>
    </row>
    <row r="16" spans="2:15">
      <c r="E16" s="123"/>
      <c r="F16" s="123"/>
      <c r="G16" s="126"/>
      <c r="H16" s="123"/>
      <c r="I16" s="123"/>
      <c r="J16" s="75"/>
      <c r="K16" s="75"/>
      <c r="L16" s="75"/>
      <c r="M16" s="75"/>
      <c r="N16" s="75"/>
      <c r="O16" s="75"/>
    </row>
    <row r="17" spans="1:15">
      <c r="E17" s="123"/>
      <c r="F17" s="123"/>
      <c r="G17" s="126"/>
      <c r="H17" s="123"/>
      <c r="I17" s="123"/>
      <c r="J17" s="230"/>
      <c r="K17" s="75"/>
      <c r="L17" s="75"/>
      <c r="M17" s="75"/>
      <c r="N17" s="75"/>
      <c r="O17" s="75"/>
    </row>
    <row r="18" spans="1:15">
      <c r="C18" s="109" t="s">
        <v>207</v>
      </c>
      <c r="E18" s="123"/>
      <c r="F18" s="123"/>
      <c r="G18" s="126" t="s">
        <v>216</v>
      </c>
      <c r="H18" s="123"/>
      <c r="I18" s="123"/>
      <c r="J18" s="74">
        <f>J19/J15</f>
        <v>36708.9</v>
      </c>
      <c r="K18" s="228">
        <f>J18</f>
        <v>36708.9</v>
      </c>
      <c r="L18" s="228">
        <f t="shared" ref="L18:O18" si="2">K18</f>
        <v>36708.9</v>
      </c>
      <c r="M18" s="228">
        <f t="shared" si="2"/>
        <v>36708.9</v>
      </c>
      <c r="N18" s="228">
        <f t="shared" si="2"/>
        <v>36708.9</v>
      </c>
      <c r="O18" s="228">
        <f t="shared" si="2"/>
        <v>36708.9</v>
      </c>
    </row>
    <row r="19" spans="1:15" s="127" customFormat="1" ht="13.8">
      <c r="C19" s="127" t="s">
        <v>200</v>
      </c>
      <c r="E19" s="125"/>
      <c r="F19" s="125"/>
      <c r="G19" s="128" t="s">
        <v>216</v>
      </c>
      <c r="H19" s="125"/>
      <c r="I19" s="125"/>
      <c r="J19" s="229">
        <f>Inp!I11</f>
        <v>2900000</v>
      </c>
      <c r="K19" s="77">
        <f>K15*K18</f>
        <v>2826585.3</v>
      </c>
      <c r="L19" s="77">
        <f t="shared" ref="L19:O19" si="3">L15*L18</f>
        <v>2753167.5</v>
      </c>
      <c r="M19" s="77">
        <f t="shared" si="3"/>
        <v>2716458.6</v>
      </c>
      <c r="N19" s="77">
        <f t="shared" si="3"/>
        <v>2679749.7000000002</v>
      </c>
      <c r="O19" s="77">
        <f t="shared" si="3"/>
        <v>2643040.7999999998</v>
      </c>
    </row>
    <row r="20" spans="1:15">
      <c r="E20" s="123"/>
      <c r="F20" s="123"/>
      <c r="G20" s="126"/>
      <c r="H20" s="123"/>
      <c r="I20" s="123"/>
      <c r="J20" s="230"/>
      <c r="K20" s="75"/>
      <c r="L20" s="75"/>
      <c r="M20" s="75"/>
      <c r="N20" s="75"/>
      <c r="O20" s="75"/>
    </row>
    <row r="21" spans="1:15">
      <c r="E21" s="123"/>
      <c r="F21" s="123"/>
      <c r="G21" s="126"/>
      <c r="H21" s="123"/>
      <c r="I21" s="123"/>
      <c r="J21" s="228"/>
      <c r="K21" s="75"/>
      <c r="L21" s="75"/>
      <c r="M21" s="75"/>
      <c r="N21" s="75"/>
      <c r="O21" s="75"/>
    </row>
    <row r="22" spans="1:15">
      <c r="E22" s="123"/>
      <c r="F22" s="123"/>
      <c r="G22" s="126"/>
      <c r="H22" s="123"/>
      <c r="I22" s="123"/>
      <c r="J22" s="75"/>
      <c r="K22" s="75"/>
      <c r="L22" s="75"/>
      <c r="M22" s="75"/>
      <c r="N22" s="75"/>
      <c r="O22" s="75"/>
    </row>
    <row r="23" spans="1:15">
      <c r="B23" s="127" t="s">
        <v>219</v>
      </c>
      <c r="E23" s="123"/>
      <c r="F23" s="123"/>
      <c r="G23" s="126"/>
      <c r="H23" s="123"/>
      <c r="I23" s="123"/>
      <c r="J23" s="75"/>
      <c r="K23" s="75"/>
      <c r="L23" s="75"/>
      <c r="M23" s="75"/>
      <c r="N23" s="75"/>
      <c r="O23" s="75"/>
    </row>
    <row r="24" spans="1:15">
      <c r="B24" s="123"/>
      <c r="C24" s="109" t="s">
        <v>213</v>
      </c>
      <c r="D24" s="123"/>
      <c r="E24" s="123"/>
      <c r="F24" s="123"/>
      <c r="G24" s="124" t="s">
        <v>89</v>
      </c>
      <c r="H24" s="123"/>
      <c r="I24" s="123"/>
      <c r="J24" s="75"/>
      <c r="K24" s="185">
        <f>Scenarios!I29</f>
        <v>0.01</v>
      </c>
      <c r="L24" s="185">
        <f>Scenarios!J29</f>
        <v>0.01</v>
      </c>
      <c r="M24" s="185">
        <f>Scenarios!K29</f>
        <v>0.01</v>
      </c>
      <c r="N24" s="185">
        <f>Scenarios!L29</f>
        <v>0.01</v>
      </c>
      <c r="O24" s="185">
        <f>Scenarios!M29</f>
        <v>0.01</v>
      </c>
    </row>
    <row r="25" spans="1:15">
      <c r="B25" s="123"/>
      <c r="C25" s="123" t="s">
        <v>211</v>
      </c>
      <c r="D25" s="123"/>
      <c r="E25" s="123"/>
      <c r="F25" s="123"/>
      <c r="G25" s="124" t="s">
        <v>212</v>
      </c>
      <c r="H25" s="123"/>
      <c r="I25" s="123"/>
      <c r="J25" s="75">
        <f>J31/J19*10^6</f>
        <v>197.5</v>
      </c>
      <c r="K25" s="75">
        <f>J25*(1+K24)</f>
        <v>199.5</v>
      </c>
      <c r="L25" s="75">
        <f>K25*(1+L24)</f>
        <v>201.5</v>
      </c>
      <c r="M25" s="75">
        <f>L25*(1+M24)</f>
        <v>203.5</v>
      </c>
      <c r="N25" s="75">
        <f>M25*(1+N24)</f>
        <v>205.5</v>
      </c>
      <c r="O25" s="75">
        <f>N25*(1+O24)</f>
        <v>207.6</v>
      </c>
    </row>
    <row r="26" spans="1:15">
      <c r="B26" s="130"/>
      <c r="C26" s="123"/>
      <c r="D26" s="123"/>
      <c r="E26" s="123"/>
      <c r="F26" s="123"/>
      <c r="G26" s="124"/>
      <c r="H26" s="123"/>
      <c r="I26" s="123"/>
      <c r="J26" s="75"/>
      <c r="K26" s="75"/>
      <c r="L26" s="75"/>
      <c r="M26" s="75"/>
      <c r="N26" s="75"/>
      <c r="O26" s="75"/>
    </row>
    <row r="27" spans="1:15">
      <c r="B27" s="123"/>
      <c r="C27" s="123"/>
      <c r="D27" s="123"/>
      <c r="E27" s="123"/>
      <c r="F27" s="123"/>
      <c r="G27" s="124"/>
      <c r="H27" s="123"/>
      <c r="I27" s="123"/>
      <c r="J27" s="76"/>
      <c r="K27" s="75"/>
      <c r="L27" s="75"/>
      <c r="M27" s="75"/>
      <c r="N27" s="75"/>
      <c r="O27" s="75"/>
    </row>
    <row r="28" spans="1:15" ht="13.8">
      <c r="B28" s="131" t="s">
        <v>214</v>
      </c>
      <c r="C28" s="132"/>
      <c r="D28" s="132"/>
      <c r="E28" s="133"/>
      <c r="F28" s="132"/>
      <c r="G28" s="134"/>
      <c r="H28" s="132"/>
      <c r="I28" s="132"/>
      <c r="J28" s="78"/>
      <c r="K28" s="78"/>
      <c r="L28" s="78"/>
      <c r="M28" s="78"/>
      <c r="N28" s="78"/>
      <c r="O28" s="231"/>
    </row>
    <row r="29" spans="1:15">
      <c r="B29" s="136"/>
      <c r="C29" s="123" t="s">
        <v>215</v>
      </c>
      <c r="D29" s="123"/>
      <c r="E29" s="123"/>
      <c r="F29" s="123"/>
      <c r="G29" s="124" t="s">
        <v>216</v>
      </c>
      <c r="H29" s="123"/>
      <c r="I29" s="123"/>
      <c r="J29" s="75"/>
      <c r="K29" s="75">
        <f>K19</f>
        <v>2826585.3</v>
      </c>
      <c r="L29" s="75">
        <f>L19</f>
        <v>2753167.5</v>
      </c>
      <c r="M29" s="75">
        <f>M19</f>
        <v>2716458.6</v>
      </c>
      <c r="N29" s="75">
        <f>N19</f>
        <v>2679749.7000000002</v>
      </c>
      <c r="O29" s="79">
        <f>O19</f>
        <v>2643040.7999999998</v>
      </c>
    </row>
    <row r="30" spans="1:15">
      <c r="B30" s="136"/>
      <c r="C30" s="123" t="s">
        <v>209</v>
      </c>
      <c r="D30" s="123"/>
      <c r="E30" s="138"/>
      <c r="F30" s="123"/>
      <c r="G30" s="124" t="s">
        <v>218</v>
      </c>
      <c r="H30" s="123"/>
      <c r="I30" s="123"/>
      <c r="J30" s="75"/>
      <c r="K30" s="75">
        <f>K25</f>
        <v>199.5</v>
      </c>
      <c r="L30" s="75">
        <f t="shared" ref="L30:O30" si="4">L25</f>
        <v>201.5</v>
      </c>
      <c r="M30" s="75">
        <f t="shared" si="4"/>
        <v>203.5</v>
      </c>
      <c r="N30" s="75">
        <f t="shared" si="4"/>
        <v>205.5</v>
      </c>
      <c r="O30" s="79">
        <f t="shared" si="4"/>
        <v>207.6</v>
      </c>
    </row>
    <row r="31" spans="1:15" ht="13.8">
      <c r="B31" s="139"/>
      <c r="C31" s="140" t="s">
        <v>217</v>
      </c>
      <c r="D31" s="140"/>
      <c r="E31" s="141"/>
      <c r="F31" s="140"/>
      <c r="G31" s="142" t="s">
        <v>202</v>
      </c>
      <c r="H31" s="140"/>
      <c r="I31" s="140"/>
      <c r="J31" s="229">
        <v>572.70000000000005</v>
      </c>
      <c r="K31" s="77">
        <f>PRODUCT(K29,K30)/10^6</f>
        <v>563.9</v>
      </c>
      <c r="L31" s="77">
        <f t="shared" ref="L31:O31" si="5">PRODUCT(L29,L30)/10^6</f>
        <v>554.79999999999995</v>
      </c>
      <c r="M31" s="77">
        <f t="shared" si="5"/>
        <v>552.79999999999995</v>
      </c>
      <c r="N31" s="77">
        <f t="shared" si="5"/>
        <v>550.70000000000005</v>
      </c>
      <c r="O31" s="81">
        <f t="shared" si="5"/>
        <v>548.70000000000005</v>
      </c>
    </row>
    <row r="32" spans="1:15">
      <c r="A32" s="123"/>
      <c r="B32" s="143"/>
      <c r="C32" s="143"/>
      <c r="D32" s="143"/>
      <c r="E32" s="144"/>
      <c r="F32" s="143"/>
      <c r="G32" s="145"/>
      <c r="H32" s="143"/>
      <c r="I32" s="143"/>
      <c r="J32" s="86"/>
      <c r="K32" s="86"/>
      <c r="L32" s="86"/>
      <c r="M32" s="86"/>
      <c r="N32" s="86"/>
      <c r="O32" s="86"/>
    </row>
    <row r="33" spans="1:15">
      <c r="A33" s="123"/>
      <c r="B33" s="123"/>
      <c r="C33" s="123"/>
      <c r="D33" s="123"/>
      <c r="E33" s="123"/>
      <c r="F33" s="123"/>
      <c r="G33" s="124"/>
      <c r="H33" s="123"/>
      <c r="I33" s="123"/>
      <c r="J33" s="75"/>
      <c r="K33" s="75"/>
      <c r="L33" s="75"/>
      <c r="M33" s="75"/>
      <c r="N33" s="75"/>
      <c r="O33" s="75"/>
    </row>
    <row r="34" spans="1:15" s="127" customFormat="1">
      <c r="A34" s="125"/>
      <c r="B34" s="125"/>
      <c r="C34" s="125"/>
      <c r="D34" s="125"/>
      <c r="E34" s="125"/>
      <c r="F34" s="125"/>
      <c r="G34" s="124"/>
      <c r="H34" s="125"/>
      <c r="I34" s="125"/>
      <c r="J34" s="76"/>
      <c r="K34" s="76"/>
      <c r="L34" s="76"/>
      <c r="M34" s="76"/>
      <c r="N34" s="76"/>
      <c r="O34" s="76"/>
    </row>
    <row r="35" spans="1:15">
      <c r="J35" s="74"/>
      <c r="K35" s="74"/>
      <c r="L35" s="74"/>
      <c r="M35" s="74"/>
      <c r="N35" s="74"/>
      <c r="O35" s="74"/>
    </row>
    <row r="36" spans="1:15">
      <c r="J36" s="74"/>
      <c r="K36" s="74"/>
      <c r="L36" s="74"/>
      <c r="M36" s="74"/>
      <c r="N36" s="74"/>
      <c r="O36" s="232" t="str">
        <f>UPPER("CURRENTLY USING: "&amp;CHOOSE(Scenarios!$E$12,Scenarios!$D$20,Scenarios!$D$21,Scenarios!$D$22)&amp;" CASE SCENARIO")</f>
        <v>CURRENTLY USING: WORSE CASE SCENARIO</v>
      </c>
    </row>
    <row r="37" spans="1:15" ht="34.799999999999997">
      <c r="B37" s="112" t="str">
        <f ca="1">$B$71</f>
        <v>McLAREN GROUP LTD</v>
      </c>
      <c r="C37" s="113"/>
      <c r="D37" s="113"/>
      <c r="E37" s="113"/>
      <c r="F37" s="113"/>
      <c r="G37" s="114"/>
      <c r="H37" s="113"/>
      <c r="I37" s="113"/>
      <c r="J37" s="233"/>
      <c r="K37" s="233"/>
      <c r="L37" s="233"/>
      <c r="M37" s="233"/>
      <c r="N37" s="233"/>
      <c r="O37" s="233"/>
    </row>
    <row r="38" spans="1:15" ht="18">
      <c r="B38" s="115" t="s">
        <v>126</v>
      </c>
      <c r="C38" s="113"/>
      <c r="D38" s="113"/>
      <c r="E38" s="113"/>
      <c r="F38" s="113"/>
      <c r="G38" s="114"/>
      <c r="H38" s="113"/>
      <c r="I38" s="113"/>
      <c r="J38" s="233"/>
      <c r="K38" s="233"/>
      <c r="L38" s="233"/>
      <c r="M38" s="233"/>
      <c r="N38" s="233"/>
      <c r="O38" s="233"/>
    </row>
    <row r="39" spans="1:15" ht="3" customHeight="1" thickBot="1">
      <c r="B39" s="116"/>
      <c r="C39" s="116"/>
      <c r="D39" s="116"/>
      <c r="E39" s="116"/>
      <c r="F39" s="116"/>
      <c r="G39" s="117"/>
      <c r="H39" s="116"/>
      <c r="I39" s="116"/>
      <c r="J39" s="234"/>
      <c r="K39" s="234"/>
      <c r="L39" s="234"/>
      <c r="M39" s="234"/>
      <c r="N39" s="234"/>
      <c r="O39" s="234"/>
    </row>
    <row r="40" spans="1:15">
      <c r="B40" s="118" t="s">
        <v>60</v>
      </c>
      <c r="J40" s="74"/>
      <c r="K40" s="74"/>
      <c r="L40" s="74"/>
      <c r="M40" s="74"/>
      <c r="N40" s="74"/>
      <c r="O40" s="74"/>
    </row>
    <row r="41" spans="1:15">
      <c r="J41" s="74"/>
      <c r="K41" s="74"/>
      <c r="L41" s="74"/>
      <c r="M41" s="74"/>
      <c r="N41" s="74"/>
      <c r="O41" s="74"/>
    </row>
    <row r="42" spans="1:15">
      <c r="J42" s="74"/>
      <c r="K42" s="235" t="s">
        <v>76</v>
      </c>
      <c r="L42" s="236"/>
      <c r="M42" s="236"/>
      <c r="N42" s="236"/>
      <c r="O42" s="236"/>
    </row>
    <row r="43" spans="1:15" ht="13.8">
      <c r="G43" s="121" t="s">
        <v>135</v>
      </c>
      <c r="H43" s="241"/>
      <c r="I43" s="241">
        <f>$I$77</f>
        <v>2020</v>
      </c>
      <c r="J43" s="241">
        <f>$J$77</f>
        <v>2021</v>
      </c>
      <c r="K43" s="241">
        <f>$K$77</f>
        <v>2022</v>
      </c>
      <c r="L43" s="241">
        <f>$L$77</f>
        <v>2023</v>
      </c>
      <c r="M43" s="241">
        <f>$M$77</f>
        <v>2024</v>
      </c>
      <c r="N43" s="241">
        <f>$N$77</f>
        <v>2025</v>
      </c>
      <c r="O43" s="241">
        <f>$O$77</f>
        <v>2026</v>
      </c>
    </row>
    <row r="44" spans="1:15">
      <c r="B44" s="123"/>
      <c r="C44" s="123"/>
      <c r="D44" s="123"/>
      <c r="E44" s="123"/>
      <c r="F44" s="123"/>
      <c r="G44" s="124"/>
      <c r="J44" s="74"/>
      <c r="K44" s="74"/>
      <c r="L44" s="74"/>
      <c r="M44" s="74"/>
      <c r="N44" s="74"/>
      <c r="O44" s="74"/>
    </row>
    <row r="45" spans="1:15">
      <c r="G45" s="126"/>
      <c r="J45" s="74"/>
      <c r="K45" s="74"/>
      <c r="L45" s="74"/>
      <c r="M45" s="74"/>
      <c r="N45" s="74"/>
      <c r="O45" s="74"/>
    </row>
    <row r="46" spans="1:15">
      <c r="G46" s="126"/>
      <c r="J46" s="74"/>
      <c r="K46" s="74"/>
      <c r="L46" s="74"/>
      <c r="M46" s="74"/>
      <c r="N46" s="74"/>
      <c r="O46" s="74"/>
    </row>
    <row r="47" spans="1:15">
      <c r="B47" s="146" t="s">
        <v>220</v>
      </c>
      <c r="C47" s="132"/>
      <c r="D47" s="132"/>
      <c r="E47" s="132"/>
      <c r="F47" s="132"/>
      <c r="G47" s="147"/>
      <c r="H47" s="132"/>
      <c r="I47" s="132"/>
      <c r="J47" s="237">
        <f>J19</f>
        <v>2900000</v>
      </c>
      <c r="K47" s="237">
        <f t="shared" ref="K47:O47" si="6">K19</f>
        <v>2826585.3</v>
      </c>
      <c r="L47" s="237">
        <f t="shared" si="6"/>
        <v>2753167.5</v>
      </c>
      <c r="M47" s="237">
        <f t="shared" si="6"/>
        <v>2716458.6</v>
      </c>
      <c r="N47" s="237">
        <f t="shared" si="6"/>
        <v>2679749.7000000002</v>
      </c>
      <c r="O47" s="238">
        <f t="shared" si="6"/>
        <v>2643040.7999999998</v>
      </c>
    </row>
    <row r="48" spans="1:15">
      <c r="B48" s="139" t="s">
        <v>81</v>
      </c>
      <c r="C48" s="148"/>
      <c r="D48" s="148"/>
      <c r="E48" s="148"/>
      <c r="F48" s="148"/>
      <c r="G48" s="149"/>
      <c r="H48" s="148"/>
      <c r="I48" s="148"/>
      <c r="J48" s="186"/>
      <c r="K48" s="186">
        <f>Scenarios!I18</f>
        <v>0.03</v>
      </c>
      <c r="L48" s="186">
        <f>Scenarios!J18</f>
        <v>0.03</v>
      </c>
      <c r="M48" s="186">
        <f>Scenarios!K18</f>
        <v>0.03</v>
      </c>
      <c r="N48" s="186">
        <f>Scenarios!L18</f>
        <v>0.03</v>
      </c>
      <c r="O48" s="187">
        <f>Scenarios!M18</f>
        <v>0.03</v>
      </c>
    </row>
    <row r="49" spans="2:15">
      <c r="G49" s="126"/>
      <c r="J49" s="74"/>
      <c r="K49" s="74"/>
      <c r="L49" s="74"/>
      <c r="M49" s="74"/>
      <c r="N49" s="74"/>
      <c r="O49" s="74"/>
    </row>
    <row r="50" spans="2:15">
      <c r="G50" s="126"/>
      <c r="J50" s="74"/>
      <c r="K50" s="74"/>
      <c r="L50" s="74"/>
      <c r="M50" s="74"/>
      <c r="N50" s="74"/>
      <c r="O50" s="74"/>
    </row>
    <row r="51" spans="2:15">
      <c r="B51" s="109" t="s">
        <v>127</v>
      </c>
      <c r="G51" s="126" t="s">
        <v>90</v>
      </c>
      <c r="J51" s="74"/>
      <c r="K51" s="74"/>
      <c r="L51" s="74"/>
      <c r="M51" s="74"/>
      <c r="N51" s="74"/>
      <c r="O51" s="74"/>
    </row>
    <row r="52" spans="2:15">
      <c r="C52" s="109" t="s">
        <v>129</v>
      </c>
      <c r="G52" s="126" t="s">
        <v>90</v>
      </c>
      <c r="J52" s="74">
        <f>J59/J47*10^6</f>
        <v>68.900000000000006</v>
      </c>
      <c r="K52" s="74">
        <f>J52*(1+K48)</f>
        <v>71</v>
      </c>
      <c r="L52" s="74">
        <f>K52*(1+L48)</f>
        <v>73.099999999999994</v>
      </c>
      <c r="M52" s="74">
        <f>L52*(1+M48)</f>
        <v>75.3</v>
      </c>
      <c r="N52" s="74">
        <f>M52*(1+N48)</f>
        <v>77.599999999999994</v>
      </c>
      <c r="O52" s="74">
        <f>N52*(1+O48)</f>
        <v>79.900000000000006</v>
      </c>
    </row>
    <row r="53" spans="2:15">
      <c r="C53" s="109" t="s">
        <v>130</v>
      </c>
      <c r="G53" s="126" t="s">
        <v>90</v>
      </c>
      <c r="J53" s="75"/>
      <c r="K53" s="74">
        <f>K60/K47*10^6</f>
        <v>18.2</v>
      </c>
      <c r="L53" s="74">
        <f t="shared" ref="L53:O53" si="7">L60/L47*10^6</f>
        <v>19.3</v>
      </c>
      <c r="M53" s="74">
        <f t="shared" si="7"/>
        <v>20.100000000000001</v>
      </c>
      <c r="N53" s="74">
        <f t="shared" si="7"/>
        <v>21</v>
      </c>
      <c r="O53" s="74">
        <f t="shared" si="7"/>
        <v>21.9</v>
      </c>
    </row>
    <row r="54" spans="2:15" s="127" customFormat="1" ht="14.4" thickBot="1">
      <c r="C54" s="127" t="s">
        <v>131</v>
      </c>
      <c r="G54" s="128" t="s">
        <v>90</v>
      </c>
      <c r="J54" s="76"/>
      <c r="K54" s="219">
        <f>SUM(K52:K53)</f>
        <v>89.2</v>
      </c>
      <c r="L54" s="219">
        <f>SUM(L52:L53)</f>
        <v>92.4</v>
      </c>
      <c r="M54" s="219">
        <f>SUM(M52:M53)</f>
        <v>95.4</v>
      </c>
      <c r="N54" s="219">
        <f>SUM(N52:N53)</f>
        <v>98.6</v>
      </c>
      <c r="O54" s="219">
        <f>SUM(O52:O53)</f>
        <v>101.8</v>
      </c>
    </row>
    <row r="55" spans="2:15" ht="13.8" thickTop="1">
      <c r="G55" s="126"/>
      <c r="J55" s="75"/>
      <c r="K55" s="74"/>
      <c r="L55" s="74"/>
      <c r="M55" s="74"/>
      <c r="N55" s="74"/>
      <c r="O55" s="74"/>
    </row>
    <row r="56" spans="2:15">
      <c r="G56" s="126"/>
      <c r="J56" s="75"/>
      <c r="K56" s="74"/>
      <c r="L56" s="74"/>
      <c r="M56" s="74"/>
      <c r="N56" s="74"/>
      <c r="O56" s="74"/>
    </row>
    <row r="57" spans="2:15" ht="3" customHeight="1">
      <c r="B57" s="146"/>
      <c r="C57" s="132"/>
      <c r="D57" s="132"/>
      <c r="E57" s="132"/>
      <c r="F57" s="132"/>
      <c r="G57" s="147"/>
      <c r="H57" s="132"/>
      <c r="I57" s="132"/>
      <c r="J57" s="78"/>
      <c r="K57" s="78"/>
      <c r="L57" s="78"/>
      <c r="M57" s="78"/>
      <c r="N57" s="78"/>
      <c r="O57" s="231"/>
    </row>
    <row r="58" spans="2:15">
      <c r="B58" s="136" t="s">
        <v>128</v>
      </c>
      <c r="C58" s="123"/>
      <c r="D58" s="123"/>
      <c r="E58" s="123"/>
      <c r="F58" s="123"/>
      <c r="G58" s="124" t="s">
        <v>136</v>
      </c>
      <c r="H58" s="123"/>
      <c r="I58" s="123"/>
      <c r="J58" s="75"/>
      <c r="K58" s="75"/>
      <c r="L58" s="75"/>
      <c r="M58" s="75"/>
      <c r="N58" s="75"/>
      <c r="O58" s="79"/>
    </row>
    <row r="59" spans="2:15">
      <c r="B59" s="136"/>
      <c r="C59" s="123" t="s">
        <v>134</v>
      </c>
      <c r="D59" s="123"/>
      <c r="E59" s="150">
        <f>Inp!I22</f>
        <v>0.8</v>
      </c>
      <c r="F59" s="123"/>
      <c r="G59" s="124" t="s">
        <v>136</v>
      </c>
      <c r="H59" s="123"/>
      <c r="I59" s="123"/>
      <c r="J59" s="75">
        <f>E59*J61</f>
        <v>199.9</v>
      </c>
      <c r="K59" s="75">
        <f>K52*K47/10^6</f>
        <v>200.7</v>
      </c>
      <c r="L59" s="75">
        <f>L52*L47/10^6</f>
        <v>201.3</v>
      </c>
      <c r="M59" s="75">
        <f>M52*M47/10^6</f>
        <v>204.5</v>
      </c>
      <c r="N59" s="75">
        <f>N52*N47/10^6</f>
        <v>207.9</v>
      </c>
      <c r="O59" s="79">
        <f>O52*O47/10^6</f>
        <v>211.2</v>
      </c>
    </row>
    <row r="60" spans="2:15">
      <c r="B60" s="136"/>
      <c r="C60" s="123" t="s">
        <v>132</v>
      </c>
      <c r="D60" s="123"/>
      <c r="E60" s="151">
        <f>1-E59</f>
        <v>0.2</v>
      </c>
      <c r="F60" s="123"/>
      <c r="G60" s="124" t="s">
        <v>136</v>
      </c>
      <c r="H60" s="123"/>
      <c r="I60" s="123"/>
      <c r="J60" s="75">
        <f>J61-J59</f>
        <v>50</v>
      </c>
      <c r="K60" s="75">
        <f>J60*(1+K48)</f>
        <v>51.5</v>
      </c>
      <c r="L60" s="75">
        <f t="shared" ref="L60:O60" si="8">K60*(1+L48)</f>
        <v>53</v>
      </c>
      <c r="M60" s="75">
        <f t="shared" si="8"/>
        <v>54.6</v>
      </c>
      <c r="N60" s="75">
        <f t="shared" si="8"/>
        <v>56.2</v>
      </c>
      <c r="O60" s="79">
        <f t="shared" si="8"/>
        <v>57.9</v>
      </c>
    </row>
    <row r="61" spans="2:15" s="127" customFormat="1" ht="14.4" thickBot="1">
      <c r="B61" s="152"/>
      <c r="C61" s="125" t="s">
        <v>133</v>
      </c>
      <c r="D61" s="125"/>
      <c r="E61" s="125"/>
      <c r="F61" s="125"/>
      <c r="G61" s="153" t="s">
        <v>136</v>
      </c>
      <c r="H61" s="125"/>
      <c r="I61" s="125"/>
      <c r="J61" s="219">
        <f>J86</f>
        <v>249.9</v>
      </c>
      <c r="K61" s="219">
        <f>K59+K60</f>
        <v>252.2</v>
      </c>
      <c r="L61" s="219">
        <f t="shared" ref="L61:O61" si="9">L59+L60</f>
        <v>254.3</v>
      </c>
      <c r="M61" s="219">
        <f t="shared" si="9"/>
        <v>259.10000000000002</v>
      </c>
      <c r="N61" s="219">
        <f t="shared" si="9"/>
        <v>264.10000000000002</v>
      </c>
      <c r="O61" s="239">
        <f t="shared" si="9"/>
        <v>269.10000000000002</v>
      </c>
    </row>
    <row r="62" spans="2:15" s="127" customFormat="1" ht="3" customHeight="1" thickTop="1">
      <c r="B62" s="154"/>
      <c r="C62" s="140"/>
      <c r="D62" s="140"/>
      <c r="E62" s="140"/>
      <c r="F62" s="140"/>
      <c r="G62" s="142"/>
      <c r="H62" s="140"/>
      <c r="I62" s="140"/>
      <c r="J62" s="80"/>
      <c r="K62" s="80"/>
      <c r="L62" s="80"/>
      <c r="M62" s="80"/>
      <c r="N62" s="80"/>
      <c r="O62" s="240"/>
    </row>
    <row r="63" spans="2:15" s="127" customFormat="1" ht="13.8">
      <c r="G63" s="128"/>
      <c r="J63" s="76"/>
      <c r="K63" s="76"/>
      <c r="L63" s="76"/>
      <c r="M63" s="76"/>
      <c r="N63" s="76"/>
      <c r="O63" s="76"/>
    </row>
    <row r="64" spans="2:15">
      <c r="G64" s="126"/>
      <c r="J64" s="74"/>
      <c r="K64" s="74"/>
      <c r="L64" s="74"/>
      <c r="M64" s="74"/>
      <c r="N64" s="74"/>
      <c r="O64" s="74"/>
    </row>
    <row r="65" spans="2:15" s="127" customFormat="1" ht="13.8">
      <c r="B65" s="155" t="s">
        <v>4</v>
      </c>
      <c r="C65" s="129"/>
      <c r="D65" s="129"/>
      <c r="E65" s="129"/>
      <c r="F65" s="129"/>
      <c r="G65" s="156"/>
      <c r="H65" s="129"/>
      <c r="I65" s="129"/>
      <c r="J65" s="77"/>
      <c r="K65" s="229">
        <f>Inp!I24</f>
        <v>48</v>
      </c>
      <c r="L65" s="77">
        <f>K65*(1+L48)</f>
        <v>49.4</v>
      </c>
      <c r="M65" s="77">
        <f t="shared" ref="M65:O65" si="10">L65*(1+M48)</f>
        <v>50.9</v>
      </c>
      <c r="N65" s="77">
        <f t="shared" si="10"/>
        <v>52.4</v>
      </c>
      <c r="O65" s="81">
        <f t="shared" si="10"/>
        <v>54</v>
      </c>
    </row>
    <row r="66" spans="2:15">
      <c r="B66" s="143"/>
      <c r="C66" s="143"/>
      <c r="D66" s="143"/>
      <c r="E66" s="143"/>
      <c r="F66" s="143"/>
      <c r="G66" s="157"/>
      <c r="H66" s="143"/>
      <c r="I66" s="143"/>
      <c r="J66" s="86"/>
      <c r="K66" s="86"/>
      <c r="L66" s="86"/>
      <c r="M66" s="86"/>
      <c r="N66" s="86"/>
      <c r="O66" s="86"/>
    </row>
    <row r="67" spans="2:15">
      <c r="G67" s="126"/>
    </row>
    <row r="68" spans="2:15">
      <c r="G68" s="126"/>
    </row>
    <row r="70" spans="2:15">
      <c r="O70" s="111" t="str">
        <f>UPPER("CURRENTLY USING: "&amp;CHOOSE(Scenarios!$E$12,Scenarios!$D$20,Scenarios!$D$21,Scenarios!$D$22)&amp;" CASE SCENARIO")</f>
        <v>CURRENTLY USING: WORSE CASE SCENARIO</v>
      </c>
    </row>
    <row r="71" spans="2:15" ht="34.799999999999997">
      <c r="B71" s="112" t="str">
        <f ca="1">$B$71</f>
        <v>McLAREN GROUP LTD</v>
      </c>
      <c r="C71" s="113"/>
      <c r="D71" s="113"/>
      <c r="E71" s="113"/>
      <c r="F71" s="113"/>
      <c r="G71" s="114"/>
      <c r="H71" s="113"/>
      <c r="I71" s="113"/>
      <c r="J71" s="113"/>
      <c r="K71" s="113"/>
      <c r="L71" s="113"/>
      <c r="M71" s="113"/>
      <c r="N71" s="113"/>
      <c r="O71" s="113"/>
    </row>
    <row r="72" spans="2:15" ht="18">
      <c r="B72" s="115" t="s">
        <v>91</v>
      </c>
      <c r="C72" s="113"/>
      <c r="D72" s="113"/>
      <c r="E72" s="113"/>
      <c r="F72" s="113"/>
      <c r="G72" s="114"/>
      <c r="H72" s="113"/>
      <c r="I72" s="113"/>
      <c r="J72" s="113"/>
      <c r="K72" s="113"/>
      <c r="L72" s="113"/>
      <c r="M72" s="113"/>
      <c r="N72" s="113"/>
      <c r="O72" s="113"/>
    </row>
    <row r="73" spans="2:15" ht="3" customHeight="1" thickBot="1">
      <c r="B73" s="116"/>
      <c r="C73" s="116"/>
      <c r="D73" s="116"/>
      <c r="E73" s="116"/>
      <c r="F73" s="116"/>
      <c r="G73" s="117"/>
      <c r="H73" s="116"/>
      <c r="I73" s="116"/>
      <c r="J73" s="116"/>
      <c r="K73" s="116"/>
      <c r="L73" s="116"/>
      <c r="M73" s="116"/>
      <c r="N73" s="116"/>
      <c r="O73" s="116"/>
    </row>
    <row r="74" spans="2:15">
      <c r="B74" s="118" t="s">
        <v>60</v>
      </c>
    </row>
    <row r="76" spans="2:15">
      <c r="K76" s="119" t="s">
        <v>76</v>
      </c>
      <c r="L76" s="120"/>
      <c r="M76" s="120"/>
      <c r="N76" s="120"/>
      <c r="O76" s="120"/>
    </row>
    <row r="77" spans="2:15" ht="13.8">
      <c r="G77" s="121" t="s">
        <v>135</v>
      </c>
      <c r="H77" s="203">
        <f t="shared" ref="H77:I77" si="11">I77-1</f>
        <v>2019</v>
      </c>
      <c r="I77" s="203">
        <f t="shared" si="11"/>
        <v>2020</v>
      </c>
      <c r="J77" s="203">
        <f>K77-1</f>
        <v>2021</v>
      </c>
      <c r="K77" s="203">
        <f>Scenarios!I9</f>
        <v>2022</v>
      </c>
      <c r="L77" s="203">
        <f>Scenarios!J9</f>
        <v>2023</v>
      </c>
      <c r="M77" s="203">
        <f>Scenarios!K9</f>
        <v>2024</v>
      </c>
      <c r="N77" s="203">
        <f>Scenarios!L9</f>
        <v>2025</v>
      </c>
      <c r="O77" s="203">
        <f>Scenarios!M9</f>
        <v>2026</v>
      </c>
    </row>
    <row r="78" spans="2:15">
      <c r="B78" s="123"/>
      <c r="C78" s="123"/>
      <c r="D78" s="123"/>
      <c r="E78" s="123"/>
      <c r="F78" s="123"/>
      <c r="G78" s="158"/>
    </row>
    <row r="79" spans="2:15">
      <c r="B79" s="159"/>
      <c r="C79" s="159"/>
      <c r="D79" s="159"/>
      <c r="E79" s="159"/>
      <c r="F79" s="159"/>
      <c r="G79" s="160"/>
    </row>
    <row r="80" spans="2:15">
      <c r="B80" s="123"/>
      <c r="C80" s="161" t="s">
        <v>1</v>
      </c>
      <c r="D80" s="132"/>
      <c r="E80" s="132"/>
      <c r="F80" s="132"/>
      <c r="G80" s="134"/>
      <c r="H80" s="188"/>
      <c r="I80" s="189">
        <f>I84/H84-1</f>
        <v>6.2E-2</v>
      </c>
      <c r="J80" s="189">
        <f t="shared" ref="J80:O80" si="12">J84/I84-1</f>
        <v>0.04</v>
      </c>
      <c r="K80" s="189">
        <f t="shared" si="12"/>
        <v>-1.4999999999999999E-2</v>
      </c>
      <c r="L80" s="189">
        <f t="shared" si="12"/>
        <v>-1.6E-2</v>
      </c>
      <c r="M80" s="189">
        <f t="shared" si="12"/>
        <v>-4.0000000000000001E-3</v>
      </c>
      <c r="N80" s="189">
        <f t="shared" si="12"/>
        <v>-4.0000000000000001E-3</v>
      </c>
      <c r="O80" s="190">
        <f t="shared" si="12"/>
        <v>-4.0000000000000001E-3</v>
      </c>
    </row>
    <row r="81" spans="2:15">
      <c r="C81" s="162" t="s">
        <v>2</v>
      </c>
      <c r="D81" s="123"/>
      <c r="E81" s="123"/>
      <c r="F81" s="159"/>
      <c r="G81" s="158"/>
      <c r="H81" s="191">
        <f>H86/H84</f>
        <v>0.41499999999999998</v>
      </c>
      <c r="I81" s="191">
        <f t="shared" ref="I81:O81" si="13">I86/I84</f>
        <v>0.437</v>
      </c>
      <c r="J81" s="191">
        <f t="shared" si="13"/>
        <v>0.436</v>
      </c>
      <c r="K81" s="191">
        <f t="shared" si="13"/>
        <v>0.44700000000000001</v>
      </c>
      <c r="L81" s="191">
        <f t="shared" si="13"/>
        <v>0.45800000000000002</v>
      </c>
      <c r="M81" s="191">
        <f t="shared" si="13"/>
        <v>0.46899999999999997</v>
      </c>
      <c r="N81" s="191">
        <f t="shared" si="13"/>
        <v>0.48</v>
      </c>
      <c r="O81" s="192">
        <f t="shared" si="13"/>
        <v>0.49</v>
      </c>
    </row>
    <row r="82" spans="2:15">
      <c r="C82" s="163" t="s">
        <v>3</v>
      </c>
      <c r="D82" s="148"/>
      <c r="E82" s="148"/>
      <c r="F82" s="164"/>
      <c r="G82" s="165"/>
      <c r="H82" s="193">
        <f>H87/H84</f>
        <v>7.6999999999999999E-2</v>
      </c>
      <c r="I82" s="193">
        <f t="shared" ref="I82:O82" si="14">I87/I84</f>
        <v>7.3999999999999996E-2</v>
      </c>
      <c r="J82" s="193">
        <f t="shared" si="14"/>
        <v>7.2999999999999995E-2</v>
      </c>
      <c r="K82" s="193">
        <f t="shared" si="14"/>
        <v>8.5000000000000006E-2</v>
      </c>
      <c r="L82" s="193">
        <f t="shared" si="14"/>
        <v>8.8999999999999996E-2</v>
      </c>
      <c r="M82" s="193">
        <f t="shared" si="14"/>
        <v>9.1999999999999998E-2</v>
      </c>
      <c r="N82" s="193">
        <f t="shared" si="14"/>
        <v>9.5000000000000001E-2</v>
      </c>
      <c r="O82" s="194">
        <f t="shared" si="14"/>
        <v>9.8000000000000004E-2</v>
      </c>
    </row>
    <row r="83" spans="2:15">
      <c r="F83" s="122"/>
      <c r="G83" s="167"/>
    </row>
    <row r="84" spans="2:15">
      <c r="C84" s="127" t="s">
        <v>63</v>
      </c>
      <c r="D84" s="127"/>
      <c r="E84" s="127"/>
      <c r="F84" s="122"/>
      <c r="H84" s="204">
        <v>518.5</v>
      </c>
      <c r="I84" s="204">
        <v>550.79999999999995</v>
      </c>
      <c r="J84" s="204">
        <v>572.70000000000005</v>
      </c>
      <c r="K84" s="74">
        <f>K31</f>
        <v>563.9</v>
      </c>
      <c r="L84" s="74">
        <f t="shared" ref="L84:O84" si="15">L31</f>
        <v>554.79999999999995</v>
      </c>
      <c r="M84" s="74">
        <f t="shared" si="15"/>
        <v>552.79999999999995</v>
      </c>
      <c r="N84" s="74">
        <f t="shared" si="15"/>
        <v>550.70000000000005</v>
      </c>
      <c r="O84" s="74">
        <f t="shared" si="15"/>
        <v>548.70000000000005</v>
      </c>
    </row>
    <row r="85" spans="2:15">
      <c r="F85" s="122"/>
      <c r="H85" s="202"/>
      <c r="I85" s="202"/>
      <c r="J85" s="202"/>
      <c r="K85" s="74"/>
      <c r="L85" s="74"/>
      <c r="M85" s="74"/>
      <c r="N85" s="74"/>
      <c r="O85" s="74"/>
    </row>
    <row r="86" spans="2:15">
      <c r="C86" s="109" t="s">
        <v>64</v>
      </c>
      <c r="F86" s="122"/>
      <c r="H86" s="205">
        <v>215.1</v>
      </c>
      <c r="I86" s="205">
        <v>240.7</v>
      </c>
      <c r="J86" s="205">
        <v>249.9</v>
      </c>
      <c r="K86" s="74">
        <f>K61</f>
        <v>252.2</v>
      </c>
      <c r="L86" s="74">
        <f t="shared" ref="L86:O86" si="16">L61</f>
        <v>254.3</v>
      </c>
      <c r="M86" s="74">
        <f t="shared" si="16"/>
        <v>259.10000000000002</v>
      </c>
      <c r="N86" s="74">
        <f t="shared" si="16"/>
        <v>264.10000000000002</v>
      </c>
      <c r="O86" s="74">
        <f t="shared" si="16"/>
        <v>269.10000000000002</v>
      </c>
    </row>
    <row r="87" spans="2:15">
      <c r="C87" s="168" t="s">
        <v>4</v>
      </c>
      <c r="F87" s="122"/>
      <c r="H87" s="206">
        <v>40</v>
      </c>
      <c r="I87" s="206">
        <v>40.700000000000003</v>
      </c>
      <c r="J87" s="207">
        <v>41.7</v>
      </c>
      <c r="K87" s="74">
        <f>K65</f>
        <v>48</v>
      </c>
      <c r="L87" s="74">
        <f>L65</f>
        <v>49.4</v>
      </c>
      <c r="M87" s="74">
        <f>M65</f>
        <v>50.9</v>
      </c>
      <c r="N87" s="74">
        <f>N65</f>
        <v>52.4</v>
      </c>
      <c r="O87" s="74">
        <f>O65</f>
        <v>54</v>
      </c>
    </row>
    <row r="88" spans="2:15">
      <c r="C88" s="169" t="s">
        <v>5</v>
      </c>
      <c r="F88" s="122"/>
      <c r="H88" s="208">
        <f t="shared" ref="H88:O88" si="17">SUM(H86:H87)</f>
        <v>255.1</v>
      </c>
      <c r="I88" s="208">
        <f t="shared" si="17"/>
        <v>281.39999999999998</v>
      </c>
      <c r="J88" s="209">
        <f t="shared" si="17"/>
        <v>291.60000000000002</v>
      </c>
      <c r="K88" s="209">
        <f t="shared" si="17"/>
        <v>300.2</v>
      </c>
      <c r="L88" s="209">
        <f t="shared" si="17"/>
        <v>303.7</v>
      </c>
      <c r="M88" s="209">
        <f t="shared" si="17"/>
        <v>310</v>
      </c>
      <c r="N88" s="209">
        <f t="shared" si="17"/>
        <v>316.5</v>
      </c>
      <c r="O88" s="209">
        <f t="shared" si="17"/>
        <v>323.10000000000002</v>
      </c>
    </row>
    <row r="89" spans="2:15">
      <c r="C89" s="169"/>
      <c r="F89" s="122"/>
      <c r="H89" s="202"/>
      <c r="I89" s="202"/>
      <c r="J89" s="202"/>
      <c r="K89" s="74"/>
      <c r="L89" s="74"/>
      <c r="M89" s="74"/>
      <c r="N89" s="74"/>
      <c r="O89" s="74"/>
    </row>
    <row r="90" spans="2:15">
      <c r="C90" s="109" t="s">
        <v>6</v>
      </c>
      <c r="F90" s="122"/>
      <c r="H90" s="206">
        <v>0</v>
      </c>
      <c r="I90" s="206">
        <v>-2.1</v>
      </c>
      <c r="J90" s="207">
        <v>0.3</v>
      </c>
      <c r="K90" s="74">
        <f>Inp!L50</f>
        <v>0</v>
      </c>
      <c r="L90" s="74">
        <f>Inp!M50</f>
        <v>0</v>
      </c>
      <c r="M90" s="74">
        <f>Inp!N50</f>
        <v>0</v>
      </c>
      <c r="N90" s="74">
        <f>Inp!O50</f>
        <v>0</v>
      </c>
      <c r="O90" s="74">
        <f>Inp!P50</f>
        <v>0</v>
      </c>
    </row>
    <row r="91" spans="2:15">
      <c r="B91" s="127"/>
      <c r="C91" s="127" t="s">
        <v>7</v>
      </c>
      <c r="H91" s="210">
        <f t="shared" ref="H91:O91" si="18">H84-H88+H90</f>
        <v>263.39999999999998</v>
      </c>
      <c r="I91" s="210">
        <f t="shared" si="18"/>
        <v>267.3</v>
      </c>
      <c r="J91" s="211">
        <f t="shared" si="18"/>
        <v>281.39999999999998</v>
      </c>
      <c r="K91" s="211">
        <f>K84-K88+K90</f>
        <v>263.7</v>
      </c>
      <c r="L91" s="211">
        <f t="shared" si="18"/>
        <v>251.1</v>
      </c>
      <c r="M91" s="211">
        <f t="shared" si="18"/>
        <v>242.8</v>
      </c>
      <c r="N91" s="211">
        <f t="shared" si="18"/>
        <v>234.2</v>
      </c>
      <c r="O91" s="211">
        <f t="shared" si="18"/>
        <v>225.6</v>
      </c>
    </row>
    <row r="92" spans="2:15">
      <c r="H92" s="74"/>
      <c r="I92" s="74"/>
      <c r="J92" s="74"/>
      <c r="K92" s="74"/>
      <c r="L92" s="74"/>
      <c r="M92" s="74"/>
      <c r="N92" s="74"/>
      <c r="O92" s="74"/>
    </row>
    <row r="93" spans="2:15">
      <c r="C93" s="109" t="s">
        <v>8</v>
      </c>
      <c r="H93" s="212">
        <v>70</v>
      </c>
      <c r="I93" s="212">
        <v>70.099999999999994</v>
      </c>
      <c r="J93" s="213">
        <v>75.5</v>
      </c>
      <c r="K93" s="74">
        <f>K225</f>
        <v>76.3</v>
      </c>
      <c r="L93" s="74">
        <f t="shared" ref="L93:O93" si="19">L225</f>
        <v>80.3</v>
      </c>
      <c r="M93" s="74">
        <f t="shared" si="19"/>
        <v>84.3</v>
      </c>
      <c r="N93" s="74">
        <f t="shared" si="19"/>
        <v>88.3</v>
      </c>
      <c r="O93" s="74">
        <f t="shared" si="19"/>
        <v>92.3</v>
      </c>
    </row>
    <row r="94" spans="2:15">
      <c r="C94" s="169" t="s">
        <v>9</v>
      </c>
      <c r="H94" s="210">
        <f t="shared" ref="H94:O94" si="20">H91-H93</f>
        <v>193.4</v>
      </c>
      <c r="I94" s="210">
        <f t="shared" si="20"/>
        <v>197.2</v>
      </c>
      <c r="J94" s="211">
        <f t="shared" si="20"/>
        <v>205.9</v>
      </c>
      <c r="K94" s="211">
        <f t="shared" si="20"/>
        <v>187.4</v>
      </c>
      <c r="L94" s="211">
        <f t="shared" si="20"/>
        <v>170.8</v>
      </c>
      <c r="M94" s="211">
        <f t="shared" si="20"/>
        <v>158.5</v>
      </c>
      <c r="N94" s="211">
        <f t="shared" si="20"/>
        <v>145.9</v>
      </c>
      <c r="O94" s="211">
        <f t="shared" si="20"/>
        <v>133.30000000000001</v>
      </c>
    </row>
    <row r="95" spans="2:15">
      <c r="C95" s="169"/>
      <c r="H95" s="74"/>
      <c r="I95" s="74"/>
      <c r="J95" s="74"/>
      <c r="K95" s="74"/>
      <c r="L95" s="74"/>
      <c r="M95" s="74"/>
      <c r="N95" s="74"/>
      <c r="O95" s="74"/>
    </row>
    <row r="96" spans="2:15">
      <c r="C96" s="109" t="s">
        <v>6</v>
      </c>
      <c r="H96" s="214">
        <v>0</v>
      </c>
      <c r="I96" s="214">
        <v>0</v>
      </c>
      <c r="J96" s="214">
        <v>-4.5</v>
      </c>
      <c r="K96" s="74">
        <f>Inp!L52</f>
        <v>0</v>
      </c>
      <c r="L96" s="74">
        <f>Inp!M52</f>
        <v>0</v>
      </c>
      <c r="M96" s="74">
        <f>Inp!N52</f>
        <v>0</v>
      </c>
      <c r="N96" s="74">
        <f>Inp!O52</f>
        <v>0</v>
      </c>
      <c r="O96" s="74">
        <f>Inp!P52</f>
        <v>0</v>
      </c>
    </row>
    <row r="97" spans="2:15">
      <c r="C97" s="170" t="s">
        <v>59</v>
      </c>
      <c r="H97" s="212">
        <v>60.4</v>
      </c>
      <c r="I97" s="212">
        <v>60.6</v>
      </c>
      <c r="J97" s="213">
        <v>66.5</v>
      </c>
      <c r="K97" s="74">
        <f ca="1">K371</f>
        <v>53.6</v>
      </c>
      <c r="L97" s="74">
        <f t="shared" ref="L97:O97" ca="1" si="21">L371</f>
        <v>49.3</v>
      </c>
      <c r="M97" s="74">
        <f t="shared" ca="1" si="21"/>
        <v>45.6</v>
      </c>
      <c r="N97" s="74">
        <f t="shared" ca="1" si="21"/>
        <v>43.4</v>
      </c>
      <c r="O97" s="74">
        <f t="shared" ca="1" si="21"/>
        <v>42.3</v>
      </c>
    </row>
    <row r="98" spans="2:15">
      <c r="C98" s="171" t="s">
        <v>10</v>
      </c>
      <c r="H98" s="210">
        <f t="shared" ref="H98:O98" si="22">H94+H96-H97</f>
        <v>133</v>
      </c>
      <c r="I98" s="210">
        <f t="shared" si="22"/>
        <v>136.6</v>
      </c>
      <c r="J98" s="211">
        <f t="shared" si="22"/>
        <v>134.9</v>
      </c>
      <c r="K98" s="211">
        <f t="shared" ca="1" si="22"/>
        <v>133.80000000000001</v>
      </c>
      <c r="L98" s="211">
        <f t="shared" ca="1" si="22"/>
        <v>121.5</v>
      </c>
      <c r="M98" s="211">
        <f t="shared" ca="1" si="22"/>
        <v>112.9</v>
      </c>
      <c r="N98" s="211">
        <f t="shared" ca="1" si="22"/>
        <v>102.5</v>
      </c>
      <c r="O98" s="211">
        <f t="shared" ca="1" si="22"/>
        <v>91</v>
      </c>
    </row>
    <row r="99" spans="2:15">
      <c r="C99" s="169"/>
      <c r="H99" s="74"/>
      <c r="I99" s="74"/>
      <c r="J99" s="74"/>
      <c r="K99" s="74"/>
      <c r="L99" s="74"/>
      <c r="M99" s="74"/>
      <c r="N99" s="74"/>
      <c r="O99" s="74"/>
    </row>
    <row r="100" spans="2:15">
      <c r="C100" s="109" t="s">
        <v>11</v>
      </c>
      <c r="H100" s="214">
        <v>33.5</v>
      </c>
      <c r="I100" s="214">
        <v>30</v>
      </c>
      <c r="J100" s="214">
        <v>32</v>
      </c>
      <c r="K100" s="74">
        <f ca="1">K256</f>
        <v>25.8</v>
      </c>
      <c r="L100" s="74">
        <f t="shared" ref="L100:O100" ca="1" si="23">L256</f>
        <v>21.5</v>
      </c>
      <c r="M100" s="74">
        <f t="shared" ca="1" si="23"/>
        <v>18.5</v>
      </c>
      <c r="N100" s="74">
        <f t="shared" ca="1" si="23"/>
        <v>14.9</v>
      </c>
      <c r="O100" s="74">
        <f t="shared" ca="1" si="23"/>
        <v>10.9</v>
      </c>
    </row>
    <row r="101" spans="2:15">
      <c r="C101" s="109" t="s">
        <v>12</v>
      </c>
      <c r="H101" s="212">
        <v>15</v>
      </c>
      <c r="I101" s="212">
        <v>17</v>
      </c>
      <c r="J101" s="213">
        <v>11</v>
      </c>
      <c r="K101" s="74">
        <f ca="1">K257</f>
        <v>21</v>
      </c>
      <c r="L101" s="74">
        <f t="shared" ref="L101:O101" ca="1" si="24">L257</f>
        <v>21</v>
      </c>
      <c r="M101" s="74">
        <f t="shared" ca="1" si="24"/>
        <v>21</v>
      </c>
      <c r="N101" s="74">
        <f t="shared" ca="1" si="24"/>
        <v>21</v>
      </c>
      <c r="O101" s="74">
        <f t="shared" ca="1" si="24"/>
        <v>21</v>
      </c>
    </row>
    <row r="102" spans="2:15">
      <c r="C102" s="127" t="s">
        <v>13</v>
      </c>
      <c r="H102" s="210">
        <f t="shared" ref="H102:O102" si="25">SUM(H100:H101)</f>
        <v>48.5</v>
      </c>
      <c r="I102" s="210">
        <f t="shared" si="25"/>
        <v>47</v>
      </c>
      <c r="J102" s="211">
        <f t="shared" si="25"/>
        <v>43</v>
      </c>
      <c r="K102" s="211">
        <f t="shared" ca="1" si="25"/>
        <v>46.8</v>
      </c>
      <c r="L102" s="211">
        <f t="shared" ca="1" si="25"/>
        <v>42.5</v>
      </c>
      <c r="M102" s="211">
        <f t="shared" ca="1" si="25"/>
        <v>39.5</v>
      </c>
      <c r="N102" s="211">
        <f t="shared" ca="1" si="25"/>
        <v>35.9</v>
      </c>
      <c r="O102" s="211">
        <f t="shared" ca="1" si="25"/>
        <v>31.9</v>
      </c>
    </row>
    <row r="103" spans="2:15">
      <c r="H103" s="74"/>
      <c r="I103" s="74"/>
      <c r="J103" s="74"/>
      <c r="K103" s="74"/>
      <c r="L103" s="74"/>
      <c r="M103" s="74"/>
      <c r="N103" s="74"/>
      <c r="O103" s="74"/>
    </row>
    <row r="104" spans="2:15">
      <c r="C104" s="169" t="s">
        <v>14</v>
      </c>
      <c r="D104" s="127"/>
      <c r="E104" s="127"/>
      <c r="H104" s="215">
        <f t="shared" ref="H104:O104" si="26">H98-H102</f>
        <v>84.5</v>
      </c>
      <c r="I104" s="215">
        <f t="shared" si="26"/>
        <v>89.6</v>
      </c>
      <c r="J104" s="215">
        <f t="shared" si="26"/>
        <v>91.9</v>
      </c>
      <c r="K104" s="215">
        <f t="shared" ca="1" si="26"/>
        <v>87</v>
      </c>
      <c r="L104" s="215">
        <f t="shared" ca="1" si="26"/>
        <v>79</v>
      </c>
      <c r="M104" s="215">
        <f t="shared" ca="1" si="26"/>
        <v>73.400000000000006</v>
      </c>
      <c r="N104" s="215">
        <f t="shared" ca="1" si="26"/>
        <v>66.599999999999994</v>
      </c>
      <c r="O104" s="215">
        <f t="shared" ca="1" si="26"/>
        <v>59.1</v>
      </c>
    </row>
    <row r="105" spans="2:15">
      <c r="C105" s="169"/>
      <c r="D105" s="127"/>
      <c r="E105" s="127"/>
      <c r="H105" s="208"/>
      <c r="I105" s="208"/>
      <c r="J105" s="208"/>
      <c r="K105" s="74"/>
      <c r="L105" s="74"/>
      <c r="M105" s="74"/>
      <c r="N105" s="74"/>
      <c r="O105" s="74"/>
    </row>
    <row r="106" spans="2:15">
      <c r="C106" s="168" t="s">
        <v>53</v>
      </c>
      <c r="D106" s="127"/>
      <c r="E106" s="127"/>
      <c r="H106" s="212">
        <v>0</v>
      </c>
      <c r="I106" s="212">
        <v>0</v>
      </c>
      <c r="J106" s="212">
        <v>0</v>
      </c>
      <c r="K106" s="216">
        <f>-K402</f>
        <v>-2.8</v>
      </c>
      <c r="L106" s="216">
        <f t="shared" ref="L106:O106" si="27">-L402</f>
        <v>-5.6</v>
      </c>
      <c r="M106" s="216">
        <f t="shared" si="27"/>
        <v>-5.6</v>
      </c>
      <c r="N106" s="216">
        <f t="shared" si="27"/>
        <v>-5.6</v>
      </c>
      <c r="O106" s="216">
        <f t="shared" si="27"/>
        <v>-5.6</v>
      </c>
    </row>
    <row r="107" spans="2:15" ht="13.8" thickBot="1">
      <c r="C107" s="169" t="s">
        <v>54</v>
      </c>
      <c r="D107" s="127"/>
      <c r="E107" s="127"/>
      <c r="H107" s="217">
        <f t="shared" ref="H107:O107" si="28">H104-H106</f>
        <v>84.5</v>
      </c>
      <c r="I107" s="217">
        <f t="shared" si="28"/>
        <v>89.6</v>
      </c>
      <c r="J107" s="218">
        <f t="shared" si="28"/>
        <v>91.9</v>
      </c>
      <c r="K107" s="218">
        <f t="shared" ca="1" si="28"/>
        <v>89.8</v>
      </c>
      <c r="L107" s="218">
        <f t="shared" ca="1" si="28"/>
        <v>84.6</v>
      </c>
      <c r="M107" s="218">
        <f t="shared" ca="1" si="28"/>
        <v>79</v>
      </c>
      <c r="N107" s="218">
        <f t="shared" ca="1" si="28"/>
        <v>72.2</v>
      </c>
      <c r="O107" s="218">
        <f t="shared" ca="1" si="28"/>
        <v>64.7</v>
      </c>
    </row>
    <row r="108" spans="2:15" ht="13.8" thickTop="1">
      <c r="B108" s="148"/>
      <c r="C108" s="148"/>
      <c r="D108" s="148"/>
      <c r="E108" s="148"/>
      <c r="F108" s="148"/>
      <c r="G108" s="172"/>
      <c r="H108" s="148"/>
      <c r="I108" s="148"/>
      <c r="J108" s="148"/>
      <c r="K108" s="148"/>
      <c r="L108" s="148"/>
      <c r="M108" s="148"/>
      <c r="N108" s="148"/>
      <c r="O108" s="148"/>
    </row>
    <row r="109" spans="2:15" ht="15.6">
      <c r="C109" s="173"/>
      <c r="G109" s="174"/>
    </row>
    <row r="110" spans="2:15">
      <c r="B110" s="127"/>
      <c r="C110" s="127"/>
      <c r="D110" s="127"/>
      <c r="E110" s="127"/>
      <c r="F110" s="127"/>
      <c r="G110" s="176"/>
    </row>
    <row r="111" spans="2:15">
      <c r="B111" s="127"/>
      <c r="C111" s="127"/>
      <c r="D111" s="127"/>
      <c r="E111" s="127"/>
      <c r="F111" s="127"/>
      <c r="G111" s="176"/>
    </row>
    <row r="112" spans="2:15">
      <c r="O112" s="111" t="str">
        <f>UPPER("CURRENTLY USING: "&amp;CHOOSE(Scenarios!$E$12,Scenarios!$D$20,Scenarios!$D$21,Scenarios!$D$22)&amp;" CASE SCENARIO")</f>
        <v>CURRENTLY USING: WORSE CASE SCENARIO</v>
      </c>
    </row>
    <row r="113" spans="2:15" ht="34.799999999999997">
      <c r="B113" s="112" t="str">
        <f ca="1">$B$71</f>
        <v>McLAREN GROUP LTD</v>
      </c>
      <c r="C113" s="113"/>
      <c r="D113" s="113"/>
      <c r="E113" s="113"/>
      <c r="F113" s="113"/>
      <c r="G113" s="114"/>
      <c r="H113" s="113"/>
      <c r="I113" s="113"/>
      <c r="J113" s="113"/>
      <c r="K113" s="113"/>
      <c r="L113" s="113"/>
      <c r="M113" s="113"/>
      <c r="N113" s="113"/>
      <c r="O113" s="113"/>
    </row>
    <row r="114" spans="2:15" ht="18">
      <c r="B114" s="115" t="s">
        <v>221</v>
      </c>
      <c r="C114" s="113"/>
      <c r="D114" s="113"/>
      <c r="E114" s="113"/>
      <c r="F114" s="113"/>
      <c r="G114" s="114"/>
      <c r="H114" s="113"/>
      <c r="I114" s="113"/>
      <c r="J114" s="113"/>
      <c r="K114" s="113"/>
      <c r="L114" s="113"/>
      <c r="M114" s="113"/>
      <c r="N114" s="113"/>
      <c r="O114" s="113"/>
    </row>
    <row r="115" spans="2:15" ht="3" customHeight="1" thickBot="1">
      <c r="B115" s="116"/>
      <c r="C115" s="116"/>
      <c r="D115" s="116"/>
      <c r="E115" s="116"/>
      <c r="F115" s="116"/>
      <c r="G115" s="117"/>
      <c r="H115" s="116"/>
      <c r="I115" s="116"/>
      <c r="J115" s="116"/>
      <c r="K115" s="116"/>
      <c r="L115" s="116"/>
      <c r="M115" s="116"/>
      <c r="N115" s="116"/>
      <c r="O115" s="116"/>
    </row>
    <row r="116" spans="2:15">
      <c r="B116" s="118" t="s">
        <v>60</v>
      </c>
    </row>
    <row r="118" spans="2:15">
      <c r="K118" s="119" t="s">
        <v>76</v>
      </c>
      <c r="L118" s="120"/>
      <c r="M118" s="120"/>
      <c r="N118" s="120"/>
      <c r="O118" s="120"/>
    </row>
    <row r="119" spans="2:15" ht="13.8">
      <c r="G119" s="121" t="s">
        <v>135</v>
      </c>
      <c r="H119" s="122">
        <f>$H$77</f>
        <v>2019</v>
      </c>
      <c r="I119" s="203">
        <f>$I$77</f>
        <v>2020</v>
      </c>
      <c r="J119" s="203">
        <f>$J$77</f>
        <v>2021</v>
      </c>
      <c r="K119" s="203">
        <f>$K$77</f>
        <v>2022</v>
      </c>
      <c r="L119" s="203">
        <f>$L$77</f>
        <v>2023</v>
      </c>
      <c r="M119" s="203">
        <f>$M$77</f>
        <v>2024</v>
      </c>
      <c r="N119" s="203">
        <f>$N$77</f>
        <v>2025</v>
      </c>
      <c r="O119" s="203">
        <f>$O$77</f>
        <v>2026</v>
      </c>
    </row>
    <row r="120" spans="2:15">
      <c r="B120" s="177"/>
      <c r="F120" s="178"/>
    </row>
    <row r="121" spans="2:15">
      <c r="B121" s="127" t="s">
        <v>16</v>
      </c>
    </row>
    <row r="122" spans="2:15">
      <c r="C122" s="109" t="s">
        <v>14</v>
      </c>
      <c r="H122" s="95">
        <v>84.5</v>
      </c>
      <c r="I122" s="95">
        <v>89.6</v>
      </c>
      <c r="J122" s="95">
        <v>91.9</v>
      </c>
      <c r="K122" s="92">
        <f ca="1">K104</f>
        <v>87</v>
      </c>
      <c r="L122" s="92">
        <f t="shared" ref="L122:O122" ca="1" si="29">L104</f>
        <v>79</v>
      </c>
      <c r="M122" s="92">
        <f t="shared" ca="1" si="29"/>
        <v>73.400000000000006</v>
      </c>
      <c r="N122" s="92">
        <f t="shared" ca="1" si="29"/>
        <v>66.599999999999994</v>
      </c>
      <c r="O122" s="92">
        <f t="shared" ca="1" si="29"/>
        <v>59.1</v>
      </c>
    </row>
    <row r="123" spans="2:15">
      <c r="C123" s="109" t="s">
        <v>8</v>
      </c>
      <c r="H123" s="95">
        <v>70</v>
      </c>
      <c r="I123" s="95">
        <v>70.099999999999994</v>
      </c>
      <c r="J123" s="95">
        <v>75.5</v>
      </c>
      <c r="K123" s="92">
        <f>K93</f>
        <v>76.3</v>
      </c>
      <c r="L123" s="92">
        <f t="shared" ref="L123:O123" si="30">L93</f>
        <v>80.3</v>
      </c>
      <c r="M123" s="92">
        <f t="shared" si="30"/>
        <v>84.3</v>
      </c>
      <c r="N123" s="92">
        <f t="shared" si="30"/>
        <v>88.3</v>
      </c>
      <c r="O123" s="92">
        <f t="shared" si="30"/>
        <v>92.3</v>
      </c>
    </row>
    <row r="124" spans="2:15">
      <c r="C124" s="109" t="s">
        <v>12</v>
      </c>
      <c r="H124" s="95">
        <v>15</v>
      </c>
      <c r="I124" s="95">
        <v>17</v>
      </c>
      <c r="J124" s="95">
        <v>11</v>
      </c>
      <c r="K124" s="92">
        <f ca="1">K101</f>
        <v>21</v>
      </c>
      <c r="L124" s="92">
        <f t="shared" ref="L124:O124" ca="1" si="31">L101</f>
        <v>21</v>
      </c>
      <c r="M124" s="92">
        <f t="shared" ca="1" si="31"/>
        <v>21</v>
      </c>
      <c r="N124" s="92">
        <f t="shared" ca="1" si="31"/>
        <v>21</v>
      </c>
      <c r="O124" s="92">
        <f t="shared" ca="1" si="31"/>
        <v>21</v>
      </c>
    </row>
    <row r="125" spans="2:15">
      <c r="C125" s="109" t="s">
        <v>17</v>
      </c>
      <c r="F125" s="179"/>
      <c r="H125" s="95">
        <v>-48</v>
      </c>
      <c r="I125" s="95">
        <v>-67.900000000000006</v>
      </c>
      <c r="J125" s="95">
        <v>-64.5</v>
      </c>
      <c r="K125" s="92">
        <f>K294</f>
        <v>26.1</v>
      </c>
      <c r="L125" s="92">
        <f t="shared" ref="L125:O125" si="32">L294</f>
        <v>5.2</v>
      </c>
      <c r="M125" s="92">
        <f t="shared" si="32"/>
        <v>1.6</v>
      </c>
      <c r="N125" s="92">
        <f t="shared" si="32"/>
        <v>-0.2</v>
      </c>
      <c r="O125" s="92">
        <f t="shared" si="32"/>
        <v>0.7</v>
      </c>
    </row>
    <row r="126" spans="2:15">
      <c r="C126" s="109" t="s">
        <v>29</v>
      </c>
      <c r="F126" s="179"/>
      <c r="H126" s="103">
        <v>3.4</v>
      </c>
      <c r="I126" s="103">
        <v>-2.9</v>
      </c>
      <c r="J126" s="102">
        <v>-1.4</v>
      </c>
      <c r="K126" s="92">
        <f>Inp!L50</f>
        <v>0</v>
      </c>
      <c r="L126" s="92">
        <f>Inp!M50</f>
        <v>0</v>
      </c>
      <c r="M126" s="92">
        <f>Inp!N50</f>
        <v>0</v>
      </c>
      <c r="N126" s="92">
        <f>Inp!O50</f>
        <v>0</v>
      </c>
      <c r="O126" s="92">
        <f>Inp!P50</f>
        <v>0</v>
      </c>
    </row>
    <row r="127" spans="2:15">
      <c r="C127" s="169" t="s">
        <v>18</v>
      </c>
      <c r="F127" s="127"/>
      <c r="H127" s="104">
        <f t="shared" ref="H127:O127" si="33">SUM(H122:H126)</f>
        <v>124.9</v>
      </c>
      <c r="I127" s="104">
        <f t="shared" si="33"/>
        <v>105.9</v>
      </c>
      <c r="J127" s="105">
        <f t="shared" si="33"/>
        <v>112.5</v>
      </c>
      <c r="K127" s="105">
        <f ca="1">SUM(K122:K126)</f>
        <v>210.4</v>
      </c>
      <c r="L127" s="105">
        <f t="shared" ca="1" si="33"/>
        <v>185.5</v>
      </c>
      <c r="M127" s="105">
        <f t="shared" ca="1" si="33"/>
        <v>180.3</v>
      </c>
      <c r="N127" s="105">
        <f t="shared" ca="1" si="33"/>
        <v>175.7</v>
      </c>
      <c r="O127" s="105">
        <f t="shared" ca="1" si="33"/>
        <v>173.1</v>
      </c>
    </row>
    <row r="128" spans="2:15">
      <c r="B128" s="168"/>
      <c r="H128" s="92"/>
      <c r="I128" s="92"/>
      <c r="J128" s="92"/>
      <c r="K128" s="92"/>
      <c r="L128" s="92"/>
      <c r="M128" s="92"/>
      <c r="N128" s="92"/>
      <c r="O128" s="92"/>
    </row>
    <row r="129" spans="2:15">
      <c r="B129" s="168"/>
      <c r="H129" s="92"/>
      <c r="I129" s="92"/>
      <c r="J129" s="92"/>
      <c r="K129" s="92"/>
      <c r="L129" s="92"/>
      <c r="M129" s="92"/>
      <c r="N129" s="92"/>
      <c r="O129" s="92"/>
    </row>
    <row r="130" spans="2:15">
      <c r="B130" s="127" t="s">
        <v>19</v>
      </c>
      <c r="H130" s="92"/>
      <c r="I130" s="92"/>
      <c r="J130" s="92"/>
      <c r="K130" s="92"/>
      <c r="L130" s="92"/>
      <c r="M130" s="92"/>
      <c r="N130" s="92"/>
      <c r="O130" s="92"/>
    </row>
    <row r="131" spans="2:15">
      <c r="C131" s="109" t="s">
        <v>20</v>
      </c>
      <c r="H131" s="88">
        <v>-84.7</v>
      </c>
      <c r="I131" s="88">
        <v>-110.7</v>
      </c>
      <c r="J131" s="88">
        <v>-103.5</v>
      </c>
      <c r="K131" s="92">
        <f>-Inp!L55</f>
        <v>-120</v>
      </c>
      <c r="L131" s="92">
        <f>-Inp!M55</f>
        <v>-120</v>
      </c>
      <c r="M131" s="92">
        <f>-Inp!N55</f>
        <v>-120</v>
      </c>
      <c r="N131" s="92">
        <f>-Inp!O55</f>
        <v>-120</v>
      </c>
      <c r="O131" s="92">
        <f>-Inp!P55</f>
        <v>-120</v>
      </c>
    </row>
    <row r="132" spans="2:15">
      <c r="C132" s="109" t="s">
        <v>21</v>
      </c>
      <c r="H132" s="88">
        <v>20</v>
      </c>
      <c r="I132" s="88">
        <v>5.7</v>
      </c>
      <c r="J132" s="88">
        <v>4.7</v>
      </c>
      <c r="K132" s="92">
        <f>Inp!L65</f>
        <v>0</v>
      </c>
      <c r="L132" s="92">
        <f>Inp!M65</f>
        <v>0</v>
      </c>
      <c r="M132" s="92">
        <f>Inp!N65</f>
        <v>0</v>
      </c>
      <c r="N132" s="92">
        <f>Inp!O65</f>
        <v>0</v>
      </c>
      <c r="O132" s="92">
        <f>Inp!P65</f>
        <v>0</v>
      </c>
    </row>
    <row r="133" spans="2:15">
      <c r="C133" s="109" t="s">
        <v>29</v>
      </c>
      <c r="H133" s="90">
        <v>-1.4</v>
      </c>
      <c r="I133" s="90">
        <v>1.6</v>
      </c>
      <c r="J133" s="91">
        <v>0.3</v>
      </c>
      <c r="K133" s="92">
        <f>Inp!L51</f>
        <v>0</v>
      </c>
      <c r="L133" s="92">
        <f>Inp!M51</f>
        <v>0</v>
      </c>
      <c r="M133" s="92">
        <f>Inp!N51</f>
        <v>0</v>
      </c>
      <c r="N133" s="92">
        <f>Inp!O51</f>
        <v>0</v>
      </c>
      <c r="O133" s="92">
        <f>Inp!P51</f>
        <v>0</v>
      </c>
    </row>
    <row r="134" spans="2:15">
      <c r="C134" s="127" t="s">
        <v>22</v>
      </c>
      <c r="F134" s="127"/>
      <c r="H134" s="104">
        <f t="shared" ref="H134:O134" si="34">SUM(H131:H133)</f>
        <v>-66.099999999999994</v>
      </c>
      <c r="I134" s="104">
        <f t="shared" si="34"/>
        <v>-103.4</v>
      </c>
      <c r="J134" s="105">
        <f t="shared" si="34"/>
        <v>-98.5</v>
      </c>
      <c r="K134" s="105">
        <f t="shared" si="34"/>
        <v>-120</v>
      </c>
      <c r="L134" s="105">
        <f t="shared" si="34"/>
        <v>-120</v>
      </c>
      <c r="M134" s="105">
        <f t="shared" si="34"/>
        <v>-120</v>
      </c>
      <c r="N134" s="105">
        <f t="shared" si="34"/>
        <v>-120</v>
      </c>
      <c r="O134" s="105">
        <f t="shared" si="34"/>
        <v>-120</v>
      </c>
    </row>
    <row r="135" spans="2:15">
      <c r="B135" s="171"/>
      <c r="H135" s="92"/>
      <c r="I135" s="92"/>
      <c r="J135" s="92"/>
      <c r="K135" s="92"/>
      <c r="L135" s="92"/>
      <c r="M135" s="92"/>
      <c r="N135" s="92"/>
      <c r="O135" s="92"/>
    </row>
    <row r="136" spans="2:15">
      <c r="B136" s="171"/>
      <c r="H136" s="92"/>
      <c r="I136" s="92"/>
      <c r="J136" s="92"/>
      <c r="K136" s="92"/>
      <c r="L136" s="92"/>
      <c r="M136" s="92"/>
      <c r="N136" s="92"/>
      <c r="O136" s="92"/>
    </row>
    <row r="137" spans="2:15">
      <c r="B137" s="171" t="s">
        <v>23</v>
      </c>
      <c r="H137" s="92"/>
      <c r="I137" s="92"/>
      <c r="J137" s="92"/>
      <c r="K137" s="92"/>
      <c r="L137" s="92"/>
      <c r="M137" s="92"/>
      <c r="N137" s="92"/>
      <c r="O137" s="92"/>
    </row>
    <row r="138" spans="2:15">
      <c r="B138" s="171"/>
      <c r="C138" s="109" t="s">
        <v>24</v>
      </c>
      <c r="F138" s="127"/>
      <c r="H138" s="88">
        <v>23.2</v>
      </c>
      <c r="I138" s="88">
        <v>-30.5</v>
      </c>
      <c r="J138" s="88">
        <v>0</v>
      </c>
      <c r="K138" s="92">
        <f ca="1">K365</f>
        <v>0</v>
      </c>
      <c r="L138" s="92">
        <f t="shared" ref="L138:O138" ca="1" si="35">L365</f>
        <v>0</v>
      </c>
      <c r="M138" s="92">
        <f t="shared" ca="1" si="35"/>
        <v>22.2</v>
      </c>
      <c r="N138" s="92">
        <f t="shared" ca="1" si="35"/>
        <v>69.3</v>
      </c>
      <c r="O138" s="92">
        <f t="shared" ca="1" si="35"/>
        <v>70.400000000000006</v>
      </c>
    </row>
    <row r="139" spans="2:15">
      <c r="B139" s="171"/>
      <c r="C139" s="170" t="s">
        <v>51</v>
      </c>
      <c r="F139" s="127"/>
      <c r="H139" s="88">
        <v>-46</v>
      </c>
      <c r="I139" s="88">
        <v>-15</v>
      </c>
      <c r="J139" s="88">
        <v>25</v>
      </c>
      <c r="K139" s="92">
        <f>K329</f>
        <v>-35</v>
      </c>
      <c r="L139" s="92">
        <f t="shared" ref="L139:O139" si="36">L329</f>
        <v>-35</v>
      </c>
      <c r="M139" s="92">
        <f t="shared" si="36"/>
        <v>-35</v>
      </c>
      <c r="N139" s="92">
        <f t="shared" si="36"/>
        <v>-35</v>
      </c>
      <c r="O139" s="92">
        <f t="shared" si="36"/>
        <v>-35</v>
      </c>
    </row>
    <row r="140" spans="2:15">
      <c r="B140" s="171"/>
      <c r="C140" s="170" t="s">
        <v>52</v>
      </c>
      <c r="F140" s="127"/>
      <c r="H140" s="88">
        <v>0</v>
      </c>
      <c r="I140" s="88">
        <v>112</v>
      </c>
      <c r="J140" s="88">
        <v>34</v>
      </c>
      <c r="K140" s="92">
        <f>K337</f>
        <v>-70</v>
      </c>
      <c r="L140" s="92">
        <f t="shared" ref="L140:O140" si="37">L337</f>
        <v>-70</v>
      </c>
      <c r="M140" s="92">
        <f t="shared" si="37"/>
        <v>-70</v>
      </c>
      <c r="N140" s="92">
        <f t="shared" si="37"/>
        <v>-70</v>
      </c>
      <c r="O140" s="92">
        <f t="shared" si="37"/>
        <v>-70</v>
      </c>
    </row>
    <row r="141" spans="2:15">
      <c r="C141" s="109" t="s">
        <v>61</v>
      </c>
      <c r="H141" s="88">
        <v>0</v>
      </c>
      <c r="I141" s="88">
        <v>0</v>
      </c>
      <c r="J141" s="88">
        <v>0</v>
      </c>
      <c r="K141" s="92">
        <f>K398</f>
        <v>75</v>
      </c>
      <c r="L141" s="92">
        <f t="shared" ref="L141:O141" si="38">L398</f>
        <v>0</v>
      </c>
      <c r="M141" s="92">
        <f t="shared" si="38"/>
        <v>0</v>
      </c>
      <c r="N141" s="92">
        <f t="shared" si="38"/>
        <v>0</v>
      </c>
      <c r="O141" s="92">
        <f t="shared" si="38"/>
        <v>0</v>
      </c>
    </row>
    <row r="142" spans="2:15">
      <c r="C142" s="109" t="s">
        <v>62</v>
      </c>
      <c r="H142" s="88">
        <v>-25</v>
      </c>
      <c r="I142" s="88">
        <v>-20</v>
      </c>
      <c r="J142" s="88">
        <v>-10</v>
      </c>
      <c r="K142" s="92">
        <f>K388</f>
        <v>-10</v>
      </c>
      <c r="L142" s="92">
        <f t="shared" ref="L142:O142" si="39">L388</f>
        <v>0</v>
      </c>
      <c r="M142" s="92">
        <f t="shared" si="39"/>
        <v>0</v>
      </c>
      <c r="N142" s="92">
        <f t="shared" si="39"/>
        <v>0</v>
      </c>
      <c r="O142" s="92">
        <f t="shared" si="39"/>
        <v>0</v>
      </c>
    </row>
    <row r="143" spans="2:15">
      <c r="C143" s="109" t="s">
        <v>57</v>
      </c>
      <c r="H143" s="88">
        <v>0</v>
      </c>
      <c r="I143" s="88">
        <v>0</v>
      </c>
      <c r="J143" s="88">
        <v>0</v>
      </c>
      <c r="K143" s="92">
        <f>-K402</f>
        <v>-2.8</v>
      </c>
      <c r="L143" s="92">
        <f t="shared" ref="L143:O143" si="40">-L402</f>
        <v>-5.6</v>
      </c>
      <c r="M143" s="92">
        <f t="shared" si="40"/>
        <v>-5.6</v>
      </c>
      <c r="N143" s="92">
        <f t="shared" si="40"/>
        <v>-5.6</v>
      </c>
      <c r="O143" s="92">
        <f t="shared" si="40"/>
        <v>-5.6</v>
      </c>
    </row>
    <row r="144" spans="2:15">
      <c r="B144" s="171"/>
      <c r="C144" s="109" t="s">
        <v>58</v>
      </c>
      <c r="F144" s="127"/>
      <c r="H144" s="88">
        <v>-17.7</v>
      </c>
      <c r="I144" s="88">
        <v>-19.3</v>
      </c>
      <c r="J144" s="88">
        <v>-20.2</v>
      </c>
      <c r="K144" s="92">
        <f ca="1">-K393</f>
        <v>-18</v>
      </c>
      <c r="L144" s="92">
        <f t="shared" ref="L144:O144" ca="1" si="41">-L393</f>
        <v>-16.899999999999999</v>
      </c>
      <c r="M144" s="92">
        <f t="shared" ca="1" si="41"/>
        <v>-15.8</v>
      </c>
      <c r="N144" s="92">
        <f t="shared" ca="1" si="41"/>
        <v>-14.4</v>
      </c>
      <c r="O144" s="92">
        <f t="shared" ca="1" si="41"/>
        <v>-12.9</v>
      </c>
    </row>
    <row r="145" spans="2:15">
      <c r="B145" s="171"/>
      <c r="C145" s="109" t="s">
        <v>29</v>
      </c>
      <c r="F145" s="127"/>
      <c r="H145" s="90">
        <v>6.7</v>
      </c>
      <c r="I145" s="90">
        <v>4.0999999999999996</v>
      </c>
      <c r="J145" s="91">
        <v>-0.3</v>
      </c>
      <c r="K145" s="92">
        <f>Inp!L52</f>
        <v>0</v>
      </c>
      <c r="L145" s="92">
        <f>Inp!M52</f>
        <v>0</v>
      </c>
      <c r="M145" s="92">
        <f>Inp!N52</f>
        <v>0</v>
      </c>
      <c r="N145" s="92">
        <f>Inp!O52</f>
        <v>0</v>
      </c>
      <c r="O145" s="92">
        <f>Inp!P52</f>
        <v>0</v>
      </c>
    </row>
    <row r="146" spans="2:15">
      <c r="B146" s="171"/>
      <c r="C146" s="127" t="s">
        <v>25</v>
      </c>
      <c r="F146" s="127"/>
      <c r="H146" s="104">
        <f>SUM(H138:H145)</f>
        <v>-58.8</v>
      </c>
      <c r="I146" s="104">
        <f>SUM(I138:I145)</f>
        <v>31.3</v>
      </c>
      <c r="J146" s="105">
        <f>SUM(J138:J145)</f>
        <v>28.5</v>
      </c>
      <c r="K146" s="105">
        <f ca="1">SUM(K138:K145)</f>
        <v>-60.8</v>
      </c>
      <c r="L146" s="105">
        <f t="shared" ref="L146:O146" ca="1" si="42">SUM(L138:L145)</f>
        <v>-127.5</v>
      </c>
      <c r="M146" s="105">
        <f t="shared" ca="1" si="42"/>
        <v>-104.2</v>
      </c>
      <c r="N146" s="105">
        <f t="shared" ca="1" si="42"/>
        <v>-55.7</v>
      </c>
      <c r="O146" s="105">
        <f t="shared" ca="1" si="42"/>
        <v>-53.1</v>
      </c>
    </row>
    <row r="147" spans="2:15">
      <c r="B147" s="171"/>
      <c r="C147" s="127"/>
      <c r="F147" s="127"/>
      <c r="H147" s="92"/>
      <c r="I147" s="92"/>
      <c r="J147" s="92"/>
      <c r="K147" s="92"/>
      <c r="L147" s="92"/>
      <c r="M147" s="92"/>
      <c r="N147" s="92"/>
      <c r="O147" s="92"/>
    </row>
    <row r="148" spans="2:15">
      <c r="C148" s="168" t="s">
        <v>45</v>
      </c>
      <c r="F148" s="127"/>
      <c r="H148" s="92">
        <f>H146+H134+H127</f>
        <v>0</v>
      </c>
      <c r="I148" s="92">
        <f>I146+I134+I127</f>
        <v>33.799999999999997</v>
      </c>
      <c r="J148" s="92">
        <f>J146+J134+J127</f>
        <v>42.5</v>
      </c>
      <c r="K148" s="92">
        <f ca="1">K146+K134+K127</f>
        <v>29.6</v>
      </c>
      <c r="L148" s="92">
        <f t="shared" ref="L148:O148" ca="1" si="43">L146+L134+L127</f>
        <v>-62</v>
      </c>
      <c r="M148" s="92">
        <f t="shared" ca="1" si="43"/>
        <v>-43.9</v>
      </c>
      <c r="N148" s="92">
        <f t="shared" ca="1" si="43"/>
        <v>0</v>
      </c>
      <c r="O148" s="92">
        <f t="shared" ca="1" si="43"/>
        <v>0</v>
      </c>
    </row>
    <row r="149" spans="2:15">
      <c r="C149" s="168" t="s">
        <v>46</v>
      </c>
      <c r="F149" s="127"/>
      <c r="H149" s="90">
        <v>0</v>
      </c>
      <c r="I149" s="98">
        <f>H150</f>
        <v>0</v>
      </c>
      <c r="J149" s="106">
        <f>I150</f>
        <v>33.799999999999997</v>
      </c>
      <c r="K149" s="106">
        <f t="shared" ref="K149" si="44">J150</f>
        <v>76.3</v>
      </c>
      <c r="L149" s="106">
        <f t="shared" ref="L149" ca="1" si="45">K150</f>
        <v>105.9</v>
      </c>
      <c r="M149" s="106">
        <f t="shared" ref="M149" ca="1" si="46">L150</f>
        <v>43.9</v>
      </c>
      <c r="N149" s="106">
        <f t="shared" ref="N149" ca="1" si="47">M150</f>
        <v>0</v>
      </c>
      <c r="O149" s="106">
        <f t="shared" ref="O149" ca="1" si="48">N150</f>
        <v>0</v>
      </c>
    </row>
    <row r="150" spans="2:15">
      <c r="C150" s="169" t="s">
        <v>47</v>
      </c>
      <c r="F150" s="127"/>
      <c r="H150" s="96">
        <f>H149+H148</f>
        <v>0</v>
      </c>
      <c r="I150" s="96">
        <f>I149+I148</f>
        <v>33.799999999999997</v>
      </c>
      <c r="J150" s="97">
        <f>J149+J148</f>
        <v>76.3</v>
      </c>
      <c r="K150" s="97">
        <f ca="1">K149+K148</f>
        <v>105.9</v>
      </c>
      <c r="L150" s="97">
        <f t="shared" ref="L150:O150" ca="1" si="49">L149+L148</f>
        <v>43.9</v>
      </c>
      <c r="M150" s="97">
        <f t="shared" ca="1" si="49"/>
        <v>0</v>
      </c>
      <c r="N150" s="97">
        <f t="shared" ca="1" si="49"/>
        <v>0</v>
      </c>
      <c r="O150" s="97">
        <f t="shared" ca="1" si="49"/>
        <v>0</v>
      </c>
    </row>
    <row r="151" spans="2:15">
      <c r="B151" s="148"/>
      <c r="C151" s="148"/>
      <c r="D151" s="148"/>
      <c r="E151" s="148"/>
      <c r="F151" s="148"/>
      <c r="G151" s="172"/>
      <c r="H151" s="98"/>
      <c r="I151" s="98"/>
      <c r="J151" s="98"/>
      <c r="K151" s="98"/>
      <c r="L151" s="98"/>
      <c r="M151" s="98"/>
      <c r="N151" s="98"/>
      <c r="O151" s="98"/>
    </row>
    <row r="154" spans="2:15">
      <c r="O154" s="111" t="str">
        <f>UPPER("CURRENTLY USING: "&amp;CHOOSE(Scenarios!$E$12,Scenarios!$D$20,Scenarios!$D$21,Scenarios!$D$22)&amp;" CASE SCENARIO")</f>
        <v>CURRENTLY USING: WORSE CASE SCENARIO</v>
      </c>
    </row>
    <row r="155" spans="2:15" ht="34.799999999999997">
      <c r="B155" s="112" t="str">
        <f ca="1">$B$71</f>
        <v>McLAREN GROUP LTD</v>
      </c>
      <c r="C155" s="113"/>
      <c r="D155" s="113"/>
      <c r="E155" s="113"/>
      <c r="F155" s="113"/>
      <c r="G155" s="114"/>
      <c r="H155" s="113"/>
      <c r="I155" s="113"/>
      <c r="J155" s="113"/>
      <c r="K155" s="113"/>
      <c r="L155" s="113"/>
      <c r="M155" s="113"/>
      <c r="N155" s="113"/>
      <c r="O155" s="113"/>
    </row>
    <row r="156" spans="2:15" ht="18">
      <c r="B156" s="115" t="s">
        <v>92</v>
      </c>
      <c r="C156" s="113"/>
      <c r="D156" s="113"/>
      <c r="E156" s="113"/>
      <c r="F156" s="113"/>
      <c r="G156" s="114"/>
      <c r="H156" s="113"/>
      <c r="I156" s="113"/>
      <c r="J156" s="113"/>
      <c r="K156" s="113"/>
      <c r="L156" s="113"/>
      <c r="M156" s="113"/>
      <c r="N156" s="113"/>
      <c r="O156" s="113"/>
    </row>
    <row r="157" spans="2:15" ht="3" customHeight="1" thickBot="1">
      <c r="B157" s="116"/>
      <c r="C157" s="116"/>
      <c r="D157" s="116"/>
      <c r="E157" s="116"/>
      <c r="F157" s="116"/>
      <c r="G157" s="117"/>
      <c r="H157" s="116"/>
      <c r="I157" s="116"/>
      <c r="J157" s="116"/>
      <c r="K157" s="116"/>
      <c r="L157" s="116"/>
      <c r="M157" s="116"/>
      <c r="N157" s="116"/>
      <c r="O157" s="116"/>
    </row>
    <row r="158" spans="2:15">
      <c r="B158" s="118" t="s">
        <v>60</v>
      </c>
    </row>
    <row r="159" spans="2:15">
      <c r="B159" s="118"/>
    </row>
    <row r="160" spans="2:15">
      <c r="K160" s="119" t="s">
        <v>76</v>
      </c>
      <c r="L160" s="120"/>
      <c r="M160" s="120"/>
      <c r="N160" s="120"/>
      <c r="O160" s="120"/>
    </row>
    <row r="161" spans="2:15" ht="13.8">
      <c r="G161" s="121" t="s">
        <v>135</v>
      </c>
      <c r="H161" s="203">
        <f>$H$77</f>
        <v>2019</v>
      </c>
      <c r="I161" s="203">
        <f>$I$77</f>
        <v>2020</v>
      </c>
      <c r="J161" s="203">
        <f>$J$77</f>
        <v>2021</v>
      </c>
      <c r="K161" s="203">
        <f>$K$77</f>
        <v>2022</v>
      </c>
      <c r="L161" s="203">
        <f>$L$77</f>
        <v>2023</v>
      </c>
      <c r="M161" s="203">
        <f>$M$77</f>
        <v>2024</v>
      </c>
      <c r="N161" s="203">
        <f>$N$77</f>
        <v>2025</v>
      </c>
      <c r="O161" s="203">
        <f>$O$77</f>
        <v>2026</v>
      </c>
    </row>
    <row r="162" spans="2:15">
      <c r="B162" s="127" t="s">
        <v>26</v>
      </c>
    </row>
    <row r="163" spans="2:15">
      <c r="C163" s="109" t="s">
        <v>48</v>
      </c>
      <c r="F163" s="179"/>
      <c r="H163" s="95">
        <v>0</v>
      </c>
      <c r="I163" s="95">
        <v>33.799999999999997</v>
      </c>
      <c r="J163" s="95">
        <v>76.3</v>
      </c>
      <c r="K163" s="92">
        <f ca="1">K150</f>
        <v>105.9</v>
      </c>
      <c r="L163" s="92">
        <f ca="1">L150</f>
        <v>43.9</v>
      </c>
      <c r="M163" s="92">
        <f ca="1">M150</f>
        <v>0</v>
      </c>
      <c r="N163" s="92">
        <f ca="1">N150</f>
        <v>0</v>
      </c>
      <c r="O163" s="92">
        <f ca="1">O150</f>
        <v>0</v>
      </c>
    </row>
    <row r="164" spans="2:15">
      <c r="C164" s="109" t="s">
        <v>27</v>
      </c>
      <c r="F164" s="179"/>
      <c r="H164" s="88">
        <v>252.7</v>
      </c>
      <c r="I164" s="88">
        <v>292.7</v>
      </c>
      <c r="J164" s="88">
        <v>366.7</v>
      </c>
      <c r="K164" s="89">
        <f>K287</f>
        <v>330.8</v>
      </c>
      <c r="L164" s="89">
        <f t="shared" ref="L164:O164" si="50">L287</f>
        <v>325.39999999999998</v>
      </c>
      <c r="M164" s="89">
        <f t="shared" si="50"/>
        <v>323.39999999999998</v>
      </c>
      <c r="N164" s="89">
        <f t="shared" si="50"/>
        <v>323</v>
      </c>
      <c r="O164" s="89">
        <f t="shared" si="50"/>
        <v>321.89999999999998</v>
      </c>
    </row>
    <row r="165" spans="2:15">
      <c r="C165" s="109" t="s">
        <v>28</v>
      </c>
      <c r="F165" s="179"/>
      <c r="H165" s="88">
        <v>48.7</v>
      </c>
      <c r="I165" s="88">
        <v>49.3</v>
      </c>
      <c r="J165" s="88">
        <v>43.5</v>
      </c>
      <c r="K165" s="89">
        <f t="shared" ref="K165:O166" si="51">K288</f>
        <v>50.8</v>
      </c>
      <c r="L165" s="89">
        <f t="shared" si="51"/>
        <v>51.2</v>
      </c>
      <c r="M165" s="89">
        <f t="shared" si="51"/>
        <v>52</v>
      </c>
      <c r="N165" s="89">
        <f t="shared" si="51"/>
        <v>53.2</v>
      </c>
      <c r="O165" s="89">
        <f t="shared" si="51"/>
        <v>54.2</v>
      </c>
    </row>
    <row r="166" spans="2:15">
      <c r="C166" s="170" t="s">
        <v>29</v>
      </c>
      <c r="F166" s="179"/>
      <c r="H166" s="90">
        <v>5.8</v>
      </c>
      <c r="I166" s="90">
        <v>4.7</v>
      </c>
      <c r="J166" s="91">
        <v>5.3</v>
      </c>
      <c r="K166" s="89">
        <f t="shared" si="51"/>
        <v>4.8</v>
      </c>
      <c r="L166" s="89">
        <f t="shared" si="51"/>
        <v>4.9000000000000004</v>
      </c>
      <c r="M166" s="89">
        <f t="shared" si="51"/>
        <v>5</v>
      </c>
      <c r="N166" s="89">
        <f t="shared" si="51"/>
        <v>5.0999999999999996</v>
      </c>
      <c r="O166" s="89">
        <f t="shared" si="51"/>
        <v>5.2</v>
      </c>
    </row>
    <row r="167" spans="2:15" s="127" customFormat="1">
      <c r="C167" s="169" t="s">
        <v>30</v>
      </c>
      <c r="G167" s="176"/>
      <c r="H167" s="96">
        <f>SUM(H163:H166)</f>
        <v>307.2</v>
      </c>
      <c r="I167" s="96">
        <f t="shared" ref="I167:J167" si="52">SUM(I163:I166)</f>
        <v>380.5</v>
      </c>
      <c r="J167" s="97">
        <f t="shared" si="52"/>
        <v>491.8</v>
      </c>
      <c r="K167" s="97">
        <f ca="1">SUM(K163:K166)</f>
        <v>492.3</v>
      </c>
      <c r="L167" s="97">
        <f t="shared" ref="L167:O167" ca="1" si="53">SUM(L163:L166)</f>
        <v>425.4</v>
      </c>
      <c r="M167" s="97">
        <f t="shared" ca="1" si="53"/>
        <v>380.4</v>
      </c>
      <c r="N167" s="97">
        <f t="shared" ca="1" si="53"/>
        <v>381.3</v>
      </c>
      <c r="O167" s="97">
        <f t="shared" ca="1" si="53"/>
        <v>381.3</v>
      </c>
    </row>
    <row r="168" spans="2:15">
      <c r="H168" s="88"/>
      <c r="I168" s="88"/>
      <c r="J168" s="88"/>
      <c r="K168" s="92"/>
      <c r="L168" s="92"/>
      <c r="M168" s="92"/>
      <c r="N168" s="92"/>
      <c r="O168" s="92"/>
    </row>
    <row r="169" spans="2:15">
      <c r="C169" s="109" t="s">
        <v>31</v>
      </c>
      <c r="F169" s="179"/>
      <c r="H169" s="88">
        <v>1788.5</v>
      </c>
      <c r="I169" s="88">
        <v>1829.1</v>
      </c>
      <c r="J169" s="88">
        <v>1857.1</v>
      </c>
      <c r="K169" s="92">
        <f>K232</f>
        <v>1900.8</v>
      </c>
      <c r="L169" s="92">
        <f t="shared" ref="L169:O169" si="54">L232</f>
        <v>1940.5</v>
      </c>
      <c r="M169" s="92">
        <f t="shared" si="54"/>
        <v>1976.2</v>
      </c>
      <c r="N169" s="92">
        <f t="shared" si="54"/>
        <v>2007.9</v>
      </c>
      <c r="O169" s="92">
        <f t="shared" si="54"/>
        <v>2035.6</v>
      </c>
    </row>
    <row r="170" spans="2:15">
      <c r="C170" s="109" t="s">
        <v>32</v>
      </c>
      <c r="F170" s="179"/>
      <c r="H170" s="88">
        <v>196.4</v>
      </c>
      <c r="I170" s="88">
        <v>193.3</v>
      </c>
      <c r="J170" s="88">
        <v>191.9</v>
      </c>
      <c r="K170" s="92">
        <f>J170+Inp!L66</f>
        <v>191.9</v>
      </c>
      <c r="L170" s="92">
        <f>K170+Inp!M66</f>
        <v>191.9</v>
      </c>
      <c r="M170" s="92">
        <f>L170+Inp!N66</f>
        <v>191.9</v>
      </c>
      <c r="N170" s="92">
        <f>M170+Inp!O66</f>
        <v>191.9</v>
      </c>
      <c r="O170" s="92">
        <f>N170+Inp!P66</f>
        <v>191.9</v>
      </c>
    </row>
    <row r="171" spans="2:15">
      <c r="C171" s="109" t="s">
        <v>33</v>
      </c>
      <c r="F171" s="179"/>
      <c r="H171" s="88">
        <v>57.7</v>
      </c>
      <c r="I171" s="88">
        <v>47.2</v>
      </c>
      <c r="J171" s="88">
        <v>40.9</v>
      </c>
      <c r="K171" s="92">
        <f>J171+Inp!L67</f>
        <v>40.9</v>
      </c>
      <c r="L171" s="92">
        <f>K171+Inp!M67</f>
        <v>40.9</v>
      </c>
      <c r="M171" s="92">
        <f>L171+Inp!N67</f>
        <v>40.9</v>
      </c>
      <c r="N171" s="92">
        <f>M171+Inp!O67</f>
        <v>40.9</v>
      </c>
      <c r="O171" s="92">
        <f>N171+Inp!P67</f>
        <v>40.9</v>
      </c>
    </row>
    <row r="172" spans="2:15">
      <c r="C172" s="170" t="s">
        <v>29</v>
      </c>
      <c r="F172" s="179"/>
      <c r="H172" s="88">
        <v>4.3</v>
      </c>
      <c r="I172" s="88">
        <v>3.3</v>
      </c>
      <c r="J172" s="88">
        <v>4.3</v>
      </c>
      <c r="K172" s="92">
        <f>J172+Inp!L68</f>
        <v>4.3</v>
      </c>
      <c r="L172" s="92">
        <f>K172+Inp!M68</f>
        <v>4.3</v>
      </c>
      <c r="M172" s="92">
        <f>L172+Inp!N68</f>
        <v>4.3</v>
      </c>
      <c r="N172" s="92">
        <f>M172+Inp!O68</f>
        <v>4.3</v>
      </c>
      <c r="O172" s="92">
        <f>N172+Inp!P68</f>
        <v>4.3</v>
      </c>
    </row>
    <row r="173" spans="2:15" s="127" customFormat="1">
      <c r="C173" s="171" t="s">
        <v>34</v>
      </c>
      <c r="F173" s="242"/>
      <c r="G173" s="176"/>
      <c r="H173" s="97">
        <f>SUM(H169:H172)</f>
        <v>2046.9</v>
      </c>
      <c r="I173" s="97">
        <f t="shared" ref="I173:J173" si="55">SUM(I169:I172)</f>
        <v>2072.9</v>
      </c>
      <c r="J173" s="97">
        <f t="shared" si="55"/>
        <v>2094.1999999999998</v>
      </c>
      <c r="K173" s="97">
        <f>SUM(K169:K172)</f>
        <v>2137.9</v>
      </c>
      <c r="L173" s="97">
        <f t="shared" ref="L173:O173" si="56">SUM(L169:L172)</f>
        <v>2177.6</v>
      </c>
      <c r="M173" s="97">
        <f t="shared" si="56"/>
        <v>2213.3000000000002</v>
      </c>
      <c r="N173" s="97">
        <f t="shared" si="56"/>
        <v>2245</v>
      </c>
      <c r="O173" s="97">
        <f t="shared" si="56"/>
        <v>2272.6999999999998</v>
      </c>
    </row>
    <row r="174" spans="2:15">
      <c r="C174" s="170"/>
      <c r="H174" s="92"/>
      <c r="I174" s="92"/>
      <c r="J174" s="92"/>
      <c r="K174" s="92"/>
      <c r="L174" s="92"/>
      <c r="M174" s="92"/>
      <c r="N174" s="92"/>
      <c r="O174" s="92"/>
    </row>
    <row r="175" spans="2:15" ht="13.8" thickBot="1">
      <c r="C175" s="127" t="s">
        <v>35</v>
      </c>
      <c r="F175" s="127"/>
      <c r="H175" s="94">
        <f>H167+H173</f>
        <v>2354.1</v>
      </c>
      <c r="I175" s="94">
        <f t="shared" ref="I175:J175" si="57">I167+I173</f>
        <v>2453.4</v>
      </c>
      <c r="J175" s="94">
        <f t="shared" si="57"/>
        <v>2586</v>
      </c>
      <c r="K175" s="94">
        <f ca="1">K167+K173</f>
        <v>2630.2</v>
      </c>
      <c r="L175" s="94">
        <f t="shared" ref="L175:O175" ca="1" si="58">L167+L173</f>
        <v>2603</v>
      </c>
      <c r="M175" s="94">
        <f t="shared" ca="1" si="58"/>
        <v>2593.6999999999998</v>
      </c>
      <c r="N175" s="94">
        <f t="shared" ca="1" si="58"/>
        <v>2626.3</v>
      </c>
      <c r="O175" s="94">
        <f t="shared" ca="1" si="58"/>
        <v>2654</v>
      </c>
    </row>
    <row r="176" spans="2:15" ht="13.8" thickTop="1">
      <c r="H176" s="92"/>
      <c r="I176" s="92"/>
      <c r="J176" s="92"/>
      <c r="K176" s="92"/>
      <c r="L176" s="92"/>
      <c r="M176" s="92"/>
      <c r="N176" s="92"/>
      <c r="O176" s="92"/>
    </row>
    <row r="177" spans="2:15">
      <c r="H177" s="92"/>
      <c r="I177" s="92"/>
      <c r="J177" s="92"/>
      <c r="K177" s="92"/>
      <c r="L177" s="92"/>
      <c r="M177" s="92"/>
      <c r="N177" s="92"/>
      <c r="O177" s="92"/>
    </row>
    <row r="178" spans="2:15">
      <c r="B178" s="169" t="s">
        <v>36</v>
      </c>
      <c r="H178" s="92"/>
      <c r="I178" s="92"/>
      <c r="J178" s="92"/>
      <c r="K178" s="92"/>
      <c r="L178" s="92"/>
      <c r="M178" s="92"/>
      <c r="N178" s="92"/>
      <c r="O178" s="92"/>
    </row>
    <row r="179" spans="2:15">
      <c r="C179" s="170" t="s">
        <v>37</v>
      </c>
      <c r="F179" s="179"/>
      <c r="H179" s="88">
        <v>30.5</v>
      </c>
      <c r="I179" s="88">
        <v>0</v>
      </c>
      <c r="J179" s="88">
        <v>0</v>
      </c>
      <c r="K179" s="92">
        <f ca="1">K366</f>
        <v>0</v>
      </c>
      <c r="L179" s="92">
        <f t="shared" ref="L179:O179" ca="1" si="59">L366</f>
        <v>0</v>
      </c>
      <c r="M179" s="92">
        <f t="shared" ca="1" si="59"/>
        <v>22.2</v>
      </c>
      <c r="N179" s="92">
        <f t="shared" ca="1" si="59"/>
        <v>91.5</v>
      </c>
      <c r="O179" s="92">
        <f t="shared" ca="1" si="59"/>
        <v>161.9</v>
      </c>
    </row>
    <row r="180" spans="2:15">
      <c r="C180" s="170" t="s">
        <v>38</v>
      </c>
      <c r="F180" s="179"/>
      <c r="H180" s="95">
        <v>54.6</v>
      </c>
      <c r="I180" s="95">
        <v>27.3</v>
      </c>
      <c r="J180" s="95">
        <v>31</v>
      </c>
      <c r="K180" s="92">
        <f>K290</f>
        <v>28.1</v>
      </c>
      <c r="L180" s="92">
        <f t="shared" ref="L180:O180" si="60">L290</f>
        <v>28.4</v>
      </c>
      <c r="M180" s="92">
        <f t="shared" si="60"/>
        <v>28.8</v>
      </c>
      <c r="N180" s="92">
        <f t="shared" si="60"/>
        <v>29.4</v>
      </c>
      <c r="O180" s="92">
        <f t="shared" si="60"/>
        <v>30</v>
      </c>
    </row>
    <row r="181" spans="2:15">
      <c r="C181" s="170" t="s">
        <v>29</v>
      </c>
      <c r="F181" s="179"/>
      <c r="H181" s="90">
        <v>7.3</v>
      </c>
      <c r="I181" s="90">
        <v>4.5999999999999996</v>
      </c>
      <c r="J181" s="91">
        <v>4.9000000000000004</v>
      </c>
      <c r="K181" s="92">
        <f>K291</f>
        <v>4.8</v>
      </c>
      <c r="L181" s="92">
        <f t="shared" ref="L181:O181" si="61">L291</f>
        <v>4.8</v>
      </c>
      <c r="M181" s="92">
        <f t="shared" si="61"/>
        <v>4.9000000000000004</v>
      </c>
      <c r="N181" s="92">
        <f t="shared" si="61"/>
        <v>5</v>
      </c>
      <c r="O181" s="92">
        <f t="shared" si="61"/>
        <v>5.0999999999999996</v>
      </c>
    </row>
    <row r="182" spans="2:15" s="127" customFormat="1">
      <c r="C182" s="169" t="s">
        <v>39</v>
      </c>
      <c r="G182" s="176"/>
      <c r="H182" s="96">
        <f>SUM(H179:H181)</f>
        <v>92.4</v>
      </c>
      <c r="I182" s="96">
        <f t="shared" ref="I182:O182" si="62">SUM(I179:I181)</f>
        <v>31.9</v>
      </c>
      <c r="J182" s="97">
        <f t="shared" si="62"/>
        <v>35.9</v>
      </c>
      <c r="K182" s="97">
        <f ca="1">SUM(K179:K181)</f>
        <v>32.9</v>
      </c>
      <c r="L182" s="97">
        <f t="shared" ca="1" si="62"/>
        <v>33.200000000000003</v>
      </c>
      <c r="M182" s="97">
        <f t="shared" ca="1" si="62"/>
        <v>55.9</v>
      </c>
      <c r="N182" s="97">
        <f t="shared" ca="1" si="62"/>
        <v>125.9</v>
      </c>
      <c r="O182" s="97">
        <f t="shared" ca="1" si="62"/>
        <v>197</v>
      </c>
    </row>
    <row r="183" spans="2:15">
      <c r="H183" s="92"/>
      <c r="I183" s="92"/>
      <c r="J183" s="92"/>
      <c r="K183" s="92"/>
      <c r="L183" s="92"/>
      <c r="M183" s="92"/>
      <c r="N183" s="92"/>
      <c r="O183" s="92"/>
    </row>
    <row r="184" spans="2:15">
      <c r="C184" s="170" t="s">
        <v>49</v>
      </c>
      <c r="F184" s="179"/>
      <c r="H184" s="88">
        <v>284.3</v>
      </c>
      <c r="I184" s="88">
        <v>269.3</v>
      </c>
      <c r="J184" s="88">
        <v>294.3</v>
      </c>
      <c r="K184" s="92">
        <f>K330</f>
        <v>259.3</v>
      </c>
      <c r="L184" s="92">
        <f t="shared" ref="L184:O184" si="63">L330</f>
        <v>224.3</v>
      </c>
      <c r="M184" s="92">
        <f t="shared" si="63"/>
        <v>189.3</v>
      </c>
      <c r="N184" s="92">
        <f t="shared" si="63"/>
        <v>154.30000000000001</v>
      </c>
      <c r="O184" s="92">
        <f t="shared" si="63"/>
        <v>119.3</v>
      </c>
    </row>
    <row r="185" spans="2:15">
      <c r="C185" s="170" t="s">
        <v>50</v>
      </c>
      <c r="F185" s="179"/>
      <c r="H185" s="88">
        <v>877.8</v>
      </c>
      <c r="I185" s="88">
        <v>989.8</v>
      </c>
      <c r="J185" s="88">
        <v>1023.8</v>
      </c>
      <c r="K185" s="92">
        <f>K338</f>
        <v>953.8</v>
      </c>
      <c r="L185" s="92">
        <f t="shared" ref="L185:O185" si="64">L338</f>
        <v>883.8</v>
      </c>
      <c r="M185" s="92">
        <f t="shared" si="64"/>
        <v>813.8</v>
      </c>
      <c r="N185" s="92">
        <f t="shared" si="64"/>
        <v>743.8</v>
      </c>
      <c r="O185" s="92">
        <f t="shared" si="64"/>
        <v>673.8</v>
      </c>
    </row>
    <row r="186" spans="2:15">
      <c r="C186" s="109" t="s">
        <v>12</v>
      </c>
      <c r="F186" s="179"/>
      <c r="H186" s="88">
        <v>296.8</v>
      </c>
      <c r="I186" s="88">
        <v>313.8</v>
      </c>
      <c r="J186" s="88">
        <v>324.8</v>
      </c>
      <c r="K186" s="92">
        <f ca="1">J186+K124</f>
        <v>345.8</v>
      </c>
      <c r="L186" s="92">
        <f ca="1">K186+L124</f>
        <v>366.8</v>
      </c>
      <c r="M186" s="92">
        <f ca="1">L186+M124</f>
        <v>387.8</v>
      </c>
      <c r="N186" s="92">
        <f ca="1">M186+N124</f>
        <v>408.8</v>
      </c>
      <c r="O186" s="92">
        <f ca="1">N186+O124</f>
        <v>429.8</v>
      </c>
    </row>
    <row r="187" spans="2:15">
      <c r="C187" s="170" t="s">
        <v>29</v>
      </c>
      <c r="F187" s="179"/>
      <c r="H187" s="90">
        <v>12.4</v>
      </c>
      <c r="I187" s="90">
        <v>9.4</v>
      </c>
      <c r="J187" s="91">
        <v>6.7</v>
      </c>
      <c r="K187" s="92">
        <f>J187+Inp!L50</f>
        <v>6.7</v>
      </c>
      <c r="L187" s="92">
        <f>K187+Inp!M50</f>
        <v>6.7</v>
      </c>
      <c r="M187" s="92">
        <f>L187+Inp!N50</f>
        <v>6.7</v>
      </c>
      <c r="N187" s="92">
        <f>M187+Inp!O50</f>
        <v>6.7</v>
      </c>
      <c r="O187" s="92">
        <f>N187+Inp!P50</f>
        <v>6.7</v>
      </c>
    </row>
    <row r="188" spans="2:15" s="127" customFormat="1">
      <c r="C188" s="171" t="s">
        <v>40</v>
      </c>
      <c r="F188" s="242"/>
      <c r="G188" s="176"/>
      <c r="H188" s="96">
        <f>SUM(H184:H187)</f>
        <v>1471.3</v>
      </c>
      <c r="I188" s="96">
        <f t="shared" ref="I188:J188" si="65">SUM(I184:I187)</f>
        <v>1582.3</v>
      </c>
      <c r="J188" s="97">
        <f t="shared" si="65"/>
        <v>1649.6</v>
      </c>
      <c r="K188" s="97">
        <f ca="1">SUM(K184:K187)</f>
        <v>1565.6</v>
      </c>
      <c r="L188" s="97">
        <f t="shared" ref="L188:O188" ca="1" si="66">SUM(L184:L187)</f>
        <v>1481.6</v>
      </c>
      <c r="M188" s="97">
        <f t="shared" ca="1" si="66"/>
        <v>1397.6</v>
      </c>
      <c r="N188" s="97">
        <f t="shared" ca="1" si="66"/>
        <v>1313.6</v>
      </c>
      <c r="O188" s="97">
        <f t="shared" ca="1" si="66"/>
        <v>1229.5999999999999</v>
      </c>
    </row>
    <row r="189" spans="2:15">
      <c r="C189" s="169"/>
      <c r="H189" s="92"/>
      <c r="I189" s="92"/>
      <c r="J189" s="92"/>
      <c r="K189" s="92"/>
      <c r="L189" s="92"/>
      <c r="M189" s="92"/>
      <c r="N189" s="92"/>
      <c r="O189" s="92"/>
    </row>
    <row r="190" spans="2:15">
      <c r="C190" s="171" t="s">
        <v>41</v>
      </c>
      <c r="F190" s="127"/>
      <c r="H190" s="96">
        <f>H182+H188</f>
        <v>1563.7</v>
      </c>
      <c r="I190" s="96">
        <f t="shared" ref="I190:J190" si="67">I182+I188</f>
        <v>1614.2</v>
      </c>
      <c r="J190" s="96">
        <f t="shared" si="67"/>
        <v>1685.5</v>
      </c>
      <c r="K190" s="96">
        <f ca="1">K182+K188</f>
        <v>1598.5</v>
      </c>
      <c r="L190" s="96">
        <f t="shared" ref="L190:O190" ca="1" si="68">L182+L188</f>
        <v>1514.8</v>
      </c>
      <c r="M190" s="96">
        <f t="shared" ca="1" si="68"/>
        <v>1453.5</v>
      </c>
      <c r="N190" s="96">
        <f t="shared" ca="1" si="68"/>
        <v>1439.5</v>
      </c>
      <c r="O190" s="96">
        <f t="shared" ca="1" si="68"/>
        <v>1426.6</v>
      </c>
    </row>
    <row r="191" spans="2:15">
      <c r="H191" s="92"/>
      <c r="I191" s="92"/>
      <c r="J191" s="92"/>
      <c r="K191" s="92"/>
      <c r="L191" s="92"/>
      <c r="M191" s="92"/>
      <c r="N191" s="92"/>
      <c r="O191" s="92"/>
    </row>
    <row r="192" spans="2:15">
      <c r="C192" s="109" t="s">
        <v>55</v>
      </c>
      <c r="H192" s="88">
        <v>0</v>
      </c>
      <c r="I192" s="88">
        <v>0</v>
      </c>
      <c r="J192" s="88">
        <v>0</v>
      </c>
      <c r="K192" s="92">
        <f>K399</f>
        <v>75</v>
      </c>
      <c r="L192" s="92">
        <f t="shared" ref="L192:O192" si="69">L399</f>
        <v>75</v>
      </c>
      <c r="M192" s="92">
        <f t="shared" si="69"/>
        <v>75</v>
      </c>
      <c r="N192" s="92">
        <f t="shared" si="69"/>
        <v>75</v>
      </c>
      <c r="O192" s="92">
        <f t="shared" si="69"/>
        <v>75</v>
      </c>
    </row>
    <row r="193" spans="2:15">
      <c r="C193" s="109" t="s">
        <v>56</v>
      </c>
      <c r="H193" s="88">
        <v>365.3</v>
      </c>
      <c r="I193" s="88">
        <v>345.3</v>
      </c>
      <c r="J193" s="88">
        <v>335.3</v>
      </c>
      <c r="K193" s="92">
        <f>K389</f>
        <v>325.3</v>
      </c>
      <c r="L193" s="92">
        <f t="shared" ref="L193:O193" si="70">L389</f>
        <v>325.3</v>
      </c>
      <c r="M193" s="92">
        <f t="shared" si="70"/>
        <v>325.3</v>
      </c>
      <c r="N193" s="92">
        <f t="shared" si="70"/>
        <v>325.3</v>
      </c>
      <c r="O193" s="92">
        <f t="shared" si="70"/>
        <v>325.3</v>
      </c>
    </row>
    <row r="194" spans="2:15">
      <c r="C194" s="109" t="s">
        <v>42</v>
      </c>
      <c r="H194" s="88">
        <v>418.4</v>
      </c>
      <c r="I194" s="88">
        <v>488.7</v>
      </c>
      <c r="J194" s="88">
        <v>560.4</v>
      </c>
      <c r="K194" s="92">
        <f ca="1">K410</f>
        <v>626.6</v>
      </c>
      <c r="L194" s="92">
        <f t="shared" ref="L194:O194" ca="1" si="71">L410</f>
        <v>683.1</v>
      </c>
      <c r="M194" s="92">
        <f t="shared" ca="1" si="71"/>
        <v>735.1</v>
      </c>
      <c r="N194" s="92">
        <f t="shared" ca="1" si="71"/>
        <v>781.7</v>
      </c>
      <c r="O194" s="92">
        <f t="shared" ca="1" si="71"/>
        <v>822.3</v>
      </c>
    </row>
    <row r="195" spans="2:15">
      <c r="C195" s="109" t="s">
        <v>29</v>
      </c>
      <c r="H195" s="90">
        <v>6.7</v>
      </c>
      <c r="I195" s="90">
        <v>5.2</v>
      </c>
      <c r="J195" s="91">
        <v>4.8</v>
      </c>
      <c r="K195" s="92">
        <f>J195+Inp!L51</f>
        <v>4.8</v>
      </c>
      <c r="L195" s="92">
        <f>K195+Inp!M51</f>
        <v>4.8</v>
      </c>
      <c r="M195" s="92">
        <f>L195+Inp!N51</f>
        <v>4.8</v>
      </c>
      <c r="N195" s="92">
        <f>M195+Inp!O51</f>
        <v>4.8</v>
      </c>
      <c r="O195" s="92">
        <f>N195+Inp!P51</f>
        <v>4.8</v>
      </c>
    </row>
    <row r="196" spans="2:15">
      <c r="C196" s="169" t="s">
        <v>43</v>
      </c>
      <c r="F196" s="179"/>
      <c r="H196" s="96">
        <f>SUM(H192:H195)</f>
        <v>790.4</v>
      </c>
      <c r="I196" s="96">
        <f t="shared" ref="I196:J196" si="72">SUM(I192:I195)</f>
        <v>839.2</v>
      </c>
      <c r="J196" s="97">
        <f t="shared" si="72"/>
        <v>900.5</v>
      </c>
      <c r="K196" s="97">
        <f ca="1">SUM(K192:K195)</f>
        <v>1031.7</v>
      </c>
      <c r="L196" s="97">
        <f t="shared" ref="L196:O196" ca="1" si="73">SUM(L192:L195)</f>
        <v>1088.2</v>
      </c>
      <c r="M196" s="97">
        <f t="shared" ca="1" si="73"/>
        <v>1140.2</v>
      </c>
      <c r="N196" s="97">
        <f t="shared" ca="1" si="73"/>
        <v>1186.8</v>
      </c>
      <c r="O196" s="97">
        <f t="shared" ca="1" si="73"/>
        <v>1227.4000000000001</v>
      </c>
    </row>
    <row r="197" spans="2:15">
      <c r="H197" s="92"/>
      <c r="I197" s="92"/>
      <c r="J197" s="92"/>
      <c r="K197" s="92"/>
      <c r="L197" s="92"/>
      <c r="M197" s="92"/>
      <c r="N197" s="92"/>
      <c r="O197" s="92"/>
    </row>
    <row r="198" spans="2:15" ht="13.8" thickBot="1">
      <c r="B198" s="169" t="s">
        <v>44</v>
      </c>
      <c r="F198" s="127"/>
      <c r="H198" s="94">
        <f>H196+H190</f>
        <v>2354.1</v>
      </c>
      <c r="I198" s="94">
        <f>I196+I190</f>
        <v>2453.4</v>
      </c>
      <c r="J198" s="94">
        <f t="shared" ref="J198" si="74">J196+J190</f>
        <v>2586</v>
      </c>
      <c r="K198" s="94">
        <f ca="1">K196+K190</f>
        <v>2630.2</v>
      </c>
      <c r="L198" s="94">
        <f t="shared" ref="L198:O198" ca="1" si="75">L196+L190</f>
        <v>2603</v>
      </c>
      <c r="M198" s="94">
        <f t="shared" ca="1" si="75"/>
        <v>2593.6999999999998</v>
      </c>
      <c r="N198" s="94">
        <f t="shared" ca="1" si="75"/>
        <v>2626.3</v>
      </c>
      <c r="O198" s="94">
        <f t="shared" ca="1" si="75"/>
        <v>2654</v>
      </c>
    </row>
    <row r="199" spans="2:15" ht="13.8" thickTop="1">
      <c r="B199" s="148"/>
      <c r="C199" s="148"/>
      <c r="D199" s="148"/>
      <c r="E199" s="148"/>
      <c r="F199" s="148"/>
      <c r="G199" s="172"/>
      <c r="H199" s="98"/>
      <c r="I199" s="98"/>
      <c r="J199" s="98"/>
      <c r="K199" s="98"/>
      <c r="L199" s="98"/>
      <c r="M199" s="98"/>
      <c r="N199" s="98"/>
      <c r="O199" s="98"/>
    </row>
    <row r="200" spans="2:15" s="175" customFormat="1">
      <c r="B200" s="175" t="s">
        <v>93</v>
      </c>
      <c r="G200" s="174"/>
      <c r="H200" s="100">
        <f t="shared" ref="H200:O200" si="76">H198-H175</f>
        <v>0</v>
      </c>
      <c r="I200" s="100">
        <f t="shared" si="76"/>
        <v>0</v>
      </c>
      <c r="J200" s="100">
        <f t="shared" si="76"/>
        <v>0</v>
      </c>
      <c r="K200" s="100">
        <f t="shared" ca="1" si="76"/>
        <v>0</v>
      </c>
      <c r="L200" s="100">
        <f t="shared" ca="1" si="76"/>
        <v>0</v>
      </c>
      <c r="M200" s="100">
        <f t="shared" ca="1" si="76"/>
        <v>0</v>
      </c>
      <c r="N200" s="100">
        <f t="shared" ca="1" si="76"/>
        <v>0</v>
      </c>
      <c r="O200" s="100">
        <f t="shared" ca="1" si="76"/>
        <v>0</v>
      </c>
    </row>
    <row r="204" spans="2:15">
      <c r="O204" s="111" t="str">
        <f>UPPER("CURRENTLY USING: "&amp;CHOOSE(Scenarios!$E$12,Scenarios!$D$20,Scenarios!$D$21,Scenarios!$D$22)&amp;" CASE SCENARIO")</f>
        <v>CURRENTLY USING: WORSE CASE SCENARIO</v>
      </c>
    </row>
    <row r="205" spans="2:15" ht="34.799999999999997">
      <c r="B205" s="112" t="str">
        <f ca="1">$B$71</f>
        <v>McLAREN GROUP LTD</v>
      </c>
      <c r="C205" s="113"/>
      <c r="D205" s="113"/>
      <c r="E205" s="113"/>
      <c r="F205" s="113"/>
      <c r="G205" s="114"/>
      <c r="H205" s="113"/>
      <c r="I205" s="113"/>
      <c r="J205" s="113"/>
      <c r="K205" s="113"/>
      <c r="L205" s="113"/>
      <c r="M205" s="113"/>
      <c r="N205" s="113"/>
      <c r="O205" s="113"/>
    </row>
    <row r="206" spans="2:15" ht="18">
      <c r="B206" s="115" t="s">
        <v>137</v>
      </c>
      <c r="C206" s="113"/>
      <c r="D206" s="113"/>
      <c r="E206" s="113"/>
      <c r="F206" s="113"/>
      <c r="G206" s="114"/>
      <c r="H206" s="113"/>
      <c r="I206" s="113"/>
      <c r="J206" s="113"/>
      <c r="K206" s="113"/>
      <c r="L206" s="113"/>
      <c r="M206" s="113"/>
      <c r="N206" s="113"/>
      <c r="O206" s="113"/>
    </row>
    <row r="207" spans="2:15" ht="3" customHeight="1" thickBot="1">
      <c r="B207" s="116"/>
      <c r="C207" s="116"/>
      <c r="D207" s="116"/>
      <c r="E207" s="116"/>
      <c r="F207" s="116"/>
      <c r="G207" s="117"/>
      <c r="H207" s="116"/>
      <c r="I207" s="116"/>
      <c r="J207" s="116"/>
      <c r="K207" s="116"/>
      <c r="L207" s="116"/>
      <c r="M207" s="116"/>
      <c r="N207" s="116"/>
      <c r="O207" s="116"/>
    </row>
    <row r="208" spans="2:15">
      <c r="B208" s="118" t="s">
        <v>60</v>
      </c>
    </row>
    <row r="210" spans="2:15">
      <c r="K210" s="119" t="s">
        <v>76</v>
      </c>
      <c r="L210" s="120"/>
      <c r="M210" s="120"/>
      <c r="N210" s="120"/>
      <c r="O210" s="120"/>
    </row>
    <row r="211" spans="2:15" ht="13.8">
      <c r="G211" s="121" t="s">
        <v>135</v>
      </c>
      <c r="H211" s="203">
        <f>$H$77</f>
        <v>2019</v>
      </c>
      <c r="I211" s="203">
        <f>$I$77</f>
        <v>2020</v>
      </c>
      <c r="J211" s="203">
        <f>$J$77</f>
        <v>2021</v>
      </c>
      <c r="K211" s="203">
        <f>$K$77</f>
        <v>2022</v>
      </c>
      <c r="L211" s="203">
        <f>$L$77</f>
        <v>2023</v>
      </c>
      <c r="M211" s="203">
        <f>$M$77</f>
        <v>2024</v>
      </c>
      <c r="N211" s="203">
        <f>$N$77</f>
        <v>2025</v>
      </c>
      <c r="O211" s="203">
        <f>$O$77</f>
        <v>2026</v>
      </c>
    </row>
    <row r="213" spans="2:15">
      <c r="B213" s="146" t="s">
        <v>138</v>
      </c>
      <c r="C213" s="132"/>
      <c r="D213" s="132"/>
      <c r="E213" s="135">
        <f>Inp!I28</f>
        <v>25</v>
      </c>
      <c r="G213" s="126" t="s">
        <v>140</v>
      </c>
    </row>
    <row r="214" spans="2:15">
      <c r="B214" s="139" t="s">
        <v>139</v>
      </c>
      <c r="C214" s="148"/>
      <c r="D214" s="148"/>
      <c r="E214" s="166">
        <f>Inp!I29</f>
        <v>30</v>
      </c>
      <c r="G214" s="126" t="s">
        <v>140</v>
      </c>
    </row>
    <row r="215" spans="2:15">
      <c r="G215" s="126"/>
    </row>
    <row r="216" spans="2:15">
      <c r="C216" s="109" t="s">
        <v>141</v>
      </c>
      <c r="G216" s="126"/>
      <c r="I216" s="92"/>
      <c r="J216" s="92"/>
      <c r="K216" s="92">
        <f>$J$169/$E$213</f>
        <v>74.3</v>
      </c>
      <c r="L216" s="92">
        <f>$J$169/$E$213</f>
        <v>74.3</v>
      </c>
      <c r="M216" s="92">
        <f>$J$169/$E$213</f>
        <v>74.3</v>
      </c>
      <c r="N216" s="92">
        <f>$J$169/$E$213</f>
        <v>74.3</v>
      </c>
      <c r="O216" s="92">
        <f>$J$169/$E$213</f>
        <v>74.3</v>
      </c>
    </row>
    <row r="217" spans="2:15">
      <c r="G217" s="126"/>
      <c r="I217" s="92"/>
      <c r="J217" s="92"/>
      <c r="K217" s="92"/>
      <c r="L217" s="92"/>
      <c r="M217" s="92"/>
      <c r="N217" s="92"/>
      <c r="O217" s="92"/>
    </row>
    <row r="218" spans="2:15">
      <c r="D218" s="127" t="s">
        <v>20</v>
      </c>
      <c r="G218" s="126"/>
      <c r="I218" s="92"/>
      <c r="J218" s="92"/>
      <c r="K218" s="92"/>
      <c r="L218" s="92"/>
      <c r="M218" s="92"/>
      <c r="N218" s="92"/>
      <c r="O218" s="92"/>
    </row>
    <row r="219" spans="2:15">
      <c r="D219" s="109">
        <f>K211</f>
        <v>2022</v>
      </c>
      <c r="E219" s="180">
        <f t="array" ref="E219:E223">TRANSPOSE(Inp!L55:P55)</f>
        <v>120</v>
      </c>
      <c r="G219" s="126" t="s">
        <v>136</v>
      </c>
      <c r="I219" s="92"/>
      <c r="J219" s="92"/>
      <c r="K219" s="92">
        <f>IF(K$211&lt;$D219, 0, IF(K$211=$D219, $E219/$E$214/2, $E219/$E$214))</f>
        <v>2</v>
      </c>
      <c r="L219" s="92">
        <f t="shared" ref="L219:O223" si="77">IF(L$211&lt;$D219, 0, IF(L$211=$D219, $E219/$E$214/2, $E219/$E$214))</f>
        <v>4</v>
      </c>
      <c r="M219" s="92">
        <f t="shared" si="77"/>
        <v>4</v>
      </c>
      <c r="N219" s="92">
        <f t="shared" si="77"/>
        <v>4</v>
      </c>
      <c r="O219" s="92">
        <f t="shared" si="77"/>
        <v>4</v>
      </c>
    </row>
    <row r="220" spans="2:15">
      <c r="D220" s="109">
        <f>D219+1</f>
        <v>2023</v>
      </c>
      <c r="E220" s="181">
        <v>120</v>
      </c>
      <c r="G220" s="126" t="s">
        <v>136</v>
      </c>
      <c r="I220" s="92"/>
      <c r="J220" s="92"/>
      <c r="K220" s="92"/>
      <c r="L220" s="92">
        <f t="shared" si="77"/>
        <v>2</v>
      </c>
      <c r="M220" s="92">
        <f t="shared" si="77"/>
        <v>4</v>
      </c>
      <c r="N220" s="92">
        <f t="shared" si="77"/>
        <v>4</v>
      </c>
      <c r="O220" s="92">
        <f t="shared" si="77"/>
        <v>4</v>
      </c>
    </row>
    <row r="221" spans="2:15">
      <c r="D221" s="109">
        <f t="shared" ref="D221:D223" si="78">D220+1</f>
        <v>2024</v>
      </c>
      <c r="E221" s="181">
        <v>120</v>
      </c>
      <c r="G221" s="126" t="s">
        <v>136</v>
      </c>
      <c r="I221" s="92"/>
      <c r="J221" s="92"/>
      <c r="K221" s="92"/>
      <c r="L221" s="92"/>
      <c r="M221" s="92">
        <f t="shared" si="77"/>
        <v>2</v>
      </c>
      <c r="N221" s="92">
        <f t="shared" si="77"/>
        <v>4</v>
      </c>
      <c r="O221" s="92">
        <f t="shared" si="77"/>
        <v>4</v>
      </c>
    </row>
    <row r="222" spans="2:15">
      <c r="D222" s="109">
        <f t="shared" si="78"/>
        <v>2025</v>
      </c>
      <c r="E222" s="181">
        <v>120</v>
      </c>
      <c r="G222" s="126" t="s">
        <v>136</v>
      </c>
      <c r="I222" s="92"/>
      <c r="J222" s="92"/>
      <c r="K222" s="92"/>
      <c r="L222" s="92"/>
      <c r="M222" s="92"/>
      <c r="N222" s="92">
        <f t="shared" si="77"/>
        <v>2</v>
      </c>
      <c r="O222" s="92">
        <f t="shared" si="77"/>
        <v>4</v>
      </c>
    </row>
    <row r="223" spans="2:15">
      <c r="D223" s="109">
        <f t="shared" si="78"/>
        <v>2026</v>
      </c>
      <c r="E223" s="151">
        <v>120</v>
      </c>
      <c r="G223" s="126" t="s">
        <v>136</v>
      </c>
      <c r="I223" s="92"/>
      <c r="J223" s="92"/>
      <c r="K223" s="92"/>
      <c r="L223" s="92"/>
      <c r="M223" s="92"/>
      <c r="N223" s="92"/>
      <c r="O223" s="92">
        <f t="shared" si="77"/>
        <v>2</v>
      </c>
    </row>
    <row r="224" spans="2:15">
      <c r="G224" s="126"/>
      <c r="I224" s="92"/>
      <c r="J224" s="92"/>
      <c r="K224" s="92"/>
      <c r="L224" s="92"/>
      <c r="M224" s="92"/>
      <c r="N224" s="92"/>
      <c r="O224" s="92"/>
    </row>
    <row r="225" spans="2:15" s="127" customFormat="1" ht="14.4" thickBot="1">
      <c r="D225" s="127" t="s">
        <v>142</v>
      </c>
      <c r="G225" s="128" t="s">
        <v>136</v>
      </c>
      <c r="I225" s="96"/>
      <c r="J225" s="96"/>
      <c r="K225" s="94">
        <f>SUM(K216:K224)</f>
        <v>76.3</v>
      </c>
      <c r="L225" s="94">
        <f t="shared" ref="L225:O225" si="79">SUM(L216:L224)</f>
        <v>80.3</v>
      </c>
      <c r="M225" s="94">
        <f t="shared" si="79"/>
        <v>84.3</v>
      </c>
      <c r="N225" s="94">
        <f t="shared" si="79"/>
        <v>88.3</v>
      </c>
      <c r="O225" s="94">
        <f t="shared" si="79"/>
        <v>92.3</v>
      </c>
    </row>
    <row r="226" spans="2:15" ht="13.8" thickTop="1">
      <c r="B226" s="148"/>
      <c r="C226" s="148"/>
      <c r="D226" s="148"/>
      <c r="E226" s="148"/>
      <c r="F226" s="148"/>
      <c r="G226" s="149"/>
      <c r="H226" s="148"/>
      <c r="I226" s="98"/>
      <c r="J226" s="98"/>
      <c r="K226" s="98"/>
      <c r="L226" s="98"/>
      <c r="M226" s="98"/>
      <c r="N226" s="98"/>
      <c r="O226" s="98"/>
    </row>
    <row r="227" spans="2:15">
      <c r="G227" s="126"/>
      <c r="I227" s="92"/>
      <c r="J227" s="92"/>
      <c r="K227" s="92"/>
      <c r="L227" s="92"/>
      <c r="M227" s="92"/>
      <c r="N227" s="92"/>
      <c r="O227" s="92"/>
    </row>
    <row r="228" spans="2:15">
      <c r="B228" s="109" t="s">
        <v>143</v>
      </c>
      <c r="G228" s="126"/>
      <c r="I228" s="92"/>
      <c r="J228" s="92"/>
      <c r="K228" s="92"/>
      <c r="L228" s="92"/>
      <c r="M228" s="92"/>
      <c r="N228" s="92"/>
      <c r="O228" s="92"/>
    </row>
    <row r="229" spans="2:15">
      <c r="C229" s="109" t="s">
        <v>144</v>
      </c>
      <c r="G229" s="126"/>
      <c r="I229" s="92"/>
      <c r="J229" s="92"/>
      <c r="K229" s="92">
        <f>J232</f>
        <v>1857.1</v>
      </c>
      <c r="L229" s="92">
        <f t="shared" ref="L229:O229" si="80">K232</f>
        <v>1900.8</v>
      </c>
      <c r="M229" s="92">
        <f t="shared" si="80"/>
        <v>1940.5</v>
      </c>
      <c r="N229" s="92">
        <f t="shared" si="80"/>
        <v>1976.2</v>
      </c>
      <c r="O229" s="92">
        <f t="shared" si="80"/>
        <v>2007.9</v>
      </c>
    </row>
    <row r="230" spans="2:15">
      <c r="C230" s="109" t="s">
        <v>145</v>
      </c>
      <c r="G230" s="126"/>
      <c r="I230" s="92"/>
      <c r="J230" s="92"/>
      <c r="K230" s="243">
        <f>Inp!L55</f>
        <v>120</v>
      </c>
      <c r="L230" s="243">
        <f>Inp!M55</f>
        <v>120</v>
      </c>
      <c r="M230" s="243">
        <f>Inp!N55</f>
        <v>120</v>
      </c>
      <c r="N230" s="243">
        <f>Inp!O55</f>
        <v>120</v>
      </c>
      <c r="O230" s="243">
        <f>Inp!P55</f>
        <v>120</v>
      </c>
    </row>
    <row r="231" spans="2:15">
      <c r="C231" s="109" t="s">
        <v>147</v>
      </c>
      <c r="G231" s="126"/>
      <c r="I231" s="92"/>
      <c r="J231" s="92"/>
      <c r="K231" s="92">
        <f>-K225</f>
        <v>-76.3</v>
      </c>
      <c r="L231" s="92">
        <f t="shared" ref="L231:O231" si="81">-L225</f>
        <v>-80.3</v>
      </c>
      <c r="M231" s="92">
        <f t="shared" si="81"/>
        <v>-84.3</v>
      </c>
      <c r="N231" s="92">
        <f t="shared" si="81"/>
        <v>-88.3</v>
      </c>
      <c r="O231" s="92">
        <f t="shared" si="81"/>
        <v>-92.3</v>
      </c>
    </row>
    <row r="232" spans="2:15" ht="13.8" thickBot="1">
      <c r="C232" s="109" t="s">
        <v>146</v>
      </c>
      <c r="G232" s="126"/>
      <c r="I232" s="92"/>
      <c r="J232" s="94">
        <f>J169</f>
        <v>1857.1</v>
      </c>
      <c r="K232" s="94">
        <f>SUM(K229:K231)</f>
        <v>1900.8</v>
      </c>
      <c r="L232" s="94">
        <f t="shared" ref="L232:O232" si="82">SUM(L229:L231)</f>
        <v>1940.5</v>
      </c>
      <c r="M232" s="94">
        <f t="shared" si="82"/>
        <v>1976.2</v>
      </c>
      <c r="N232" s="94">
        <f t="shared" si="82"/>
        <v>2007.9</v>
      </c>
      <c r="O232" s="94">
        <f t="shared" si="82"/>
        <v>2035.6</v>
      </c>
    </row>
    <row r="233" spans="2:15" ht="13.8" thickTop="1">
      <c r="G233" s="126"/>
    </row>
    <row r="234" spans="2:15">
      <c r="B234" s="132"/>
      <c r="C234" s="132"/>
      <c r="D234" s="132"/>
      <c r="E234" s="132"/>
      <c r="F234" s="132"/>
      <c r="G234" s="147"/>
      <c r="H234" s="132"/>
      <c r="I234" s="132"/>
      <c r="J234" s="132"/>
      <c r="K234" s="132"/>
      <c r="L234" s="132"/>
      <c r="M234" s="132"/>
      <c r="N234" s="132"/>
      <c r="O234" s="132"/>
    </row>
    <row r="235" spans="2:15">
      <c r="G235" s="126"/>
    </row>
    <row r="236" spans="2:15">
      <c r="G236" s="126"/>
    </row>
    <row r="237" spans="2:15">
      <c r="O237" s="111" t="str">
        <f>UPPER("CURRENTLY USING: "&amp;CHOOSE(Scenarios!$E$12,Scenarios!$D$20,Scenarios!$D$21,Scenarios!$D$22)&amp;" CASE SCENARIO")</f>
        <v>CURRENTLY USING: WORSE CASE SCENARIO</v>
      </c>
    </row>
    <row r="238" spans="2:15" ht="34.799999999999997">
      <c r="B238" s="112" t="str">
        <f ca="1">$B$71</f>
        <v>McLAREN GROUP LTD</v>
      </c>
      <c r="C238" s="113"/>
      <c r="D238" s="113"/>
      <c r="E238" s="113"/>
      <c r="F238" s="113"/>
      <c r="G238" s="114"/>
      <c r="H238" s="113"/>
      <c r="I238" s="113"/>
      <c r="J238" s="113"/>
      <c r="K238" s="113"/>
      <c r="L238" s="113"/>
      <c r="M238" s="113"/>
      <c r="N238" s="113"/>
      <c r="O238" s="113"/>
    </row>
    <row r="239" spans="2:15" ht="18">
      <c r="B239" s="115" t="s">
        <v>148</v>
      </c>
      <c r="C239" s="113"/>
      <c r="D239" s="113"/>
      <c r="E239" s="113"/>
      <c r="F239" s="113"/>
      <c r="G239" s="114"/>
      <c r="H239" s="113"/>
      <c r="I239" s="113"/>
      <c r="J239" s="113"/>
      <c r="K239" s="113"/>
      <c r="L239" s="113"/>
      <c r="M239" s="113"/>
      <c r="N239" s="113"/>
      <c r="O239" s="113"/>
    </row>
    <row r="240" spans="2:15" ht="3" customHeight="1" thickBot="1">
      <c r="B240" s="116"/>
      <c r="C240" s="116"/>
      <c r="D240" s="116"/>
      <c r="E240" s="116"/>
      <c r="F240" s="116"/>
      <c r="G240" s="117"/>
      <c r="H240" s="116"/>
      <c r="I240" s="116"/>
      <c r="J240" s="116"/>
      <c r="K240" s="116"/>
      <c r="L240" s="116"/>
      <c r="M240" s="116"/>
      <c r="N240" s="116"/>
      <c r="O240" s="116"/>
    </row>
    <row r="241" spans="2:15">
      <c r="B241" s="118" t="s">
        <v>60</v>
      </c>
    </row>
    <row r="243" spans="2:15">
      <c r="K243" s="119" t="s">
        <v>76</v>
      </c>
      <c r="L243" s="120"/>
      <c r="M243" s="120"/>
      <c r="N243" s="120"/>
      <c r="O243" s="120"/>
    </row>
    <row r="244" spans="2:15" ht="13.8">
      <c r="G244" s="121" t="s">
        <v>135</v>
      </c>
      <c r="H244" s="244">
        <f>$H$77</f>
        <v>2019</v>
      </c>
      <c r="I244" s="244">
        <f>$I$77</f>
        <v>2020</v>
      </c>
      <c r="J244" s="244">
        <f>$J$77</f>
        <v>2021</v>
      </c>
      <c r="K244" s="244">
        <f>$K$77</f>
        <v>2022</v>
      </c>
      <c r="L244" s="244">
        <f>$L$77</f>
        <v>2023</v>
      </c>
      <c r="M244" s="244">
        <f>$M$77</f>
        <v>2024</v>
      </c>
      <c r="N244" s="244">
        <f>$N$77</f>
        <v>2025</v>
      </c>
      <c r="O244" s="244">
        <f>$O$77</f>
        <v>2026</v>
      </c>
    </row>
    <row r="246" spans="2:15">
      <c r="B246" s="182" t="s">
        <v>149</v>
      </c>
      <c r="C246" s="143"/>
      <c r="D246" s="201">
        <f>Inp!P8</f>
        <v>0.35</v>
      </c>
    </row>
    <row r="248" spans="2:15">
      <c r="C248" s="109" t="s">
        <v>150</v>
      </c>
      <c r="E248" s="127" t="s">
        <v>151</v>
      </c>
      <c r="K248" s="92">
        <f ca="1">K98</f>
        <v>133.80000000000001</v>
      </c>
      <c r="L248" s="92">
        <f ca="1">L98</f>
        <v>121.5</v>
      </c>
      <c r="M248" s="92">
        <f ca="1">M98</f>
        <v>112.9</v>
      </c>
      <c r="N248" s="92">
        <f ca="1">N98</f>
        <v>102.5</v>
      </c>
      <c r="O248" s="92">
        <f ca="1">O98</f>
        <v>91</v>
      </c>
    </row>
    <row r="249" spans="2:15">
      <c r="D249" s="109" t="s">
        <v>152</v>
      </c>
      <c r="K249" s="92">
        <f>Inp!L46</f>
        <v>60</v>
      </c>
      <c r="L249" s="92">
        <f>Inp!M46</f>
        <v>60</v>
      </c>
      <c r="M249" s="92">
        <f>Inp!N46</f>
        <v>60</v>
      </c>
      <c r="N249" s="92">
        <f>Inp!O46</f>
        <v>60</v>
      </c>
      <c r="O249" s="92">
        <f>Inp!P46</f>
        <v>60</v>
      </c>
    </row>
    <row r="250" spans="2:15">
      <c r="K250" s="92"/>
      <c r="L250" s="92"/>
      <c r="M250" s="92"/>
      <c r="N250" s="92"/>
      <c r="O250" s="92"/>
    </row>
    <row r="251" spans="2:15">
      <c r="C251" s="109" t="s">
        <v>154</v>
      </c>
      <c r="E251" s="127" t="s">
        <v>155</v>
      </c>
      <c r="K251" s="92">
        <f ca="1">K248-K249</f>
        <v>73.8</v>
      </c>
      <c r="L251" s="92">
        <f t="shared" ref="L251:O251" ca="1" si="83">L248-L249</f>
        <v>61.5</v>
      </c>
      <c r="M251" s="92">
        <f t="shared" ca="1" si="83"/>
        <v>52.9</v>
      </c>
      <c r="N251" s="92">
        <f t="shared" ca="1" si="83"/>
        <v>42.5</v>
      </c>
      <c r="O251" s="92">
        <f t="shared" ca="1" si="83"/>
        <v>31</v>
      </c>
    </row>
    <row r="252" spans="2:15">
      <c r="K252" s="92"/>
      <c r="L252" s="92"/>
      <c r="M252" s="92"/>
      <c r="N252" s="92"/>
      <c r="O252" s="92"/>
    </row>
    <row r="253" spans="2:15">
      <c r="D253" s="109" t="s">
        <v>159</v>
      </c>
      <c r="K253" s="92">
        <f ca="1">$D$246*K248</f>
        <v>46.8</v>
      </c>
      <c r="L253" s="92">
        <f t="shared" ref="L253:O253" ca="1" si="84">$D$246*L248</f>
        <v>42.5</v>
      </c>
      <c r="M253" s="92">
        <f t="shared" ca="1" si="84"/>
        <v>39.5</v>
      </c>
      <c r="N253" s="92">
        <f t="shared" ca="1" si="84"/>
        <v>35.9</v>
      </c>
      <c r="O253" s="92">
        <f t="shared" ca="1" si="84"/>
        <v>31.9</v>
      </c>
    </row>
    <row r="254" spans="2:15">
      <c r="K254" s="92"/>
      <c r="L254" s="92"/>
      <c r="M254" s="92"/>
      <c r="N254" s="92"/>
      <c r="O254" s="92"/>
    </row>
    <row r="255" spans="2:15">
      <c r="B255" s="146" t="s">
        <v>156</v>
      </c>
      <c r="C255" s="132"/>
      <c r="D255" s="132"/>
      <c r="E255" s="132"/>
      <c r="F255" s="132"/>
      <c r="G255" s="134"/>
      <c r="H255" s="132"/>
      <c r="I255" s="132"/>
      <c r="J255" s="132"/>
      <c r="K255" s="93"/>
      <c r="L255" s="93"/>
      <c r="M255" s="93"/>
      <c r="N255" s="93"/>
      <c r="O255" s="245"/>
    </row>
    <row r="256" spans="2:15">
      <c r="B256" s="136"/>
      <c r="C256" s="123" t="s">
        <v>157</v>
      </c>
      <c r="D256" s="123"/>
      <c r="E256" s="123"/>
      <c r="F256" s="123"/>
      <c r="G256" s="158"/>
      <c r="H256" s="123"/>
      <c r="I256" s="123"/>
      <c r="J256" s="123"/>
      <c r="K256" s="106">
        <f ca="1">$D$246*K251</f>
        <v>25.8</v>
      </c>
      <c r="L256" s="106">
        <f t="shared" ref="L256:O256" ca="1" si="85">$D$246*L251</f>
        <v>21.5</v>
      </c>
      <c r="M256" s="106">
        <f t="shared" ca="1" si="85"/>
        <v>18.5</v>
      </c>
      <c r="N256" s="106">
        <f t="shared" ca="1" si="85"/>
        <v>14.9</v>
      </c>
      <c r="O256" s="246">
        <f t="shared" ca="1" si="85"/>
        <v>10.9</v>
      </c>
    </row>
    <row r="257" spans="2:15">
      <c r="B257" s="136"/>
      <c r="C257" s="123" t="s">
        <v>12</v>
      </c>
      <c r="D257" s="123"/>
      <c r="E257" s="123"/>
      <c r="F257" s="123"/>
      <c r="G257" s="158"/>
      <c r="H257" s="123"/>
      <c r="I257" s="123"/>
      <c r="J257" s="123"/>
      <c r="K257" s="106">
        <f ca="1">K253-K256</f>
        <v>21</v>
      </c>
      <c r="L257" s="106">
        <f t="shared" ref="L257:O257" ca="1" si="86">L253-L256</f>
        <v>21</v>
      </c>
      <c r="M257" s="106">
        <f t="shared" ca="1" si="86"/>
        <v>21</v>
      </c>
      <c r="N257" s="106">
        <f t="shared" ca="1" si="86"/>
        <v>21</v>
      </c>
      <c r="O257" s="246">
        <f t="shared" ca="1" si="86"/>
        <v>21</v>
      </c>
    </row>
    <row r="258" spans="2:15" s="127" customFormat="1">
      <c r="B258" s="154"/>
      <c r="C258" s="140" t="s">
        <v>158</v>
      </c>
      <c r="D258" s="140"/>
      <c r="E258" s="140"/>
      <c r="F258" s="140"/>
      <c r="G258" s="183"/>
      <c r="H258" s="140"/>
      <c r="I258" s="140"/>
      <c r="J258" s="140"/>
      <c r="K258" s="220">
        <f ca="1">K256+K257</f>
        <v>46.8</v>
      </c>
      <c r="L258" s="220">
        <f t="shared" ref="L258:O258" ca="1" si="87">L256+L257</f>
        <v>42.5</v>
      </c>
      <c r="M258" s="220">
        <f t="shared" ca="1" si="87"/>
        <v>39.5</v>
      </c>
      <c r="N258" s="220">
        <f t="shared" ca="1" si="87"/>
        <v>35.9</v>
      </c>
      <c r="O258" s="247">
        <f t="shared" ca="1" si="87"/>
        <v>31.9</v>
      </c>
    </row>
    <row r="259" spans="2:15">
      <c r="B259" s="143"/>
      <c r="C259" s="143"/>
      <c r="D259" s="143"/>
      <c r="E259" s="143"/>
      <c r="F259" s="143"/>
      <c r="G259" s="145"/>
      <c r="H259" s="143"/>
      <c r="I259" s="143"/>
      <c r="J259" s="143"/>
      <c r="K259" s="143"/>
      <c r="L259" s="143"/>
      <c r="M259" s="143"/>
      <c r="N259" s="143"/>
      <c r="O259" s="143"/>
    </row>
    <row r="263" spans="2:15">
      <c r="O263" s="111" t="str">
        <f>UPPER("CURRENTLY USING: "&amp;CHOOSE(Scenarios!$E$12,Scenarios!$D$20,Scenarios!$D$21,Scenarios!$D$22)&amp;" CASE SCENARIO")</f>
        <v>CURRENTLY USING: WORSE CASE SCENARIO</v>
      </c>
    </row>
    <row r="264" spans="2:15" ht="34.799999999999997">
      <c r="B264" s="112" t="str">
        <f ca="1">$B$71</f>
        <v>McLAREN GROUP LTD</v>
      </c>
      <c r="C264" s="113"/>
      <c r="D264" s="113"/>
      <c r="E264" s="113"/>
      <c r="F264" s="113"/>
      <c r="G264" s="114"/>
      <c r="H264" s="113"/>
      <c r="I264" s="113"/>
      <c r="J264" s="113"/>
      <c r="K264" s="113"/>
      <c r="L264" s="113"/>
      <c r="M264" s="113"/>
      <c r="N264" s="113"/>
      <c r="O264" s="113"/>
    </row>
    <row r="265" spans="2:15" ht="18">
      <c r="B265" s="115" t="s">
        <v>160</v>
      </c>
      <c r="C265" s="113"/>
      <c r="D265" s="113"/>
      <c r="E265" s="113"/>
      <c r="F265" s="113"/>
      <c r="G265" s="114"/>
      <c r="H265" s="113"/>
      <c r="I265" s="113"/>
      <c r="J265" s="113"/>
      <c r="K265" s="113"/>
      <c r="L265" s="113"/>
      <c r="M265" s="113"/>
      <c r="N265" s="113"/>
      <c r="O265" s="113"/>
    </row>
    <row r="266" spans="2:15" ht="3" customHeight="1" thickBot="1">
      <c r="B266" s="116"/>
      <c r="C266" s="116"/>
      <c r="D266" s="116"/>
      <c r="E266" s="116"/>
      <c r="F266" s="116"/>
      <c r="G266" s="117"/>
      <c r="H266" s="116"/>
      <c r="I266" s="116"/>
      <c r="J266" s="116"/>
      <c r="K266" s="116"/>
      <c r="L266" s="116"/>
      <c r="M266" s="116"/>
      <c r="N266" s="116"/>
      <c r="O266" s="116"/>
    </row>
    <row r="267" spans="2:15">
      <c r="B267" s="118" t="s">
        <v>60</v>
      </c>
    </row>
    <row r="269" spans="2:15">
      <c r="K269" s="119" t="s">
        <v>76</v>
      </c>
      <c r="L269" s="120"/>
      <c r="M269" s="120"/>
      <c r="N269" s="120"/>
      <c r="O269" s="120"/>
    </row>
    <row r="270" spans="2:15" ht="13.8">
      <c r="G270" s="121" t="s">
        <v>135</v>
      </c>
      <c r="H270" s="203">
        <f>$H$77</f>
        <v>2019</v>
      </c>
      <c r="I270" s="203">
        <f>$I$77</f>
        <v>2020</v>
      </c>
      <c r="J270" s="203">
        <f>$J$77</f>
        <v>2021</v>
      </c>
      <c r="K270" s="203">
        <f>$K$77</f>
        <v>2022</v>
      </c>
      <c r="L270" s="203">
        <f>$L$77</f>
        <v>2023</v>
      </c>
      <c r="M270" s="203">
        <f>$M$77</f>
        <v>2024</v>
      </c>
      <c r="N270" s="203">
        <f>$N$77</f>
        <v>2025</v>
      </c>
      <c r="O270" s="203">
        <f>$O$77</f>
        <v>2026</v>
      </c>
    </row>
    <row r="272" spans="2:15">
      <c r="B272" s="182" t="s">
        <v>161</v>
      </c>
      <c r="C272" s="143"/>
      <c r="D272" s="143"/>
      <c r="E272" s="143"/>
      <c r="F272" s="143"/>
      <c r="G272" s="157" t="s">
        <v>162</v>
      </c>
      <c r="H272" s="143"/>
      <c r="I272" s="221">
        <f>DATE(I270,12,31)-DATE(H270,12,31)</f>
        <v>366</v>
      </c>
      <c r="J272" s="221">
        <f t="shared" ref="J272:O272" si="88">DATE(J270,12,31)-DATE(I270,12,31)</f>
        <v>365</v>
      </c>
      <c r="K272" s="221">
        <f t="shared" si="88"/>
        <v>365</v>
      </c>
      <c r="L272" s="221">
        <f t="shared" si="88"/>
        <v>365</v>
      </c>
      <c r="M272" s="221">
        <f t="shared" si="88"/>
        <v>366</v>
      </c>
      <c r="N272" s="221">
        <f t="shared" si="88"/>
        <v>365</v>
      </c>
      <c r="O272" s="222">
        <f t="shared" si="88"/>
        <v>365</v>
      </c>
    </row>
    <row r="273" spans="2:15">
      <c r="G273" s="126"/>
      <c r="I273" s="67"/>
      <c r="J273" s="67"/>
      <c r="K273" s="67"/>
      <c r="L273" s="67"/>
      <c r="M273" s="67"/>
      <c r="N273" s="67"/>
      <c r="O273" s="67"/>
    </row>
    <row r="274" spans="2:15">
      <c r="G274" s="126"/>
      <c r="I274" s="67"/>
      <c r="J274" s="67"/>
      <c r="K274" s="67"/>
      <c r="L274" s="67"/>
      <c r="M274" s="67"/>
      <c r="N274" s="67"/>
      <c r="O274" s="67"/>
    </row>
    <row r="275" spans="2:15">
      <c r="B275" s="146" t="str">
        <f>C84</f>
        <v>Revenue</v>
      </c>
      <c r="C275" s="132"/>
      <c r="D275" s="132"/>
      <c r="E275" s="132"/>
      <c r="F275" s="132"/>
      <c r="G275" s="134"/>
      <c r="H275" s="132"/>
      <c r="I275" s="70">
        <f t="shared" ref="I275:O275" si="89">I84</f>
        <v>550.79999999999995</v>
      </c>
      <c r="J275" s="70">
        <f t="shared" si="89"/>
        <v>572.70000000000005</v>
      </c>
      <c r="K275" s="70">
        <f t="shared" si="89"/>
        <v>563.9</v>
      </c>
      <c r="L275" s="70">
        <f t="shared" si="89"/>
        <v>554.79999999999995</v>
      </c>
      <c r="M275" s="70">
        <f t="shared" si="89"/>
        <v>552.79999999999995</v>
      </c>
      <c r="N275" s="70">
        <f t="shared" si="89"/>
        <v>550.70000000000005</v>
      </c>
      <c r="O275" s="223">
        <f t="shared" si="89"/>
        <v>548.70000000000005</v>
      </c>
    </row>
    <row r="276" spans="2:15">
      <c r="B276" s="139" t="str">
        <f>C86</f>
        <v>Operating Costs</v>
      </c>
      <c r="C276" s="148"/>
      <c r="D276" s="148"/>
      <c r="E276" s="148"/>
      <c r="F276" s="148"/>
      <c r="G276" s="172"/>
      <c r="H276" s="148"/>
      <c r="I276" s="68">
        <f t="shared" ref="I276:O276" si="90">I86</f>
        <v>240.7</v>
      </c>
      <c r="J276" s="68">
        <f t="shared" si="90"/>
        <v>249.9</v>
      </c>
      <c r="K276" s="68">
        <f t="shared" si="90"/>
        <v>252.2</v>
      </c>
      <c r="L276" s="68">
        <f t="shared" si="90"/>
        <v>254.3</v>
      </c>
      <c r="M276" s="68">
        <f t="shared" si="90"/>
        <v>259.10000000000002</v>
      </c>
      <c r="N276" s="68">
        <f t="shared" si="90"/>
        <v>264.10000000000002</v>
      </c>
      <c r="O276" s="224">
        <f t="shared" si="90"/>
        <v>269.10000000000002</v>
      </c>
    </row>
    <row r="277" spans="2:15">
      <c r="G277" s="126"/>
      <c r="I277" s="67"/>
      <c r="J277" s="67"/>
      <c r="K277" s="67"/>
      <c r="L277" s="67"/>
      <c r="M277" s="67"/>
      <c r="N277" s="67"/>
      <c r="O277" s="67"/>
    </row>
    <row r="278" spans="2:15">
      <c r="G278" s="126"/>
      <c r="I278" s="67"/>
      <c r="J278" s="67"/>
      <c r="K278" s="67"/>
      <c r="L278" s="67"/>
      <c r="M278" s="67"/>
      <c r="N278" s="67"/>
      <c r="O278" s="67"/>
    </row>
    <row r="279" spans="2:15">
      <c r="B279" s="109" t="s">
        <v>163</v>
      </c>
      <c r="G279" s="126"/>
      <c r="I279" s="67"/>
      <c r="J279" s="67"/>
      <c r="K279" s="67"/>
      <c r="L279" s="67"/>
      <c r="M279" s="67"/>
      <c r="N279" s="67"/>
      <c r="O279" s="67"/>
    </row>
    <row r="280" spans="2:15">
      <c r="C280" s="109" t="str">
        <f>C164</f>
        <v>Accounts Receivable</v>
      </c>
      <c r="G280" s="126"/>
      <c r="I280" s="67">
        <f>I$287*I272/I275</f>
        <v>194.5</v>
      </c>
      <c r="J280" s="67">
        <f>J$287*J272/J275</f>
        <v>233.7</v>
      </c>
      <c r="K280" s="225">
        <f>Inp!L59</f>
        <v>214.1</v>
      </c>
      <c r="L280" s="225">
        <f>Inp!M59</f>
        <v>214.1</v>
      </c>
      <c r="M280" s="225">
        <f>Inp!N59</f>
        <v>214.1</v>
      </c>
      <c r="N280" s="225">
        <f>Inp!O59</f>
        <v>214.1</v>
      </c>
      <c r="O280" s="225">
        <f>Inp!P59</f>
        <v>214.1</v>
      </c>
    </row>
    <row r="281" spans="2:15">
      <c r="C281" s="109" t="str">
        <f>C165</f>
        <v>Inventory</v>
      </c>
      <c r="G281" s="126"/>
      <c r="I281" s="67">
        <f>$I288*I$272/I$276</f>
        <v>75</v>
      </c>
      <c r="J281" s="67">
        <f>$I288*J$272/J$276</f>
        <v>72</v>
      </c>
      <c r="K281" s="225">
        <f>Inp!L60</f>
        <v>73.5</v>
      </c>
      <c r="L281" s="225">
        <f>Inp!M60</f>
        <v>73.5</v>
      </c>
      <c r="M281" s="225">
        <f>Inp!N60</f>
        <v>73.5</v>
      </c>
      <c r="N281" s="225">
        <f>Inp!O60</f>
        <v>73.5</v>
      </c>
      <c r="O281" s="225">
        <f>Inp!P60</f>
        <v>73.5</v>
      </c>
    </row>
    <row r="282" spans="2:15">
      <c r="C282" s="109" t="str">
        <f>C166</f>
        <v>Other</v>
      </c>
      <c r="G282" s="126"/>
      <c r="I282" s="67">
        <f>$I289*I$272/I$276</f>
        <v>7.1</v>
      </c>
      <c r="J282" s="67">
        <f>$I289*J$272/J$276</f>
        <v>6.9</v>
      </c>
      <c r="K282" s="225">
        <f>Inp!L61</f>
        <v>7</v>
      </c>
      <c r="L282" s="225">
        <f>Inp!M61</f>
        <v>7</v>
      </c>
      <c r="M282" s="225">
        <f>Inp!N61</f>
        <v>7</v>
      </c>
      <c r="N282" s="225">
        <f>Inp!O61</f>
        <v>7</v>
      </c>
      <c r="O282" s="225">
        <f>Inp!P61</f>
        <v>7</v>
      </c>
    </row>
    <row r="283" spans="2:15">
      <c r="C283" s="109" t="str">
        <f>C180</f>
        <v>Accounts Payable</v>
      </c>
      <c r="G283" s="126"/>
      <c r="I283" s="67">
        <f t="shared" ref="I283:J284" si="91">$I290*I$272/I$276</f>
        <v>41.5</v>
      </c>
      <c r="J283" s="67">
        <f t="shared" si="91"/>
        <v>39.9</v>
      </c>
      <c r="K283" s="225">
        <f>Inp!L62</f>
        <v>40.700000000000003</v>
      </c>
      <c r="L283" s="225">
        <f>Inp!M62</f>
        <v>40.700000000000003</v>
      </c>
      <c r="M283" s="225">
        <f>Inp!N62</f>
        <v>40.700000000000003</v>
      </c>
      <c r="N283" s="225">
        <f>Inp!O62</f>
        <v>40.700000000000003</v>
      </c>
      <c r="O283" s="225">
        <f>Inp!P62</f>
        <v>40.700000000000003</v>
      </c>
    </row>
    <row r="284" spans="2:15">
      <c r="C284" s="109" t="str">
        <f>C181</f>
        <v>Other</v>
      </c>
      <c r="G284" s="126"/>
      <c r="I284" s="67">
        <f t="shared" si="91"/>
        <v>7</v>
      </c>
      <c r="J284" s="67">
        <f t="shared" si="91"/>
        <v>6.7</v>
      </c>
      <c r="K284" s="225">
        <f>Inp!L63</f>
        <v>6.9</v>
      </c>
      <c r="L284" s="225">
        <f>Inp!M63</f>
        <v>6.9</v>
      </c>
      <c r="M284" s="225">
        <f>Inp!N63</f>
        <v>6.9</v>
      </c>
      <c r="N284" s="225">
        <f>Inp!O63</f>
        <v>6.9</v>
      </c>
      <c r="O284" s="225">
        <f>Inp!P63</f>
        <v>6.9</v>
      </c>
    </row>
    <row r="285" spans="2:15">
      <c r="G285" s="126"/>
      <c r="I285" s="67"/>
      <c r="J285" s="67"/>
      <c r="K285" s="67"/>
      <c r="L285" s="67"/>
      <c r="M285" s="67"/>
      <c r="N285" s="67"/>
      <c r="O285" s="67"/>
    </row>
    <row r="286" spans="2:15">
      <c r="B286" s="109" t="s">
        <v>164</v>
      </c>
      <c r="G286" s="126"/>
      <c r="I286" s="67"/>
      <c r="J286" s="67"/>
      <c r="K286" s="67"/>
      <c r="L286" s="67"/>
      <c r="M286" s="67"/>
      <c r="N286" s="67"/>
      <c r="O286" s="67"/>
    </row>
    <row r="287" spans="2:15">
      <c r="C287" s="109" t="str">
        <f>C280</f>
        <v>Accounts Receivable</v>
      </c>
      <c r="I287" s="225">
        <f t="shared" ref="I287:J289" si="92">I164</f>
        <v>292.7</v>
      </c>
      <c r="J287" s="225">
        <f t="shared" si="92"/>
        <v>366.7</v>
      </c>
      <c r="K287" s="67">
        <f>K280*K$275/K$272</f>
        <v>330.8</v>
      </c>
      <c r="L287" s="67">
        <f t="shared" ref="L287:O287" si="93">L280*L$275/L$272</f>
        <v>325.39999999999998</v>
      </c>
      <c r="M287" s="67">
        <f t="shared" si="93"/>
        <v>323.39999999999998</v>
      </c>
      <c r="N287" s="67">
        <f t="shared" si="93"/>
        <v>323</v>
      </c>
      <c r="O287" s="67">
        <f t="shared" si="93"/>
        <v>321.89999999999998</v>
      </c>
    </row>
    <row r="288" spans="2:15">
      <c r="C288" s="109" t="str">
        <f t="shared" ref="C288:C291" si="94">C281</f>
        <v>Inventory</v>
      </c>
      <c r="I288" s="225">
        <f t="shared" si="92"/>
        <v>49.3</v>
      </c>
      <c r="J288" s="225">
        <f t="shared" si="92"/>
        <v>43.5</v>
      </c>
      <c r="K288" s="67">
        <f>K281*K$276/K$272</f>
        <v>50.8</v>
      </c>
      <c r="L288" s="67">
        <f t="shared" ref="L288:O288" si="95">L281*L$276/L$272</f>
        <v>51.2</v>
      </c>
      <c r="M288" s="67">
        <f t="shared" si="95"/>
        <v>52</v>
      </c>
      <c r="N288" s="67">
        <f t="shared" si="95"/>
        <v>53.2</v>
      </c>
      <c r="O288" s="67">
        <f t="shared" si="95"/>
        <v>54.2</v>
      </c>
    </row>
    <row r="289" spans="2:15">
      <c r="C289" s="109" t="str">
        <f t="shared" si="94"/>
        <v>Other</v>
      </c>
      <c r="I289" s="225">
        <f t="shared" si="92"/>
        <v>4.7</v>
      </c>
      <c r="J289" s="225">
        <f t="shared" si="92"/>
        <v>5.3</v>
      </c>
      <c r="K289" s="67">
        <f t="shared" ref="K289:O289" si="96">K282*K$276/K$272</f>
        <v>4.8</v>
      </c>
      <c r="L289" s="67">
        <f t="shared" si="96"/>
        <v>4.9000000000000004</v>
      </c>
      <c r="M289" s="67">
        <f t="shared" si="96"/>
        <v>5</v>
      </c>
      <c r="N289" s="67">
        <f t="shared" si="96"/>
        <v>5.0999999999999996</v>
      </c>
      <c r="O289" s="67">
        <f t="shared" si="96"/>
        <v>5.2</v>
      </c>
    </row>
    <row r="290" spans="2:15">
      <c r="C290" s="109" t="str">
        <f t="shared" si="94"/>
        <v>Accounts Payable</v>
      </c>
      <c r="I290" s="225">
        <f>I180</f>
        <v>27.3</v>
      </c>
      <c r="J290" s="225">
        <f>J180</f>
        <v>31</v>
      </c>
      <c r="K290" s="67">
        <f t="shared" ref="K290:N290" si="97">K283*K$276/K$272</f>
        <v>28.1</v>
      </c>
      <c r="L290" s="67">
        <f t="shared" si="97"/>
        <v>28.4</v>
      </c>
      <c r="M290" s="67">
        <f t="shared" si="97"/>
        <v>28.8</v>
      </c>
      <c r="N290" s="67">
        <f t="shared" si="97"/>
        <v>29.4</v>
      </c>
      <c r="O290" s="67">
        <f>O283*O$276/O$272</f>
        <v>30</v>
      </c>
    </row>
    <row r="291" spans="2:15">
      <c r="C291" s="109" t="str">
        <f t="shared" si="94"/>
        <v>Other</v>
      </c>
      <c r="I291" s="225">
        <f>I181</f>
        <v>4.5999999999999996</v>
      </c>
      <c r="J291" s="225">
        <f>J181</f>
        <v>4.9000000000000004</v>
      </c>
      <c r="K291" s="67">
        <f>K284*K$276/K$272</f>
        <v>4.8</v>
      </c>
      <c r="L291" s="67">
        <f t="shared" ref="L291:N291" si="98">L284*L$276/L$272</f>
        <v>4.8</v>
      </c>
      <c r="M291" s="67">
        <f t="shared" si="98"/>
        <v>4.9000000000000004</v>
      </c>
      <c r="N291" s="67">
        <f t="shared" si="98"/>
        <v>5</v>
      </c>
      <c r="O291" s="67">
        <f>O284*O$276/O$272</f>
        <v>5.0999999999999996</v>
      </c>
    </row>
    <row r="292" spans="2:15" s="127" customFormat="1" ht="13.8">
      <c r="B292" s="127" t="s">
        <v>166</v>
      </c>
      <c r="G292" s="128"/>
      <c r="I292" s="226">
        <f>SUM(I287:I289)-SUM(I290:I291)</f>
        <v>314.8</v>
      </c>
      <c r="J292" s="226">
        <f t="shared" ref="J292:O292" si="99">SUM(J287:J289)-SUM(J290:J291)</f>
        <v>379.6</v>
      </c>
      <c r="K292" s="226">
        <f t="shared" si="99"/>
        <v>353.5</v>
      </c>
      <c r="L292" s="226">
        <f t="shared" si="99"/>
        <v>348.3</v>
      </c>
      <c r="M292" s="226">
        <f t="shared" si="99"/>
        <v>346.7</v>
      </c>
      <c r="N292" s="226">
        <f t="shared" si="99"/>
        <v>346.9</v>
      </c>
      <c r="O292" s="226">
        <f t="shared" si="99"/>
        <v>346.2</v>
      </c>
    </row>
    <row r="293" spans="2:15">
      <c r="G293" s="126"/>
      <c r="I293" s="67"/>
      <c r="J293" s="67"/>
      <c r="K293" s="67"/>
      <c r="L293" s="67"/>
      <c r="M293" s="67"/>
      <c r="N293" s="67"/>
      <c r="O293" s="67"/>
    </row>
    <row r="294" spans="2:15" s="127" customFormat="1" ht="13.8">
      <c r="B294" s="127" t="s">
        <v>167</v>
      </c>
      <c r="G294" s="128"/>
      <c r="I294" s="226"/>
      <c r="J294" s="226">
        <f>I292-J292</f>
        <v>-64.8</v>
      </c>
      <c r="K294" s="226">
        <f t="shared" ref="K294:O294" si="100">J292-K292</f>
        <v>26.1</v>
      </c>
      <c r="L294" s="226">
        <f t="shared" si="100"/>
        <v>5.2</v>
      </c>
      <c r="M294" s="226">
        <f t="shared" si="100"/>
        <v>1.6</v>
      </c>
      <c r="N294" s="226">
        <f t="shared" si="100"/>
        <v>-0.2</v>
      </c>
      <c r="O294" s="226">
        <f t="shared" si="100"/>
        <v>0.7</v>
      </c>
    </row>
    <row r="295" spans="2:15">
      <c r="B295" s="148"/>
      <c r="C295" s="148"/>
      <c r="D295" s="148"/>
      <c r="E295" s="148"/>
      <c r="F295" s="148"/>
      <c r="G295" s="149"/>
      <c r="H295" s="148"/>
      <c r="I295" s="148"/>
      <c r="J295" s="148"/>
      <c r="K295" s="148"/>
      <c r="L295" s="148"/>
      <c r="M295" s="148"/>
      <c r="N295" s="148"/>
      <c r="O295" s="148"/>
    </row>
    <row r="296" spans="2:15">
      <c r="G296" s="126"/>
    </row>
    <row r="297" spans="2:15">
      <c r="G297" s="126"/>
    </row>
    <row r="298" spans="2:15">
      <c r="G298" s="126"/>
    </row>
    <row r="299" spans="2:15">
      <c r="O299" s="111" t="str">
        <f>UPPER("CURRENTLY USING: "&amp;CHOOSE(Scenarios!$E$12,Scenarios!$D$20,Scenarios!$D$21,Scenarios!$D$22)&amp;" CASE SCENARIO")</f>
        <v>CURRENTLY USING: WORSE CASE SCENARIO</v>
      </c>
    </row>
    <row r="300" spans="2:15" ht="34.799999999999997">
      <c r="B300" s="112" t="str">
        <f ca="1">$B$71</f>
        <v>McLAREN GROUP LTD</v>
      </c>
      <c r="C300" s="113"/>
      <c r="D300" s="113"/>
      <c r="E300" s="113"/>
      <c r="F300" s="113"/>
      <c r="G300" s="114"/>
      <c r="H300" s="113"/>
      <c r="I300" s="113"/>
      <c r="J300" s="113"/>
      <c r="K300" s="113"/>
      <c r="L300" s="113"/>
      <c r="M300" s="113"/>
      <c r="N300" s="113"/>
      <c r="O300" s="113"/>
    </row>
    <row r="301" spans="2:15" ht="18">
      <c r="B301" s="115" t="s">
        <v>168</v>
      </c>
      <c r="C301" s="113"/>
      <c r="D301" s="113"/>
      <c r="E301" s="113"/>
      <c r="F301" s="113"/>
      <c r="G301" s="114"/>
      <c r="H301" s="113"/>
      <c r="I301" s="113"/>
      <c r="J301" s="113"/>
      <c r="K301" s="113"/>
      <c r="L301" s="113"/>
      <c r="M301" s="113"/>
      <c r="N301" s="113"/>
      <c r="O301" s="113"/>
    </row>
    <row r="302" spans="2:15" ht="3" customHeight="1" thickBot="1">
      <c r="B302" s="116"/>
      <c r="C302" s="116"/>
      <c r="D302" s="116"/>
      <c r="E302" s="116"/>
      <c r="F302" s="116"/>
      <c r="G302" s="117"/>
      <c r="H302" s="116"/>
      <c r="I302" s="116"/>
      <c r="J302" s="116"/>
      <c r="K302" s="116"/>
      <c r="L302" s="116"/>
      <c r="M302" s="116"/>
      <c r="N302" s="116"/>
      <c r="O302" s="116"/>
    </row>
    <row r="303" spans="2:15">
      <c r="B303" s="118" t="s">
        <v>60</v>
      </c>
    </row>
    <row r="305" spans="2:15">
      <c r="K305" s="119" t="s">
        <v>76</v>
      </c>
      <c r="L305" s="120"/>
      <c r="M305" s="120"/>
      <c r="N305" s="120"/>
      <c r="O305" s="120"/>
    </row>
    <row r="306" spans="2:15" ht="13.8">
      <c r="G306" s="121" t="s">
        <v>135</v>
      </c>
      <c r="H306" s="203">
        <f>$H$77</f>
        <v>2019</v>
      </c>
      <c r="I306" s="203">
        <f>$I$77</f>
        <v>2020</v>
      </c>
      <c r="J306" s="203">
        <f>$J$77</f>
        <v>2021</v>
      </c>
      <c r="K306" s="203">
        <f>$K$77</f>
        <v>2022</v>
      </c>
      <c r="L306" s="203">
        <f>$L$77</f>
        <v>2023</v>
      </c>
      <c r="M306" s="203">
        <f>$M$77</f>
        <v>2024</v>
      </c>
      <c r="N306" s="203">
        <f>$N$77</f>
        <v>2025</v>
      </c>
      <c r="O306" s="203">
        <f>$O$77</f>
        <v>2026</v>
      </c>
    </row>
    <row r="309" spans="2:15">
      <c r="B309" s="184" t="s">
        <v>170</v>
      </c>
      <c r="C309" s="132"/>
      <c r="D309" s="132"/>
      <c r="E309" s="132"/>
      <c r="F309" s="132"/>
      <c r="G309" s="134"/>
      <c r="H309" s="132"/>
      <c r="I309" s="132"/>
      <c r="J309" s="189"/>
      <c r="K309" s="189"/>
      <c r="L309" s="189"/>
      <c r="M309" s="189"/>
      <c r="N309" s="189"/>
      <c r="O309" s="190"/>
    </row>
    <row r="310" spans="2:15">
      <c r="B310" s="136"/>
      <c r="C310" s="123" t="str">
        <f>Inp!L12</f>
        <v>Interest of Fixed rate term debt</v>
      </c>
      <c r="D310" s="123"/>
      <c r="E310" s="123"/>
      <c r="F310" s="123"/>
      <c r="G310" s="158"/>
      <c r="H310" s="123"/>
      <c r="I310" s="123"/>
      <c r="J310" s="191"/>
      <c r="K310" s="185">
        <f>Inp!P12</f>
        <v>4.4999999999999998E-2</v>
      </c>
      <c r="L310" s="191">
        <f>K310</f>
        <v>4.4999999999999998E-2</v>
      </c>
      <c r="M310" s="191">
        <f t="shared" ref="M310:O310" si="101">L310</f>
        <v>4.4999999999999998E-2</v>
      </c>
      <c r="N310" s="191">
        <f t="shared" si="101"/>
        <v>4.4999999999999998E-2</v>
      </c>
      <c r="O310" s="192">
        <f t="shared" si="101"/>
        <v>4.4999999999999998E-2</v>
      </c>
    </row>
    <row r="311" spans="2:15">
      <c r="B311" s="136"/>
      <c r="C311" s="123" t="str">
        <f>Inp!L13</f>
        <v>Interest rate on Revolver</v>
      </c>
      <c r="D311" s="123"/>
      <c r="E311" s="123"/>
      <c r="F311" s="123"/>
      <c r="G311" s="158"/>
      <c r="H311" s="123"/>
      <c r="I311" s="123"/>
      <c r="J311" s="191"/>
      <c r="K311" s="185">
        <f>Inp!P13</f>
        <v>4.4999999999999998E-2</v>
      </c>
      <c r="L311" s="191">
        <f t="shared" ref="L311:O316" si="102">K311</f>
        <v>4.4999999999999998E-2</v>
      </c>
      <c r="M311" s="191">
        <f t="shared" si="102"/>
        <v>4.4999999999999998E-2</v>
      </c>
      <c r="N311" s="191">
        <f t="shared" si="102"/>
        <v>4.4999999999999998E-2</v>
      </c>
      <c r="O311" s="192">
        <f t="shared" si="102"/>
        <v>4.4999999999999998E-2</v>
      </c>
    </row>
    <row r="312" spans="2:15">
      <c r="B312" s="136"/>
      <c r="C312" s="123" t="str">
        <f>Inp!L16</f>
        <v>Interest rate in Excess Cash</v>
      </c>
      <c r="D312" s="123"/>
      <c r="E312" s="123"/>
      <c r="F312" s="123"/>
      <c r="G312" s="158"/>
      <c r="H312" s="123"/>
      <c r="I312" s="123"/>
      <c r="J312" s="191"/>
      <c r="K312" s="185">
        <f>Inp!P16</f>
        <v>3.0000000000000001E-3</v>
      </c>
      <c r="L312" s="191">
        <f t="shared" si="102"/>
        <v>3.0000000000000001E-3</v>
      </c>
      <c r="M312" s="191">
        <f t="shared" si="102"/>
        <v>3.0000000000000001E-3</v>
      </c>
      <c r="N312" s="191">
        <f t="shared" si="102"/>
        <v>3.0000000000000001E-3</v>
      </c>
      <c r="O312" s="192">
        <f t="shared" si="102"/>
        <v>3.0000000000000001E-3</v>
      </c>
    </row>
    <row r="313" spans="2:15">
      <c r="B313" s="136"/>
      <c r="C313" s="123"/>
      <c r="D313" s="123"/>
      <c r="E313" s="123"/>
      <c r="F313" s="123"/>
      <c r="G313" s="158"/>
      <c r="H313" s="123"/>
      <c r="I313" s="123"/>
      <c r="J313" s="191"/>
      <c r="K313" s="185"/>
      <c r="L313" s="191"/>
      <c r="M313" s="191"/>
      <c r="N313" s="191"/>
      <c r="O313" s="192"/>
    </row>
    <row r="314" spans="2:15">
      <c r="B314" s="136"/>
      <c r="C314" s="123" t="str">
        <f>Inp!L14</f>
        <v>LIBOR rate</v>
      </c>
      <c r="D314" s="123"/>
      <c r="E314" s="123"/>
      <c r="F314" s="123"/>
      <c r="G314" s="158"/>
      <c r="H314" s="123"/>
      <c r="I314" s="123"/>
      <c r="J314" s="191"/>
      <c r="K314" s="185">
        <f>Inp!P14</f>
        <v>1.0999999999999999E-2</v>
      </c>
      <c r="L314" s="191">
        <f t="shared" si="102"/>
        <v>1.0999999999999999E-2</v>
      </c>
      <c r="M314" s="191">
        <f t="shared" si="102"/>
        <v>1.0999999999999999E-2</v>
      </c>
      <c r="N314" s="191">
        <f t="shared" si="102"/>
        <v>1.0999999999999999E-2</v>
      </c>
      <c r="O314" s="192">
        <f t="shared" si="102"/>
        <v>1.0999999999999999E-2</v>
      </c>
    </row>
    <row r="315" spans="2:15">
      <c r="B315" s="136"/>
      <c r="C315" s="123" t="str">
        <f>Inp!L15</f>
        <v>Premium on Variable rate term debt</v>
      </c>
      <c r="D315" s="123"/>
      <c r="E315" s="123"/>
      <c r="F315" s="123"/>
      <c r="G315" s="158"/>
      <c r="H315" s="123"/>
      <c r="I315" s="123"/>
      <c r="J315" s="191"/>
      <c r="K315" s="185">
        <f>Inp!P15</f>
        <v>2.3E-2</v>
      </c>
      <c r="L315" s="191">
        <f t="shared" si="102"/>
        <v>2.3E-2</v>
      </c>
      <c r="M315" s="191">
        <f t="shared" si="102"/>
        <v>2.3E-2</v>
      </c>
      <c r="N315" s="191">
        <f t="shared" si="102"/>
        <v>2.3E-2</v>
      </c>
      <c r="O315" s="192">
        <f t="shared" si="102"/>
        <v>2.3E-2</v>
      </c>
    </row>
    <row r="316" spans="2:15">
      <c r="B316" s="139"/>
      <c r="C316" s="140" t="s">
        <v>171</v>
      </c>
      <c r="D316" s="148"/>
      <c r="E316" s="148"/>
      <c r="F316" s="148"/>
      <c r="G316" s="172"/>
      <c r="H316" s="148"/>
      <c r="I316" s="148"/>
      <c r="J316" s="193"/>
      <c r="K316" s="186">
        <f>K314+K315</f>
        <v>3.4000000000000002E-2</v>
      </c>
      <c r="L316" s="193">
        <f t="shared" si="102"/>
        <v>3.4000000000000002E-2</v>
      </c>
      <c r="M316" s="193">
        <f t="shared" si="102"/>
        <v>3.4000000000000002E-2</v>
      </c>
      <c r="N316" s="193">
        <f t="shared" si="102"/>
        <v>3.4000000000000002E-2</v>
      </c>
      <c r="O316" s="194">
        <f t="shared" si="102"/>
        <v>3.4000000000000002E-2</v>
      </c>
    </row>
    <row r="319" spans="2:15">
      <c r="C319" s="122" t="s">
        <v>192</v>
      </c>
    </row>
    <row r="320" spans="2:15">
      <c r="D320" s="109" t="s">
        <v>173</v>
      </c>
      <c r="J320" s="74"/>
      <c r="K320" s="74">
        <f>J322</f>
        <v>76.3</v>
      </c>
      <c r="L320" s="74">
        <f t="shared" ref="L320:O320" ca="1" si="103">K322</f>
        <v>105.9</v>
      </c>
      <c r="M320" s="74">
        <f t="shared" ca="1" si="103"/>
        <v>43.9</v>
      </c>
      <c r="N320" s="74">
        <f t="shared" ca="1" si="103"/>
        <v>0</v>
      </c>
      <c r="O320" s="74">
        <f t="shared" ca="1" si="103"/>
        <v>0</v>
      </c>
    </row>
    <row r="321" spans="3:15">
      <c r="D321" s="109" t="s">
        <v>193</v>
      </c>
      <c r="J321" s="74"/>
      <c r="K321" s="74">
        <f ca="1">K148</f>
        <v>29.6</v>
      </c>
      <c r="L321" s="74">
        <f ca="1">L148</f>
        <v>-62</v>
      </c>
      <c r="M321" s="74">
        <f ca="1">M148</f>
        <v>-43.9</v>
      </c>
      <c r="N321" s="74">
        <f ca="1">N148</f>
        <v>0</v>
      </c>
      <c r="O321" s="74">
        <f ca="1">O148</f>
        <v>0</v>
      </c>
    </row>
    <row r="322" spans="3:15">
      <c r="C322" s="127"/>
      <c r="D322" s="127" t="s">
        <v>175</v>
      </c>
      <c r="E322" s="127"/>
      <c r="F322" s="127"/>
      <c r="G322" s="176"/>
      <c r="H322" s="127"/>
      <c r="I322" s="127"/>
      <c r="J322" s="77">
        <f>J150</f>
        <v>76.3</v>
      </c>
      <c r="K322" s="77">
        <f ca="1">K320+K321</f>
        <v>105.9</v>
      </c>
      <c r="L322" s="77">
        <f t="shared" ref="L322" ca="1" si="104">L320+L321</f>
        <v>43.9</v>
      </c>
      <c r="M322" s="77">
        <f t="shared" ref="M322" ca="1" si="105">M320+M321</f>
        <v>0</v>
      </c>
      <c r="N322" s="77">
        <f t="shared" ref="N322" ca="1" si="106">N320+N321</f>
        <v>0</v>
      </c>
      <c r="O322" s="77">
        <f t="shared" ref="O322" ca="1" si="107">O320+O321</f>
        <v>0</v>
      </c>
    </row>
    <row r="323" spans="3:15">
      <c r="J323" s="74"/>
      <c r="K323" s="74"/>
      <c r="L323" s="74"/>
      <c r="M323" s="74"/>
      <c r="N323" s="74"/>
      <c r="O323" s="74"/>
    </row>
    <row r="324" spans="3:15">
      <c r="C324" s="127"/>
      <c r="D324" s="127" t="s">
        <v>176</v>
      </c>
      <c r="E324" s="127"/>
      <c r="F324" s="127"/>
      <c r="G324" s="176"/>
      <c r="H324" s="127"/>
      <c r="I324" s="127"/>
      <c r="J324" s="210"/>
      <c r="K324" s="77">
        <f ca="1">AVERAGE(J322,K322)*K$312</f>
        <v>0.3</v>
      </c>
      <c r="L324" s="77">
        <f t="shared" ref="L324:O324" ca="1" si="108">AVERAGE(K322,L322)*L$312</f>
        <v>0.2</v>
      </c>
      <c r="M324" s="77">
        <f t="shared" ca="1" si="108"/>
        <v>0.1</v>
      </c>
      <c r="N324" s="77">
        <f t="shared" ca="1" si="108"/>
        <v>0</v>
      </c>
      <c r="O324" s="77">
        <f t="shared" ca="1" si="108"/>
        <v>0</v>
      </c>
    </row>
    <row r="325" spans="3:15">
      <c r="C325" s="127"/>
      <c r="D325" s="127"/>
      <c r="E325" s="127"/>
      <c r="F325" s="127"/>
      <c r="G325" s="176"/>
      <c r="H325" s="127"/>
      <c r="I325" s="127"/>
      <c r="J325" s="210"/>
      <c r="K325" s="76"/>
      <c r="L325" s="76"/>
      <c r="M325" s="76"/>
      <c r="N325" s="76"/>
      <c r="O325" s="76"/>
    </row>
    <row r="326" spans="3:15">
      <c r="J326" s="74"/>
      <c r="K326" s="74"/>
      <c r="L326" s="74"/>
      <c r="M326" s="74"/>
      <c r="N326" s="74"/>
      <c r="O326" s="74"/>
    </row>
    <row r="327" spans="3:15">
      <c r="C327" s="122" t="s">
        <v>172</v>
      </c>
      <c r="J327" s="74"/>
      <c r="K327" s="74"/>
      <c r="L327" s="74"/>
      <c r="M327" s="74"/>
      <c r="N327" s="74"/>
      <c r="O327" s="74"/>
    </row>
    <row r="328" spans="3:15">
      <c r="D328" s="109" t="s">
        <v>173</v>
      </c>
      <c r="J328" s="74"/>
      <c r="K328" s="74">
        <f>J330</f>
        <v>294.3</v>
      </c>
      <c r="L328" s="74">
        <f t="shared" ref="L328:O328" si="109">K330</f>
        <v>259.3</v>
      </c>
      <c r="M328" s="74">
        <f t="shared" si="109"/>
        <v>224.3</v>
      </c>
      <c r="N328" s="74">
        <f t="shared" si="109"/>
        <v>189.3</v>
      </c>
      <c r="O328" s="74">
        <f t="shared" si="109"/>
        <v>154.30000000000001</v>
      </c>
    </row>
    <row r="329" spans="3:15">
      <c r="D329" s="109" t="s">
        <v>174</v>
      </c>
      <c r="J329" s="74"/>
      <c r="K329" s="74">
        <f>MIN(-Inp!L71,K328)</f>
        <v>-35</v>
      </c>
      <c r="L329" s="74">
        <f>-Inp!M71</f>
        <v>-35</v>
      </c>
      <c r="M329" s="74">
        <f>-Inp!N71</f>
        <v>-35</v>
      </c>
      <c r="N329" s="74">
        <f>-Inp!O71</f>
        <v>-35</v>
      </c>
      <c r="O329" s="74">
        <f>-Inp!P71</f>
        <v>-35</v>
      </c>
    </row>
    <row r="330" spans="3:15" s="127" customFormat="1">
      <c r="D330" s="127" t="s">
        <v>175</v>
      </c>
      <c r="G330" s="176"/>
      <c r="J330" s="77">
        <f>J184</f>
        <v>294.3</v>
      </c>
      <c r="K330" s="77">
        <f>K328+K329</f>
        <v>259.3</v>
      </c>
      <c r="L330" s="77">
        <f t="shared" ref="L330:O330" si="110">L328+L329</f>
        <v>224.3</v>
      </c>
      <c r="M330" s="77">
        <f t="shared" si="110"/>
        <v>189.3</v>
      </c>
      <c r="N330" s="77">
        <f t="shared" si="110"/>
        <v>154.30000000000001</v>
      </c>
      <c r="O330" s="77">
        <f t="shared" si="110"/>
        <v>119.3</v>
      </c>
    </row>
    <row r="331" spans="3:15">
      <c r="J331" s="74"/>
      <c r="K331" s="74"/>
      <c r="L331" s="74"/>
      <c r="M331" s="74"/>
      <c r="N331" s="74"/>
      <c r="O331" s="74"/>
    </row>
    <row r="332" spans="3:15" s="127" customFormat="1">
      <c r="D332" s="127" t="s">
        <v>176</v>
      </c>
      <c r="G332" s="176"/>
      <c r="J332" s="210"/>
      <c r="K332" s="77">
        <f>AVERAGE(K330,K328)*K$316</f>
        <v>9.4</v>
      </c>
      <c r="L332" s="77">
        <f t="shared" ref="L332:O332" si="111">AVERAGE(L330,L328)*L$316</f>
        <v>8.1999999999999993</v>
      </c>
      <c r="M332" s="77">
        <f t="shared" si="111"/>
        <v>7</v>
      </c>
      <c r="N332" s="77">
        <f t="shared" si="111"/>
        <v>5.8</v>
      </c>
      <c r="O332" s="77">
        <f t="shared" si="111"/>
        <v>4.7</v>
      </c>
    </row>
    <row r="333" spans="3:15">
      <c r="J333" s="74"/>
      <c r="K333" s="74"/>
      <c r="L333" s="74"/>
      <c r="M333" s="74"/>
      <c r="N333" s="74"/>
      <c r="O333" s="74"/>
    </row>
    <row r="334" spans="3:15">
      <c r="J334" s="74"/>
      <c r="K334" s="74"/>
      <c r="L334" s="74"/>
      <c r="M334" s="74"/>
      <c r="N334" s="74"/>
      <c r="O334" s="74"/>
    </row>
    <row r="335" spans="3:15">
      <c r="C335" s="122" t="s">
        <v>177</v>
      </c>
      <c r="J335" s="74"/>
      <c r="K335" s="74"/>
      <c r="L335" s="74"/>
      <c r="M335" s="74"/>
      <c r="N335" s="74"/>
      <c r="O335" s="74"/>
    </row>
    <row r="336" spans="3:15">
      <c r="D336" s="109" t="s">
        <v>173</v>
      </c>
      <c r="J336" s="74"/>
      <c r="K336" s="74">
        <f>J338</f>
        <v>1023.8</v>
      </c>
      <c r="L336" s="74">
        <f t="shared" ref="L336:O336" si="112">K338</f>
        <v>953.8</v>
      </c>
      <c r="M336" s="74">
        <f t="shared" si="112"/>
        <v>883.8</v>
      </c>
      <c r="N336" s="74">
        <f t="shared" si="112"/>
        <v>813.8</v>
      </c>
      <c r="O336" s="74">
        <f t="shared" si="112"/>
        <v>743.8</v>
      </c>
    </row>
    <row r="337" spans="2:15">
      <c r="D337" s="109" t="s">
        <v>174</v>
      </c>
      <c r="J337" s="74"/>
      <c r="K337" s="74">
        <f>MIN(-Inp!L70,K336)</f>
        <v>-70</v>
      </c>
      <c r="L337" s="74">
        <f>MIN(-Inp!M70,L336)</f>
        <v>-70</v>
      </c>
      <c r="M337" s="74">
        <f>MIN(-Inp!N70,M336)</f>
        <v>-70</v>
      </c>
      <c r="N337" s="74">
        <f>MIN(-Inp!O70,N336)</f>
        <v>-70</v>
      </c>
      <c r="O337" s="74">
        <f>MIN(-Inp!P70,O336)</f>
        <v>-70</v>
      </c>
    </row>
    <row r="338" spans="2:15" s="127" customFormat="1">
      <c r="D338" s="127" t="s">
        <v>175</v>
      </c>
      <c r="G338" s="176"/>
      <c r="J338" s="77">
        <f>J185</f>
        <v>1023.8</v>
      </c>
      <c r="K338" s="77">
        <f>K336+K337</f>
        <v>953.8</v>
      </c>
      <c r="L338" s="77">
        <f t="shared" ref="L338:O338" si="113">L336+L337</f>
        <v>883.8</v>
      </c>
      <c r="M338" s="77">
        <f t="shared" si="113"/>
        <v>813.8</v>
      </c>
      <c r="N338" s="77">
        <f t="shared" si="113"/>
        <v>743.8</v>
      </c>
      <c r="O338" s="77">
        <f t="shared" si="113"/>
        <v>673.8</v>
      </c>
    </row>
    <row r="339" spans="2:15">
      <c r="J339" s="74"/>
      <c r="K339" s="74"/>
      <c r="L339" s="74"/>
      <c r="M339" s="74"/>
      <c r="N339" s="74"/>
      <c r="O339" s="74"/>
    </row>
    <row r="340" spans="2:15" s="127" customFormat="1">
      <c r="D340" s="127" t="s">
        <v>178</v>
      </c>
      <c r="G340" s="176"/>
      <c r="J340" s="210"/>
      <c r="K340" s="77">
        <f>AVERAGE(K338,K336)*K$310</f>
        <v>44.5</v>
      </c>
      <c r="L340" s="77">
        <f t="shared" ref="L340:O340" si="114">AVERAGE(L338,L336)*L$310</f>
        <v>41.3</v>
      </c>
      <c r="M340" s="77">
        <f t="shared" si="114"/>
        <v>38.200000000000003</v>
      </c>
      <c r="N340" s="77">
        <f t="shared" si="114"/>
        <v>35</v>
      </c>
      <c r="O340" s="77">
        <f t="shared" si="114"/>
        <v>31.9</v>
      </c>
    </row>
    <row r="341" spans="2:15">
      <c r="J341" s="74"/>
      <c r="K341" s="74"/>
      <c r="L341" s="74"/>
      <c r="M341" s="74"/>
      <c r="N341" s="74"/>
      <c r="O341" s="74"/>
    </row>
    <row r="342" spans="2:15">
      <c r="B342" s="132"/>
      <c r="C342" s="132"/>
      <c r="D342" s="132"/>
      <c r="E342" s="132"/>
      <c r="F342" s="132"/>
      <c r="G342" s="134"/>
      <c r="H342" s="132"/>
      <c r="I342" s="132"/>
      <c r="J342" s="78"/>
      <c r="K342" s="78"/>
      <c r="L342" s="78"/>
      <c r="M342" s="78"/>
      <c r="N342" s="78"/>
      <c r="O342" s="78"/>
    </row>
    <row r="343" spans="2:15">
      <c r="J343" s="74"/>
      <c r="K343" s="74"/>
      <c r="L343" s="74"/>
      <c r="M343" s="74"/>
      <c r="N343" s="74"/>
      <c r="O343" s="74"/>
    </row>
    <row r="344" spans="2:15">
      <c r="J344" s="74"/>
      <c r="K344" s="74"/>
      <c r="L344" s="74"/>
      <c r="M344" s="74"/>
      <c r="N344" s="74"/>
      <c r="O344" s="74"/>
    </row>
    <row r="345" spans="2:15">
      <c r="O345" s="111" t="str">
        <f>UPPER("CURRENTLY USING: "&amp;CHOOSE(Scenarios!$E$12,Scenarios!$D$20,Scenarios!$D$21,Scenarios!$D$22)&amp;" CASE SCENARIO")</f>
        <v>CURRENTLY USING: WORSE CASE SCENARIO</v>
      </c>
    </row>
    <row r="346" spans="2:15" ht="34.799999999999997">
      <c r="B346" s="112" t="str">
        <f ca="1">$B$71</f>
        <v>McLAREN GROUP LTD</v>
      </c>
      <c r="C346" s="113"/>
      <c r="D346" s="113"/>
      <c r="E346" s="113"/>
      <c r="F346" s="113"/>
      <c r="G346" s="114"/>
      <c r="H346" s="113"/>
      <c r="I346" s="113"/>
      <c r="J346" s="113"/>
      <c r="K346" s="113"/>
      <c r="L346" s="113"/>
      <c r="M346" s="113"/>
      <c r="N346" s="113"/>
      <c r="O346" s="113"/>
    </row>
    <row r="347" spans="2:15" ht="18">
      <c r="B347" s="115" t="s">
        <v>168</v>
      </c>
      <c r="C347" s="113"/>
      <c r="D347" s="113"/>
      <c r="E347" s="113"/>
      <c r="F347" s="113"/>
      <c r="G347" s="114"/>
      <c r="H347" s="113"/>
      <c r="I347" s="113"/>
      <c r="J347" s="113"/>
      <c r="K347" s="113"/>
      <c r="L347" s="113"/>
      <c r="M347" s="113"/>
      <c r="N347" s="113"/>
      <c r="O347" s="113"/>
    </row>
    <row r="348" spans="2:15" ht="3" customHeight="1" thickBot="1">
      <c r="B348" s="116"/>
      <c r="C348" s="116"/>
      <c r="D348" s="116"/>
      <c r="E348" s="116"/>
      <c r="F348" s="116"/>
      <c r="G348" s="117"/>
      <c r="H348" s="116"/>
      <c r="I348" s="116"/>
      <c r="J348" s="116"/>
      <c r="K348" s="116"/>
      <c r="L348" s="116"/>
      <c r="M348" s="116"/>
      <c r="N348" s="116"/>
      <c r="O348" s="116"/>
    </row>
    <row r="349" spans="2:15">
      <c r="B349" s="118" t="s">
        <v>60</v>
      </c>
    </row>
    <row r="351" spans="2:15">
      <c r="K351" s="119" t="s">
        <v>76</v>
      </c>
      <c r="L351" s="120"/>
      <c r="M351" s="120"/>
      <c r="N351" s="120"/>
      <c r="O351" s="120"/>
    </row>
    <row r="352" spans="2:15" ht="13.8">
      <c r="G352" s="121" t="s">
        <v>135</v>
      </c>
      <c r="H352" s="203">
        <f>$H$77</f>
        <v>2019</v>
      </c>
      <c r="I352" s="203">
        <f>$I$77</f>
        <v>2020</v>
      </c>
      <c r="J352" s="203">
        <f>$J$77</f>
        <v>2021</v>
      </c>
      <c r="K352" s="203">
        <f>$K$77</f>
        <v>2022</v>
      </c>
      <c r="L352" s="203">
        <f>$L$77</f>
        <v>2023</v>
      </c>
      <c r="M352" s="203">
        <f>$M$77</f>
        <v>2024</v>
      </c>
      <c r="N352" s="203">
        <f>$N$77</f>
        <v>2025</v>
      </c>
      <c r="O352" s="203">
        <f>$O$77</f>
        <v>2026</v>
      </c>
    </row>
    <row r="354" spans="3:15">
      <c r="C354" s="122" t="s">
        <v>179</v>
      </c>
      <c r="J354" s="92"/>
      <c r="K354" s="92"/>
      <c r="L354" s="92"/>
      <c r="M354" s="92"/>
      <c r="N354" s="92"/>
      <c r="O354" s="92"/>
    </row>
    <row r="355" spans="3:15">
      <c r="D355" s="109" t="s">
        <v>18</v>
      </c>
      <c r="J355" s="92"/>
      <c r="K355" s="92">
        <f ca="1">K127</f>
        <v>210.4</v>
      </c>
      <c r="L355" s="92">
        <f ca="1">L127</f>
        <v>185.5</v>
      </c>
      <c r="M355" s="92">
        <f ca="1">M127</f>
        <v>180.3</v>
      </c>
      <c r="N355" s="92">
        <f ca="1">N127</f>
        <v>175.7</v>
      </c>
      <c r="O355" s="92">
        <f ca="1">O127</f>
        <v>173.1</v>
      </c>
    </row>
    <row r="356" spans="3:15">
      <c r="D356" s="109" t="s">
        <v>22</v>
      </c>
      <c r="J356" s="92"/>
      <c r="K356" s="92">
        <f>K134</f>
        <v>-120</v>
      </c>
      <c r="L356" s="92">
        <f>L134</f>
        <v>-120</v>
      </c>
      <c r="M356" s="92">
        <f>M134</f>
        <v>-120</v>
      </c>
      <c r="N356" s="92">
        <f>N134</f>
        <v>-120</v>
      </c>
      <c r="O356" s="92">
        <f>O134</f>
        <v>-120</v>
      </c>
    </row>
    <row r="357" spans="3:15">
      <c r="D357" s="109" t="s">
        <v>181</v>
      </c>
      <c r="J357" s="92"/>
      <c r="K357" s="92">
        <f>SUM(K329,K337)</f>
        <v>-105</v>
      </c>
      <c r="L357" s="92">
        <f>SUM(L329,L337)</f>
        <v>-105</v>
      </c>
      <c r="M357" s="92">
        <f>SUM(M329,M337)</f>
        <v>-105</v>
      </c>
      <c r="N357" s="92">
        <f>SUM(N329,N337)</f>
        <v>-105</v>
      </c>
      <c r="O357" s="92">
        <f>SUM(O329,O337)</f>
        <v>-105</v>
      </c>
    </row>
    <row r="358" spans="3:15">
      <c r="D358" s="109" t="s">
        <v>223</v>
      </c>
      <c r="J358" s="92"/>
      <c r="K358" s="92">
        <f>K398</f>
        <v>75</v>
      </c>
      <c r="L358" s="92">
        <f t="shared" ref="L358:O358" si="115">L398</f>
        <v>0</v>
      </c>
      <c r="M358" s="92">
        <f t="shared" si="115"/>
        <v>0</v>
      </c>
      <c r="N358" s="92">
        <f t="shared" si="115"/>
        <v>0</v>
      </c>
      <c r="O358" s="92">
        <f t="shared" si="115"/>
        <v>0</v>
      </c>
    </row>
    <row r="359" spans="3:15">
      <c r="D359" s="109" t="s">
        <v>182</v>
      </c>
      <c r="J359" s="92"/>
      <c r="K359" s="92">
        <f>K388</f>
        <v>-10</v>
      </c>
      <c r="L359" s="92">
        <f t="shared" ref="L359:O359" si="116">L388</f>
        <v>0</v>
      </c>
      <c r="M359" s="92">
        <f t="shared" si="116"/>
        <v>0</v>
      </c>
      <c r="N359" s="92">
        <f t="shared" si="116"/>
        <v>0</v>
      </c>
      <c r="O359" s="92">
        <f t="shared" si="116"/>
        <v>0</v>
      </c>
    </row>
    <row r="360" spans="3:15">
      <c r="D360" s="109" t="s">
        <v>53</v>
      </c>
      <c r="J360" s="92"/>
      <c r="K360" s="92">
        <f>-K402</f>
        <v>-2.8</v>
      </c>
      <c r="L360" s="92">
        <f t="shared" ref="L360:O360" si="117">-L402</f>
        <v>-5.6</v>
      </c>
      <c r="M360" s="92">
        <f t="shared" si="117"/>
        <v>-5.6</v>
      </c>
      <c r="N360" s="92">
        <f t="shared" si="117"/>
        <v>-5.6</v>
      </c>
      <c r="O360" s="92">
        <f t="shared" si="117"/>
        <v>-5.6</v>
      </c>
    </row>
    <row r="361" spans="3:15">
      <c r="D361" s="109" t="s">
        <v>224</v>
      </c>
      <c r="J361" s="92"/>
      <c r="K361" s="92">
        <f ca="1">-K393</f>
        <v>-18</v>
      </c>
      <c r="L361" s="92">
        <f t="shared" ref="L361:O361" ca="1" si="118">-L393</f>
        <v>-16.899999999999999</v>
      </c>
      <c r="M361" s="92">
        <f t="shared" ca="1" si="118"/>
        <v>-15.8</v>
      </c>
      <c r="N361" s="92">
        <f t="shared" ca="1" si="118"/>
        <v>-14.4</v>
      </c>
      <c r="O361" s="92">
        <f t="shared" ca="1" si="118"/>
        <v>-12.9</v>
      </c>
    </row>
    <row r="362" spans="3:15" s="127" customFormat="1">
      <c r="D362" s="127" t="s">
        <v>183</v>
      </c>
      <c r="G362" s="176"/>
      <c r="J362" s="96"/>
      <c r="K362" s="96">
        <f ca="1">SUM(K355:K361)</f>
        <v>29.6</v>
      </c>
      <c r="L362" s="96">
        <f ca="1">SUM(L355:L361)</f>
        <v>-62</v>
      </c>
      <c r="M362" s="96">
        <f ca="1">SUM(M355:M361)</f>
        <v>-66.099999999999994</v>
      </c>
      <c r="N362" s="96">
        <f ca="1">SUM(N355:N361)</f>
        <v>-69.3</v>
      </c>
      <c r="O362" s="96">
        <f ca="1">SUM(O355:O361)</f>
        <v>-70.400000000000006</v>
      </c>
    </row>
    <row r="363" spans="3:15">
      <c r="J363" s="92"/>
      <c r="K363" s="92"/>
      <c r="L363" s="92"/>
      <c r="M363" s="92"/>
      <c r="N363" s="92"/>
      <c r="O363" s="92"/>
    </row>
    <row r="364" spans="3:15">
      <c r="D364" s="109" t="s">
        <v>173</v>
      </c>
      <c r="J364" s="92"/>
      <c r="K364" s="92">
        <f>J366</f>
        <v>0</v>
      </c>
      <c r="L364" s="92">
        <f t="shared" ref="L364:O364" ca="1" si="119">K366</f>
        <v>0</v>
      </c>
      <c r="M364" s="92">
        <f t="shared" ca="1" si="119"/>
        <v>0</v>
      </c>
      <c r="N364" s="92">
        <f t="shared" ca="1" si="119"/>
        <v>22.2</v>
      </c>
      <c r="O364" s="92">
        <f t="shared" ca="1" si="119"/>
        <v>91.5</v>
      </c>
    </row>
    <row r="365" spans="3:15">
      <c r="D365" s="109" t="s">
        <v>174</v>
      </c>
      <c r="J365" s="92"/>
      <c r="K365" s="92">
        <f ca="1">-MIN(K364,K362+K320)</f>
        <v>0</v>
      </c>
      <c r="L365" s="92">
        <f ca="1">-MIN(L364,L362+L320)</f>
        <v>0</v>
      </c>
      <c r="M365" s="92">
        <f ca="1">-MIN(M364,M362+M320)</f>
        <v>22.2</v>
      </c>
      <c r="N365" s="92">
        <f ca="1">-MIN(N364,N362+N320)</f>
        <v>69.3</v>
      </c>
      <c r="O365" s="92">
        <f ca="1">-MIN(O364,O362+O320)</f>
        <v>70.400000000000006</v>
      </c>
    </row>
    <row r="366" spans="3:15">
      <c r="C366" s="127"/>
      <c r="D366" s="127" t="s">
        <v>175</v>
      </c>
      <c r="E366" s="127"/>
      <c r="J366" s="220">
        <f>J179</f>
        <v>0</v>
      </c>
      <c r="K366" s="220">
        <f ca="1">K364+K365</f>
        <v>0</v>
      </c>
      <c r="L366" s="220">
        <f t="shared" ref="L366:O366" ca="1" si="120">L364+L365</f>
        <v>0</v>
      </c>
      <c r="M366" s="220">
        <f t="shared" ca="1" si="120"/>
        <v>22.2</v>
      </c>
      <c r="N366" s="220">
        <f t="shared" ca="1" si="120"/>
        <v>91.5</v>
      </c>
      <c r="O366" s="220">
        <f t="shared" ca="1" si="120"/>
        <v>161.9</v>
      </c>
    </row>
    <row r="367" spans="3:15">
      <c r="J367" s="96"/>
      <c r="K367" s="92"/>
      <c r="L367" s="92"/>
      <c r="M367" s="92"/>
      <c r="N367" s="92"/>
      <c r="O367" s="92"/>
    </row>
    <row r="368" spans="3:15" s="127" customFormat="1">
      <c r="D368" s="127" t="s">
        <v>180</v>
      </c>
      <c r="G368" s="176"/>
      <c r="J368" s="96"/>
      <c r="K368" s="220">
        <f ca="1">AVERAGE(K366,K364)*K$311</f>
        <v>0</v>
      </c>
      <c r="L368" s="220">
        <f t="shared" ref="L368:O368" ca="1" si="121">AVERAGE(L366,L364)*L$311</f>
        <v>0</v>
      </c>
      <c r="M368" s="220">
        <f t="shared" ca="1" si="121"/>
        <v>0.5</v>
      </c>
      <c r="N368" s="220">
        <f t="shared" ca="1" si="121"/>
        <v>2.6</v>
      </c>
      <c r="O368" s="220">
        <f t="shared" ca="1" si="121"/>
        <v>5.7</v>
      </c>
    </row>
    <row r="369" spans="2:15">
      <c r="J369" s="92"/>
      <c r="K369" s="92"/>
      <c r="L369" s="92"/>
      <c r="M369" s="92"/>
      <c r="N369" s="92"/>
      <c r="O369" s="92"/>
    </row>
    <row r="370" spans="2:15">
      <c r="J370" s="92"/>
      <c r="K370" s="92"/>
      <c r="L370" s="92"/>
      <c r="M370" s="92"/>
      <c r="N370" s="92"/>
      <c r="O370" s="92"/>
    </row>
    <row r="371" spans="2:15" s="127" customFormat="1" ht="13.8" thickBot="1">
      <c r="C371" s="127" t="s">
        <v>59</v>
      </c>
      <c r="G371" s="176"/>
      <c r="J371" s="96"/>
      <c r="K371" s="94">
        <f ca="1">K368+K340+K332-K324</f>
        <v>53.6</v>
      </c>
      <c r="L371" s="94">
        <f ca="1">L368+L340+L332-L324</f>
        <v>49.3</v>
      </c>
      <c r="M371" s="94">
        <f ca="1">M368+M340+M332-M324</f>
        <v>45.6</v>
      </c>
      <c r="N371" s="94">
        <f ca="1">N368+N340+N332-N324</f>
        <v>43.4</v>
      </c>
      <c r="O371" s="94">
        <f ca="1">O368+O340+O332-O324</f>
        <v>42.3</v>
      </c>
    </row>
    <row r="372" spans="2:15" ht="13.8" thickTop="1">
      <c r="J372" s="74"/>
      <c r="K372" s="74"/>
      <c r="L372" s="74"/>
      <c r="M372" s="74"/>
      <c r="N372" s="74"/>
      <c r="O372" s="74"/>
    </row>
    <row r="373" spans="2:15">
      <c r="C373" s="132"/>
      <c r="D373" s="132"/>
      <c r="E373" s="132"/>
      <c r="F373" s="132"/>
      <c r="G373" s="134"/>
      <c r="H373" s="132"/>
      <c r="I373" s="132"/>
      <c r="J373" s="132"/>
      <c r="K373" s="132"/>
      <c r="L373" s="132"/>
      <c r="M373" s="132"/>
      <c r="N373" s="132"/>
      <c r="O373" s="132"/>
    </row>
    <row r="376" spans="2:15">
      <c r="O376" s="111" t="str">
        <f>UPPER("CURRENTLY USING: "&amp;CHOOSE(Scenarios!$E$12,Scenarios!$D$20,Scenarios!$D$21,Scenarios!$D$22)&amp;" CASE SCENARIO")</f>
        <v>CURRENTLY USING: WORSE CASE SCENARIO</v>
      </c>
    </row>
    <row r="377" spans="2:15" ht="34.799999999999997">
      <c r="B377" s="112" t="str">
        <f ca="1">$B$71</f>
        <v>McLAREN GROUP LTD</v>
      </c>
      <c r="C377" s="113"/>
      <c r="D377" s="113"/>
      <c r="E377" s="113"/>
      <c r="F377" s="113"/>
      <c r="G377" s="114"/>
      <c r="H377" s="113"/>
      <c r="I377" s="113"/>
      <c r="J377" s="113"/>
      <c r="K377" s="113"/>
      <c r="L377" s="113"/>
      <c r="M377" s="113"/>
      <c r="N377" s="113"/>
      <c r="O377" s="113"/>
    </row>
    <row r="378" spans="2:15" ht="18">
      <c r="B378" s="115" t="s">
        <v>184</v>
      </c>
      <c r="C378" s="113"/>
      <c r="D378" s="113"/>
      <c r="E378" s="113"/>
      <c r="F378" s="113"/>
      <c r="G378" s="114"/>
      <c r="H378" s="113"/>
      <c r="I378" s="113"/>
      <c r="J378" s="113"/>
      <c r="K378" s="113"/>
      <c r="L378" s="113"/>
      <c r="M378" s="113"/>
      <c r="N378" s="113"/>
      <c r="O378" s="113"/>
    </row>
    <row r="379" spans="2:15" ht="3" customHeight="1" thickBot="1">
      <c r="B379" s="116"/>
      <c r="C379" s="116"/>
      <c r="D379" s="116"/>
      <c r="E379" s="116"/>
      <c r="F379" s="116"/>
      <c r="G379" s="117"/>
      <c r="H379" s="116"/>
      <c r="I379" s="116"/>
      <c r="J379" s="116"/>
      <c r="K379" s="116"/>
      <c r="L379" s="116"/>
      <c r="M379" s="116"/>
      <c r="N379" s="116"/>
      <c r="O379" s="116"/>
    </row>
    <row r="380" spans="2:15">
      <c r="B380" s="118" t="s">
        <v>60</v>
      </c>
    </row>
    <row r="382" spans="2:15">
      <c r="K382" s="119" t="s">
        <v>76</v>
      </c>
      <c r="L382" s="120"/>
      <c r="M382" s="120"/>
      <c r="N382" s="120"/>
      <c r="O382" s="120"/>
    </row>
    <row r="383" spans="2:15" ht="13.8">
      <c r="G383" s="121" t="s">
        <v>135</v>
      </c>
      <c r="H383" s="203">
        <f>$H$77</f>
        <v>2019</v>
      </c>
      <c r="I383" s="203">
        <f>$I$77</f>
        <v>2020</v>
      </c>
      <c r="J383" s="203">
        <f>$J$77</f>
        <v>2021</v>
      </c>
      <c r="K383" s="203">
        <f>$K$77</f>
        <v>2022</v>
      </c>
      <c r="L383" s="203">
        <f>$L$77</f>
        <v>2023</v>
      </c>
      <c r="M383" s="203">
        <f>$M$77</f>
        <v>2024</v>
      </c>
      <c r="N383" s="203">
        <f>$N$77</f>
        <v>2025</v>
      </c>
      <c r="O383" s="203">
        <f>$O$77</f>
        <v>2026</v>
      </c>
    </row>
    <row r="386" spans="2:15">
      <c r="B386" s="109" t="s">
        <v>56</v>
      </c>
    </row>
    <row r="387" spans="2:15">
      <c r="C387" s="109" t="s">
        <v>144</v>
      </c>
      <c r="I387" s="67"/>
      <c r="J387" s="67"/>
      <c r="K387" s="67">
        <f>J389</f>
        <v>335.3</v>
      </c>
      <c r="L387" s="67">
        <f t="shared" ref="L387:O387" si="122">K389</f>
        <v>325.3</v>
      </c>
      <c r="M387" s="67">
        <f t="shared" si="122"/>
        <v>325.3</v>
      </c>
      <c r="N387" s="67">
        <f t="shared" si="122"/>
        <v>325.3</v>
      </c>
      <c r="O387" s="67">
        <f t="shared" si="122"/>
        <v>325.3</v>
      </c>
    </row>
    <row r="388" spans="2:15">
      <c r="C388" s="109" t="s">
        <v>189</v>
      </c>
      <c r="I388" s="67"/>
      <c r="J388" s="67"/>
      <c r="K388" s="225">
        <f>-Inp!P22</f>
        <v>-10</v>
      </c>
      <c r="L388" s="67">
        <f>0</f>
        <v>0</v>
      </c>
      <c r="M388" s="67">
        <f t="shared" ref="M388:O388" si="123">L388</f>
        <v>0</v>
      </c>
      <c r="N388" s="67">
        <f t="shared" si="123"/>
        <v>0</v>
      </c>
      <c r="O388" s="67">
        <f t="shared" si="123"/>
        <v>0</v>
      </c>
    </row>
    <row r="389" spans="2:15" s="127" customFormat="1">
      <c r="C389" s="127" t="s">
        <v>175</v>
      </c>
      <c r="G389" s="176"/>
      <c r="I389" s="66"/>
      <c r="J389" s="226">
        <f>J193</f>
        <v>335.3</v>
      </c>
      <c r="K389" s="226">
        <f>K387+K388</f>
        <v>325.3</v>
      </c>
      <c r="L389" s="226">
        <f t="shared" ref="L389:O389" si="124">L387+L388</f>
        <v>325.3</v>
      </c>
      <c r="M389" s="226">
        <f t="shared" si="124"/>
        <v>325.3</v>
      </c>
      <c r="N389" s="226">
        <f t="shared" si="124"/>
        <v>325.3</v>
      </c>
      <c r="O389" s="226">
        <f t="shared" si="124"/>
        <v>325.3</v>
      </c>
    </row>
    <row r="390" spans="2:15">
      <c r="I390" s="67"/>
      <c r="J390" s="67"/>
      <c r="K390" s="67"/>
      <c r="L390" s="67"/>
      <c r="M390" s="67"/>
      <c r="N390" s="67"/>
      <c r="O390" s="67"/>
    </row>
    <row r="391" spans="2:15">
      <c r="C391" s="109" t="s">
        <v>187</v>
      </c>
      <c r="I391" s="67"/>
      <c r="J391" s="67"/>
      <c r="K391" s="200">
        <f>Inp!P23</f>
        <v>0.2</v>
      </c>
      <c r="L391" s="195">
        <f>K391</f>
        <v>0.2</v>
      </c>
      <c r="M391" s="195">
        <f t="shared" ref="M391:O391" si="125">L391</f>
        <v>0.2</v>
      </c>
      <c r="N391" s="195">
        <f t="shared" si="125"/>
        <v>0.2</v>
      </c>
      <c r="O391" s="195">
        <f t="shared" si="125"/>
        <v>0.2</v>
      </c>
    </row>
    <row r="392" spans="2:15">
      <c r="C392" s="109" t="s">
        <v>14</v>
      </c>
      <c r="I392" s="67"/>
      <c r="J392" s="67"/>
      <c r="K392" s="67">
        <f ca="1">K107</f>
        <v>89.8</v>
      </c>
      <c r="L392" s="67">
        <f ca="1">L107</f>
        <v>84.6</v>
      </c>
      <c r="M392" s="67">
        <f ca="1">M107</f>
        <v>79</v>
      </c>
      <c r="N392" s="67">
        <f ca="1">N107</f>
        <v>72.2</v>
      </c>
      <c r="O392" s="67">
        <f ca="1">O107</f>
        <v>64.7</v>
      </c>
    </row>
    <row r="393" spans="2:15" ht="13.8" thickBot="1">
      <c r="C393" s="109" t="s">
        <v>188</v>
      </c>
      <c r="I393" s="67"/>
      <c r="J393" s="67"/>
      <c r="K393" s="227">
        <f ca="1">K391*K392</f>
        <v>18</v>
      </c>
      <c r="L393" s="227">
        <f t="shared" ref="L393:O393" ca="1" si="126">L391*L392</f>
        <v>16.899999999999999</v>
      </c>
      <c r="M393" s="227">
        <f t="shared" ca="1" si="126"/>
        <v>15.8</v>
      </c>
      <c r="N393" s="227">
        <f t="shared" ca="1" si="126"/>
        <v>14.4</v>
      </c>
      <c r="O393" s="227">
        <f t="shared" ca="1" si="126"/>
        <v>12.9</v>
      </c>
    </row>
    <row r="394" spans="2:15" ht="13.8" thickTop="1">
      <c r="I394" s="67"/>
      <c r="J394" s="67"/>
      <c r="K394" s="67"/>
      <c r="L394" s="67"/>
      <c r="M394" s="67"/>
      <c r="N394" s="67"/>
      <c r="O394" s="67"/>
    </row>
    <row r="395" spans="2:15">
      <c r="I395" s="67"/>
      <c r="J395" s="67"/>
      <c r="K395" s="67"/>
      <c r="L395" s="67"/>
      <c r="M395" s="67"/>
      <c r="N395" s="67"/>
      <c r="O395" s="67"/>
    </row>
    <row r="396" spans="2:15">
      <c r="B396" s="109" t="s">
        <v>185</v>
      </c>
      <c r="I396" s="67"/>
      <c r="J396" s="67"/>
      <c r="K396" s="67"/>
      <c r="L396" s="67"/>
      <c r="M396" s="67"/>
      <c r="N396" s="67"/>
      <c r="O396" s="67"/>
    </row>
    <row r="397" spans="2:15">
      <c r="C397" s="109" t="s">
        <v>144</v>
      </c>
      <c r="I397" s="67"/>
      <c r="J397" s="67"/>
      <c r="K397" s="67">
        <f>J399</f>
        <v>0</v>
      </c>
      <c r="L397" s="67">
        <f t="shared" ref="L397:O397" si="127">K399</f>
        <v>75</v>
      </c>
      <c r="M397" s="67">
        <f t="shared" si="127"/>
        <v>75</v>
      </c>
      <c r="N397" s="67">
        <f t="shared" si="127"/>
        <v>75</v>
      </c>
      <c r="O397" s="67">
        <f t="shared" si="127"/>
        <v>75</v>
      </c>
    </row>
    <row r="398" spans="2:15">
      <c r="C398" s="109" t="s">
        <v>186</v>
      </c>
      <c r="I398" s="67"/>
      <c r="J398" s="67"/>
      <c r="K398" s="225">
        <f>Inp!P21</f>
        <v>75</v>
      </c>
      <c r="L398" s="67">
        <v>0</v>
      </c>
      <c r="M398" s="67">
        <v>0</v>
      </c>
      <c r="N398" s="67">
        <v>0</v>
      </c>
      <c r="O398" s="67">
        <v>0</v>
      </c>
    </row>
    <row r="399" spans="2:15" s="127" customFormat="1">
      <c r="C399" s="127" t="s">
        <v>175</v>
      </c>
      <c r="G399" s="176"/>
      <c r="I399" s="66"/>
      <c r="J399" s="226">
        <f>J192</f>
        <v>0</v>
      </c>
      <c r="K399" s="226">
        <f>K397+K398</f>
        <v>75</v>
      </c>
      <c r="L399" s="226">
        <f t="shared" ref="L399:O399" si="128">L397+L398</f>
        <v>75</v>
      </c>
      <c r="M399" s="226">
        <f t="shared" si="128"/>
        <v>75</v>
      </c>
      <c r="N399" s="226">
        <f t="shared" si="128"/>
        <v>75</v>
      </c>
      <c r="O399" s="226">
        <f t="shared" si="128"/>
        <v>75</v>
      </c>
    </row>
    <row r="400" spans="2:15">
      <c r="I400" s="67"/>
      <c r="J400" s="67"/>
      <c r="K400" s="67"/>
      <c r="L400" s="67"/>
      <c r="M400" s="67"/>
      <c r="N400" s="67"/>
      <c r="O400" s="67"/>
    </row>
    <row r="401" spans="2:15">
      <c r="C401" s="109" t="s">
        <v>187</v>
      </c>
      <c r="I401" s="67"/>
      <c r="J401" s="67"/>
      <c r="K401" s="200">
        <f>Inp!P20</f>
        <v>7.4999999999999997E-2</v>
      </c>
      <c r="L401" s="195">
        <f>K401</f>
        <v>7.4999999999999997E-2</v>
      </c>
      <c r="M401" s="195">
        <f t="shared" ref="M401:O401" si="129">L401</f>
        <v>7.4999999999999997E-2</v>
      </c>
      <c r="N401" s="195">
        <f t="shared" si="129"/>
        <v>7.4999999999999997E-2</v>
      </c>
      <c r="O401" s="195">
        <f t="shared" si="129"/>
        <v>7.4999999999999997E-2</v>
      </c>
    </row>
    <row r="402" spans="2:15" ht="13.8" thickBot="1">
      <c r="C402" s="109" t="s">
        <v>191</v>
      </c>
      <c r="I402" s="67"/>
      <c r="J402" s="67"/>
      <c r="K402" s="227">
        <f>AVERAGE(J399:K399)*K401</f>
        <v>2.8</v>
      </c>
      <c r="L402" s="227">
        <f t="shared" ref="L402:O402" si="130">AVERAGE(K399:L399)*L401</f>
        <v>5.6</v>
      </c>
      <c r="M402" s="227">
        <f t="shared" si="130"/>
        <v>5.6</v>
      </c>
      <c r="N402" s="227">
        <f t="shared" si="130"/>
        <v>5.6</v>
      </c>
      <c r="O402" s="227">
        <f t="shared" si="130"/>
        <v>5.6</v>
      </c>
    </row>
    <row r="403" spans="2:15" ht="13.8" thickTop="1">
      <c r="I403" s="67"/>
      <c r="J403" s="67"/>
      <c r="K403" s="69"/>
      <c r="L403" s="69">
        <f t="shared" ref="L403:O403" si="131">AVERAGE(K399:L399)*L401</f>
        <v>5.6</v>
      </c>
      <c r="M403" s="69">
        <f t="shared" si="131"/>
        <v>5.6</v>
      </c>
      <c r="N403" s="69">
        <f t="shared" si="131"/>
        <v>5.6</v>
      </c>
      <c r="O403" s="69">
        <f t="shared" si="131"/>
        <v>5.6</v>
      </c>
    </row>
    <row r="404" spans="2:15">
      <c r="I404" s="67"/>
      <c r="J404" s="67"/>
      <c r="K404" s="67"/>
      <c r="L404" s="67"/>
      <c r="M404" s="67"/>
      <c r="N404" s="67"/>
      <c r="O404" s="67"/>
    </row>
    <row r="405" spans="2:15">
      <c r="B405" s="109" t="s">
        <v>42</v>
      </c>
      <c r="I405" s="67"/>
      <c r="J405" s="67"/>
      <c r="K405" s="67"/>
      <c r="L405" s="67"/>
      <c r="M405" s="67"/>
      <c r="N405" s="67"/>
      <c r="O405" s="67"/>
    </row>
    <row r="406" spans="2:15">
      <c r="C406" s="109" t="s">
        <v>144</v>
      </c>
      <c r="I406" s="67"/>
      <c r="J406" s="67"/>
      <c r="K406" s="67">
        <f>J410</f>
        <v>560.4</v>
      </c>
      <c r="L406" s="67">
        <f t="shared" ref="L406:O406" ca="1" si="132">K410</f>
        <v>626.6</v>
      </c>
      <c r="M406" s="67">
        <f t="shared" ca="1" si="132"/>
        <v>683.1</v>
      </c>
      <c r="N406" s="67">
        <f t="shared" ca="1" si="132"/>
        <v>735.1</v>
      </c>
      <c r="O406" s="67">
        <f t="shared" ca="1" si="132"/>
        <v>781.7</v>
      </c>
    </row>
    <row r="407" spans="2:15">
      <c r="C407" s="109" t="s">
        <v>14</v>
      </c>
      <c r="I407" s="67"/>
      <c r="J407" s="67"/>
      <c r="K407" s="67">
        <f ca="1">K104</f>
        <v>87</v>
      </c>
      <c r="L407" s="67">
        <f ca="1">L104</f>
        <v>79</v>
      </c>
      <c r="M407" s="67">
        <f ca="1">M104</f>
        <v>73.400000000000006</v>
      </c>
      <c r="N407" s="67">
        <f ca="1">N104</f>
        <v>66.599999999999994</v>
      </c>
      <c r="O407" s="67">
        <f ca="1">O104</f>
        <v>59.1</v>
      </c>
    </row>
    <row r="408" spans="2:15">
      <c r="C408" s="109" t="s">
        <v>222</v>
      </c>
      <c r="I408" s="67"/>
      <c r="J408" s="67"/>
      <c r="K408" s="67">
        <f>-K402</f>
        <v>-2.8</v>
      </c>
      <c r="L408" s="67">
        <f t="shared" ref="L408:O408" si="133">-L402</f>
        <v>-5.6</v>
      </c>
      <c r="M408" s="67">
        <f t="shared" si="133"/>
        <v>-5.6</v>
      </c>
      <c r="N408" s="67">
        <f t="shared" si="133"/>
        <v>-5.6</v>
      </c>
      <c r="O408" s="67">
        <f t="shared" si="133"/>
        <v>-5.6</v>
      </c>
    </row>
    <row r="409" spans="2:15">
      <c r="C409" s="109" t="s">
        <v>190</v>
      </c>
      <c r="I409" s="67"/>
      <c r="J409" s="67"/>
      <c r="K409" s="67">
        <f ca="1">-K393</f>
        <v>-18</v>
      </c>
      <c r="L409" s="67">
        <f t="shared" ref="L409:O409" ca="1" si="134">-L393</f>
        <v>-16.899999999999999</v>
      </c>
      <c r="M409" s="67">
        <f t="shared" ca="1" si="134"/>
        <v>-15.8</v>
      </c>
      <c r="N409" s="67">
        <f t="shared" ca="1" si="134"/>
        <v>-14.4</v>
      </c>
      <c r="O409" s="67">
        <f t="shared" ca="1" si="134"/>
        <v>-12.9</v>
      </c>
    </row>
    <row r="410" spans="2:15" s="127" customFormat="1" ht="13.8" thickBot="1">
      <c r="C410" s="127" t="s">
        <v>175</v>
      </c>
      <c r="G410" s="176"/>
      <c r="I410" s="66"/>
      <c r="J410" s="71">
        <f>J194</f>
        <v>560.4</v>
      </c>
      <c r="K410" s="71">
        <f ca="1">SUM(K406:K409)</f>
        <v>626.6</v>
      </c>
      <c r="L410" s="71">
        <f t="shared" ref="L410:O410" ca="1" si="135">SUM(L406:L409)</f>
        <v>683.1</v>
      </c>
      <c r="M410" s="71">
        <f t="shared" ca="1" si="135"/>
        <v>735.1</v>
      </c>
      <c r="N410" s="71">
        <f t="shared" ca="1" si="135"/>
        <v>781.7</v>
      </c>
      <c r="O410" s="71">
        <f t="shared" ca="1" si="135"/>
        <v>822.3</v>
      </c>
    </row>
    <row r="411" spans="2:15" ht="13.8" thickTop="1">
      <c r="B411" s="148"/>
      <c r="C411" s="148"/>
      <c r="D411" s="148"/>
      <c r="E411" s="148"/>
      <c r="F411" s="148"/>
      <c r="G411" s="172"/>
      <c r="H411" s="148"/>
      <c r="I411" s="148"/>
      <c r="J411" s="148"/>
      <c r="K411" s="148"/>
      <c r="L411" s="148"/>
      <c r="M411" s="148"/>
      <c r="N411" s="148"/>
      <c r="O411" s="148"/>
    </row>
  </sheetData>
  <sheetProtection algorithmName="SHA-512" hashValue="LEAHSRH6GdjXb8MArrHu8D0LjQkie5QywmcMnskQlnFEZnLpZM4C+xZ5qMd4Ny48z0w0eIUl8kzoISAFRBSPxA==" saltValue="mySwJFwsy3A4Qy7f5aKGIA==" spinCount="100000" sheet="1" objects="1" scenarios="1"/>
  <printOptions horizontalCentered="1"/>
  <pageMargins left="0.3" right="0.3" top="0.2" bottom="0.03" header="0.05" footer="0.15"/>
  <pageSetup paperSize="9" scale="90" orientation="landscape" r:id="rId1"/>
  <headerFooter>
    <oddFooter>&amp;LMcLAREN GROUP LTD&amp;CPage &amp;P of &amp;N&amp;R&amp;D, &amp;T</oddFooter>
  </headerFooter>
  <ignoredErrors>
    <ignoredError sqref="K106:O106 H127:J127 L127:O127 K164:O16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</vt:lpstr>
      <vt:lpstr>Summary</vt:lpstr>
      <vt:lpstr>Inp</vt:lpstr>
      <vt:lpstr>Scenarios</vt:lpstr>
      <vt:lpstr>Model</vt:lpstr>
      <vt:lpstr>Cover!Print_Area</vt:lpstr>
      <vt:lpstr>Inp!Print_Area</vt:lpstr>
      <vt:lpstr>Model!Print_Area</vt:lpstr>
      <vt:lpstr>Scenarios!Print_Area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2020-10-02T18:01:15Z</dcterms:created>
  <dcterms:modified xsi:type="dcterms:W3CDTF">2022-07-27T05:07:07Z</dcterms:modified>
</cp:coreProperties>
</file>