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60" windowHeight="8112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B17" i="1" s="1"/>
  <c r="H34" i="1" s="1"/>
  <c r="Q10" i="1"/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5" i="1"/>
  <c r="B54" i="1" l="1"/>
  <c r="B50" i="1"/>
  <c r="B51" i="1"/>
  <c r="B52" i="1"/>
  <c r="B5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4" i="1"/>
  <c r="B28" i="1"/>
  <c r="D30" i="1"/>
  <c r="B24" i="1"/>
  <c r="D24" i="1" s="1"/>
  <c r="C50" i="1" s="1"/>
  <c r="D11" i="1"/>
  <c r="C53" i="1" l="1"/>
  <c r="E53" i="1" s="1"/>
  <c r="F53" i="1" s="1"/>
  <c r="G53" i="1" s="1"/>
  <c r="C51" i="1"/>
  <c r="E51" i="1" s="1"/>
  <c r="F51" i="1" s="1"/>
  <c r="G51" i="1" s="1"/>
  <c r="C54" i="1"/>
  <c r="E54" i="1" s="1"/>
  <c r="F54" i="1" s="1"/>
  <c r="G54" i="1" s="1"/>
  <c r="E50" i="1"/>
  <c r="F50" i="1" s="1"/>
  <c r="G50" i="1" s="1"/>
  <c r="C52" i="1"/>
  <c r="E52" i="1" s="1"/>
  <c r="F52" i="1" s="1"/>
  <c r="G52" i="1" s="1"/>
  <c r="I34" i="1"/>
  <c r="C42" i="1"/>
  <c r="E42" i="1" s="1"/>
  <c r="F42" i="1" s="1"/>
  <c r="G42" i="1" s="1"/>
  <c r="C34" i="1"/>
  <c r="C35" i="1"/>
  <c r="E35" i="1" s="1"/>
  <c r="F35" i="1" s="1"/>
  <c r="G35" i="1" s="1"/>
  <c r="C43" i="1"/>
  <c r="E43" i="1" s="1"/>
  <c r="F43" i="1" s="1"/>
  <c r="G43" i="1" s="1"/>
  <c r="C36" i="1"/>
  <c r="E36" i="1" s="1"/>
  <c r="F36" i="1" s="1"/>
  <c r="G36" i="1" s="1"/>
  <c r="C44" i="1"/>
  <c r="E44" i="1" s="1"/>
  <c r="F44" i="1" s="1"/>
  <c r="G44" i="1" s="1"/>
  <c r="C37" i="1"/>
  <c r="E37" i="1" s="1"/>
  <c r="F37" i="1" s="1"/>
  <c r="G37" i="1" s="1"/>
  <c r="C45" i="1"/>
  <c r="E45" i="1" s="1"/>
  <c r="F45" i="1" s="1"/>
  <c r="G45" i="1" s="1"/>
  <c r="C38" i="1"/>
  <c r="E38" i="1" s="1"/>
  <c r="F38" i="1" s="1"/>
  <c r="G38" i="1" s="1"/>
  <c r="C46" i="1"/>
  <c r="E46" i="1" s="1"/>
  <c r="F46" i="1" s="1"/>
  <c r="G46" i="1" s="1"/>
  <c r="C39" i="1"/>
  <c r="E39" i="1" s="1"/>
  <c r="F39" i="1" s="1"/>
  <c r="G39" i="1" s="1"/>
  <c r="C47" i="1"/>
  <c r="E47" i="1" s="1"/>
  <c r="F47" i="1" s="1"/>
  <c r="G47" i="1" s="1"/>
  <c r="C40" i="1"/>
  <c r="E40" i="1" s="1"/>
  <c r="F40" i="1" s="1"/>
  <c r="G40" i="1" s="1"/>
  <c r="C48" i="1"/>
  <c r="E48" i="1" s="1"/>
  <c r="F48" i="1" s="1"/>
  <c r="G48" i="1" s="1"/>
  <c r="C41" i="1"/>
  <c r="E41" i="1" s="1"/>
  <c r="F41" i="1" s="1"/>
  <c r="G41" i="1" s="1"/>
  <c r="C49" i="1"/>
  <c r="E49" i="1" s="1"/>
  <c r="F49" i="1" s="1"/>
  <c r="G49" i="1" s="1"/>
  <c r="B30" i="1"/>
  <c r="H49" i="1" l="1"/>
  <c r="I49" i="1" s="1"/>
  <c r="H43" i="1"/>
  <c r="I43" i="1" s="1"/>
  <c r="H54" i="1"/>
  <c r="I54" i="1" s="1"/>
  <c r="H41" i="1"/>
  <c r="I41" i="1" s="1"/>
  <c r="H39" i="1"/>
  <c r="I39" i="1" s="1"/>
  <c r="H37" i="1"/>
  <c r="I37" i="1" s="1"/>
  <c r="H35" i="1"/>
  <c r="I35" i="1" s="1"/>
  <c r="H51" i="1"/>
  <c r="I51" i="1" s="1"/>
  <c r="H47" i="1"/>
  <c r="I47" i="1" s="1"/>
  <c r="H48" i="1"/>
  <c r="I48" i="1" s="1"/>
  <c r="H46" i="1"/>
  <c r="I46" i="1" s="1"/>
  <c r="H44" i="1"/>
  <c r="I44" i="1" s="1"/>
  <c r="H52" i="1"/>
  <c r="I52" i="1" s="1"/>
  <c r="H53" i="1"/>
  <c r="I53" i="1" s="1"/>
  <c r="H40" i="1"/>
  <c r="I40" i="1" s="1"/>
  <c r="H38" i="1"/>
  <c r="I38" i="1" s="1"/>
  <c r="H36" i="1"/>
  <c r="I36" i="1" s="1"/>
  <c r="H42" i="1"/>
  <c r="I42" i="1" s="1"/>
  <c r="H50" i="1"/>
  <c r="I50" i="1" s="1"/>
  <c r="H45" i="1"/>
  <c r="I45" i="1" s="1"/>
</calcChain>
</file>

<file path=xl/comments1.xml><?xml version="1.0" encoding="utf-8"?>
<comments xmlns="http://schemas.openxmlformats.org/spreadsheetml/2006/main">
  <authors>
    <author>rcarlyle</author>
  </authors>
  <commentList>
    <comment ref="D33" authorId="0">
      <text>
        <r>
          <rPr>
            <b/>
            <sz val="9"/>
            <color indexed="81"/>
            <rFont val="Tahoma"/>
            <family val="2"/>
          </rPr>
          <t>rcarlyle:</t>
        </r>
        <r>
          <rPr>
            <sz val="9"/>
            <color indexed="81"/>
            <rFont val="Tahoma"/>
            <family val="2"/>
          </rPr>
          <t xml:space="preserve">
How many seconds does the coil have to rise to the target current from zero?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rcarlyle:</t>
        </r>
        <r>
          <rPr>
            <sz val="9"/>
            <color indexed="81"/>
            <rFont val="Tahoma"/>
            <family val="2"/>
          </rPr>
          <t xml:space="preserve">
A synthetic time constant calculated by taking the motor's time constant, adjusting it for the driver's PWM chopping behavior, and subtracting back-emf from the drive voltage.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rcarlyle:</t>
        </r>
        <r>
          <rPr>
            <sz val="9"/>
            <color indexed="81"/>
            <rFont val="Tahoma"/>
            <family val="2"/>
          </rPr>
          <t xml:space="preserve">
Input to the charge time formula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rcarlyle:</t>
        </r>
        <r>
          <rPr>
            <sz val="9"/>
            <color indexed="81"/>
            <rFont val="Tahoma"/>
            <family val="2"/>
          </rPr>
          <t xml:space="preserve">
Basic inductor charging formula, but using the synthetic time constant instead of the real time constant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>rcarlyle:</t>
        </r>
        <r>
          <rPr>
            <sz val="9"/>
            <color indexed="81"/>
            <rFont val="Tahoma"/>
            <family val="2"/>
          </rPr>
          <t xml:space="preserve">
Power the motor can produce if it is run at max torque, ie at the very edge of skipping. In practice you should run open-loop steppers at a tiny fraction of this.</t>
        </r>
      </text>
    </comment>
  </commentList>
</comments>
</file>

<file path=xl/sharedStrings.xml><?xml version="1.0" encoding="utf-8"?>
<sst xmlns="http://schemas.openxmlformats.org/spreadsheetml/2006/main" count="77" uniqueCount="68">
  <si>
    <t>Ryan Carlyle</t>
  </si>
  <si>
    <t xml:space="preserve">INPUT CELLS </t>
  </si>
  <si>
    <t>Sheet is locked to prevent accidental edits, feel free to unlock and modify</t>
  </si>
  <si>
    <t>Lock password:</t>
  </si>
  <si>
    <t>StepperSim</t>
  </si>
  <si>
    <t>Given Units</t>
  </si>
  <si>
    <t>Standard Units</t>
  </si>
  <si>
    <t>Notes</t>
  </si>
  <si>
    <t>Stepper Torque Curve Predictor</t>
  </si>
  <si>
    <t>Motor Spec</t>
  </si>
  <si>
    <t>ohms</t>
  </si>
  <si>
    <t>mH</t>
  </si>
  <si>
    <t>Henries</t>
  </si>
  <si>
    <t>Resistance</t>
  </si>
  <si>
    <t>Inductance</t>
  </si>
  <si>
    <t>If not provided, calculate per V = rated_current * resistance</t>
  </si>
  <si>
    <t>volts</t>
  </si>
  <si>
    <t>Rated Torque</t>
  </si>
  <si>
    <t>Rated Current</t>
  </si>
  <si>
    <t>Rated Voltage</t>
  </si>
  <si>
    <t>N-cm</t>
  </si>
  <si>
    <t>N-m</t>
  </si>
  <si>
    <t>Single Coil</t>
  </si>
  <si>
    <t>Two Coils</t>
  </si>
  <si>
    <t>This will overheat the motor and is generally not allowed by modern stepper drivers.</t>
  </si>
  <si>
    <t xml:space="preserve">Many manufacturers exaggerate motor specs by giving the torque produced by energizing BOTH coils to the rated current. </t>
  </si>
  <si>
    <t>If the datasheet says which torque rating is given, input that here. If it is not specified, pick "Two Coils" to be safe.</t>
  </si>
  <si>
    <t>Is this rating the single-coil-on torque, or a two-coils-on torque?</t>
  </si>
  <si>
    <t>(most often two coils)</t>
  </si>
  <si>
    <t>Rating Type</t>
  </si>
  <si>
    <t>PSU Voltage</t>
  </si>
  <si>
    <t>Yes please</t>
  </si>
  <si>
    <t>Let the calculator estimate your back-emf constant from motor specs?</t>
  </si>
  <si>
    <t>No, I have data</t>
  </si>
  <si>
    <t>Driver current setting</t>
  </si>
  <si>
    <t>amps</t>
  </si>
  <si>
    <t>Your firmware might set this directly, or you might need to calculate the current from a measured vref value.</t>
  </si>
  <si>
    <t>Low-speed torque</t>
  </si>
  <si>
    <t>Measured back-emf</t>
  </si>
  <si>
    <t>Vrms/RPM</t>
  </si>
  <si>
    <t>You can measure this with a true-RMS multimeter by spinning the rotor at a known RPM and measuring the AC voltage across a coil.</t>
  </si>
  <si>
    <t>DROPDOWN OPTIONS LISTS</t>
  </si>
  <si>
    <t>Estimate back-emf?</t>
  </si>
  <si>
    <t>Estimated back-emf</t>
  </si>
  <si>
    <t>Pick "yes please" unless your datasheet or personal measurements have provided a back-emf constant to use here.</t>
  </si>
  <si>
    <t>Be sure to use rated current here, not stepper driver current setting.</t>
  </si>
  <si>
    <t>Back-emf to use:</t>
  </si>
  <si>
    <t>sec</t>
  </si>
  <si>
    <t>millisec</t>
  </si>
  <si>
    <t>Setting PWM voltage</t>
  </si>
  <si>
    <t>The average voltage applied by the stepper driver in order to hit the target current setting.</t>
  </si>
  <si>
    <t>Time constant tau</t>
  </si>
  <si>
    <t>This is the motor coil's charge/discharge time constant. We will adjust this for PWM chopping and back-emf later.</t>
  </si>
  <si>
    <t>Speed (RPM)</t>
  </si>
  <si>
    <t>Speed (rad/sec)</t>
  </si>
  <si>
    <t>Back-emf (Vrms)</t>
  </si>
  <si>
    <t>Full-step period (sec)</t>
  </si>
  <si>
    <t>PWM-adjusted tau with back-emf (sec)</t>
  </si>
  <si>
    <t>Adjusted taus per step period (#)</t>
  </si>
  <si>
    <t xml:space="preserve">% of target current reached within step period </t>
  </si>
  <si>
    <t>Predicted torque (N-m)</t>
  </si>
  <si>
    <t>Max power (w)</t>
  </si>
  <si>
    <t>Steps per Rev</t>
  </si>
  <si>
    <t>full steps / rev</t>
  </si>
  <si>
    <t>kg-cm</t>
  </si>
  <si>
    <t>oz-in</t>
  </si>
  <si>
    <t>Unit</t>
  </si>
  <si>
    <t>Conversion to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</si>
</sst>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2" fillId="2" borderId="1" xfId="2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2" borderId="1" xfId="2" applyProtection="1">
      <protection locked="0"/>
    </xf>
    <xf numFmtId="0" fontId="2" fillId="2" borderId="2" xfId="2" applyBorder="1" applyAlignment="1">
      <alignment horizontal="center"/>
    </xf>
    <xf numFmtId="0" fontId="2" fillId="2" borderId="3" xfId="2" applyBorder="1" applyAlignment="1">
      <alignment horizontal="center"/>
    </xf>
  </cellXfs>
  <cellStyles count="3">
    <cellStyle name="Input" xfId="2" builtinId="20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strike/>
        <color theme="0" tint="-0.24994659260841701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strike/>
        <color theme="0" tint="-0.34998626667073579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Stepper Torque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7825758518334194E-2"/>
          <c:y val="0.1282503457814661"/>
          <c:w val="0.81608603947079983"/>
          <c:h val="0.71821124797159697"/>
        </c:manualLayout>
      </c:layout>
      <c:scatterChart>
        <c:scatterStyle val="lineMarker"/>
        <c:varyColors val="0"/>
        <c:ser>
          <c:idx val="0"/>
          <c:order val="0"/>
          <c:tx>
            <c:v>Predicted Torque (N-m)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Sheet1!$A$34:$A$54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Sheet1!$H$34:$H$54</c:f>
              <c:numCache>
                <c:formatCode>General</c:formatCode>
                <c:ptCount val="21"/>
                <c:pt idx="0">
                  <c:v>0.38151946378920176</c:v>
                </c:pt>
                <c:pt idx="1">
                  <c:v>0.38148149893613459</c:v>
                </c:pt>
                <c:pt idx="2">
                  <c:v>0.37588498001063658</c:v>
                </c:pt>
                <c:pt idx="3">
                  <c:v>0.3516877454840534</c:v>
                </c:pt>
                <c:pt idx="4">
                  <c:v>0.31287739918514923</c:v>
                </c:pt>
                <c:pt idx="5">
                  <c:v>0.26834783181172794</c:v>
                </c:pt>
                <c:pt idx="6">
                  <c:v>0.22357572803416911</c:v>
                </c:pt>
                <c:pt idx="7">
                  <c:v>0.18111570912464212</c:v>
                </c:pt>
                <c:pt idx="8">
                  <c:v>0.14193511701280617</c:v>
                </c:pt>
                <c:pt idx="9">
                  <c:v>0.10623790546397024</c:v>
                </c:pt>
                <c:pt idx="10">
                  <c:v>7.3887073087780031E-2</c:v>
                </c:pt>
                <c:pt idx="11">
                  <c:v>4.4609870777421831E-2</c:v>
                </c:pt>
                <c:pt idx="12">
                  <c:v>1.8094735699324432E-2</c:v>
                </c:pt>
                <c:pt idx="13">
                  <c:v>-5.964616268332874E-3</c:v>
                </c:pt>
                <c:pt idx="14">
                  <c:v>-2.7850710847068912E-2</c:v>
                </c:pt>
                <c:pt idx="15">
                  <c:v>-4.7816123032640823E-2</c:v>
                </c:pt>
                <c:pt idx="16">
                  <c:v>-6.6083023539839136E-2</c:v>
                </c:pt>
                <c:pt idx="17">
                  <c:v>-8.2845238283708433E-2</c:v>
                </c:pt>
                <c:pt idx="18">
                  <c:v>-9.8271241373685286E-2</c:v>
                </c:pt>
                <c:pt idx="19">
                  <c:v>-0.11250732497440634</c:v>
                </c:pt>
                <c:pt idx="20">
                  <c:v>-0.12568060231656464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0192"/>
        <c:axId val="73166848"/>
      </c:scatterChart>
      <c:scatterChart>
        <c:scatterStyle val="lineMarker"/>
        <c:varyColors val="0"/>
        <c:ser>
          <c:idx val="1"/>
          <c:order val="1"/>
          <c:tx>
            <c:v>Max Power (w)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Sheet1!$A$34:$A$54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Sheet1!$I$34:$I$54</c:f>
              <c:numCache>
                <c:formatCode>General</c:formatCode>
                <c:ptCount val="21"/>
                <c:pt idx="0">
                  <c:v>0</c:v>
                </c:pt>
                <c:pt idx="1">
                  <c:v>3.9948649151272764</c:v>
                </c:pt>
                <c:pt idx="2">
                  <c:v>7.8725166119744143</c:v>
                </c:pt>
                <c:pt idx="3">
                  <c:v>11.048596375702591</c:v>
                </c:pt>
                <c:pt idx="4">
                  <c:v>13.105777850057947</c:v>
                </c:pt>
                <c:pt idx="5">
                  <c:v>14.050659617107897</c:v>
                </c:pt>
                <c:pt idx="6">
                  <c:v>14.047677294262705</c:v>
                </c:pt>
                <c:pt idx="7">
                  <c:v>13.276474895499234</c:v>
                </c:pt>
                <c:pt idx="8">
                  <c:v>11.890728557169055</c:v>
                </c:pt>
                <c:pt idx="9">
                  <c:v>10.012686700151274</c:v>
                </c:pt>
                <c:pt idx="10">
                  <c:v>7.7374362002607278</c:v>
                </c:pt>
                <c:pt idx="11">
                  <c:v>5.1386882181044085</c:v>
                </c:pt>
                <c:pt idx="12">
                  <c:v>2.273851549665864</c:v>
                </c:pt>
                <c:pt idx="13">
                  <c:v>-0.81199710150332471</c:v>
                </c:pt>
                <c:pt idx="14">
                  <c:v>-4.0831274677389118</c:v>
                </c:pt>
                <c:pt idx="15">
                  <c:v>-7.5109390421245061</c:v>
                </c:pt>
                <c:pt idx="16">
                  <c:v>-11.072316868253868</c:v>
                </c:pt>
                <c:pt idx="17">
                  <c:v>-14.748406212029675</c:v>
                </c:pt>
                <c:pt idx="18">
                  <c:v>-18.523692597523141</c:v>
                </c:pt>
                <c:pt idx="19">
                  <c:v>-22.385305088926849</c:v>
                </c:pt>
                <c:pt idx="20">
                  <c:v>-26.322483795763986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5040"/>
        <c:axId val="73168768"/>
      </c:scatterChart>
      <c:valAx>
        <c:axId val="73160192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6848"/>
        <c:crossesAt val="0"/>
        <c:crossBetween val="midCat"/>
        <c:majorUnit val="100"/>
      </c:valAx>
      <c:valAx>
        <c:axId val="73166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N-m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0192"/>
        <c:crossesAt val="0"/>
        <c:crossBetween val="midCat"/>
      </c:valAx>
      <c:valAx>
        <c:axId val="7316876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5040"/>
        <c:crosses val="max"/>
        <c:crossBetween val="midCat"/>
      </c:valAx>
      <c:valAx>
        <c:axId val="7317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16876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495426079640725"/>
          <c:y val="0.71497179294496904"/>
          <c:w val="0.23342798149102695"/>
          <c:h val="0.11670206161989088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253637</xdr:colOff>
      <xdr:row>33</xdr:row>
      <xdr:rowOff>62048</xdr:rowOff>
    </xdr:from>
    <xdr:to>
      <xdr:col>6</xdr:col>
      <xdr:colOff>1518557</xdr:colOff>
      <xdr:row>53</xdr:row>
      <xdr:rowOff>77288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tabSelected="1" zoomScale="70" zoomScaleNormal="70" workbookViewId="0">
      <selection activeCell="E6" sqref="E6"/>
    </sheetView>
  </sheetViews>
  <sheetFormatPr defaultRowHeight="14.4" x14ac:dyDescent="0.3"/>
  <cols>
    <col min="1" max="1" width="24.6640625" customWidth="1"/>
    <col min="2" max="4" width="15.109375" customWidth="1"/>
    <col min="5" max="5" width="19.5546875" customWidth="1"/>
    <col min="6" max="6" width="15.109375" customWidth="1"/>
    <col min="7" max="7" width="23.88671875" customWidth="1"/>
    <col min="8" max="8" width="13" customWidth="1"/>
  </cols>
  <sheetData>
    <row r="1" spans="1:17" ht="15" thickBot="1" x14ac:dyDescent="0.35">
      <c r="A1" s="1" t="s">
        <v>8</v>
      </c>
    </row>
    <row r="2" spans="1:17" ht="15" thickBot="1" x14ac:dyDescent="0.35">
      <c r="A2" s="2" t="s">
        <v>0</v>
      </c>
      <c r="D2" s="14" t="s">
        <v>1</v>
      </c>
      <c r="E2" s="15"/>
    </row>
    <row r="3" spans="1:17" x14ac:dyDescent="0.3">
      <c r="A3" s="3">
        <v>42760</v>
      </c>
      <c r="N3" t="s">
        <v>41</v>
      </c>
    </row>
    <row r="4" spans="1:17" x14ac:dyDescent="0.3">
      <c r="A4" s="4" t="s">
        <v>2</v>
      </c>
      <c r="N4" t="s">
        <v>23</v>
      </c>
    </row>
    <row r="5" spans="1:17" x14ac:dyDescent="0.3">
      <c r="A5" s="4" t="s">
        <v>3</v>
      </c>
      <c r="B5" s="4" t="s">
        <v>4</v>
      </c>
      <c r="N5" t="s">
        <v>22</v>
      </c>
    </row>
    <row r="6" spans="1:17" x14ac:dyDescent="0.3">
      <c r="A6" s="4"/>
      <c r="B6" s="4"/>
      <c r="O6" t="s">
        <v>31</v>
      </c>
    </row>
    <row r="7" spans="1:17" x14ac:dyDescent="0.3">
      <c r="O7" t="s">
        <v>33</v>
      </c>
    </row>
    <row r="8" spans="1:17" x14ac:dyDescent="0.3">
      <c r="A8" s="5" t="s">
        <v>9</v>
      </c>
      <c r="B8" s="5" t="s">
        <v>5</v>
      </c>
      <c r="D8" s="5" t="s">
        <v>6</v>
      </c>
      <c r="E8" s="5"/>
      <c r="F8" s="5" t="s">
        <v>7</v>
      </c>
    </row>
    <row r="9" spans="1:17" x14ac:dyDescent="0.3">
      <c r="A9" t="s">
        <v>19</v>
      </c>
      <c r="B9" s="13">
        <v>4.2</v>
      </c>
      <c r="C9" t="s">
        <v>16</v>
      </c>
      <c r="F9" t="s">
        <v>15</v>
      </c>
      <c r="P9" t="s">
        <v>66</v>
      </c>
      <c r="Q9" t="s">
        <v>67</v>
      </c>
    </row>
    <row r="10" spans="1:17" x14ac:dyDescent="0.3">
      <c r="A10" t="s">
        <v>13</v>
      </c>
      <c r="B10" s="13">
        <v>2.8</v>
      </c>
      <c r="C10" t="s">
        <v>10</v>
      </c>
      <c r="P10" t="s">
        <v>64</v>
      </c>
      <c r="Q10">
        <f>9.81/100</f>
        <v>9.8100000000000007E-2</v>
      </c>
    </row>
    <row r="11" spans="1:17" x14ac:dyDescent="0.3">
      <c r="A11" t="s">
        <v>14</v>
      </c>
      <c r="B11" s="13">
        <v>4.8</v>
      </c>
      <c r="C11" t="s">
        <v>11</v>
      </c>
      <c r="D11">
        <f>B11/1000</f>
        <v>4.7999999999999996E-3</v>
      </c>
      <c r="E11" t="s">
        <v>12</v>
      </c>
      <c r="P11" t="s">
        <v>20</v>
      </c>
      <c r="Q11">
        <v>0.01</v>
      </c>
    </row>
    <row r="12" spans="1:17" x14ac:dyDescent="0.3">
      <c r="A12" t="s">
        <v>18</v>
      </c>
      <c r="B12" s="13">
        <v>1.5</v>
      </c>
      <c r="C12" t="s">
        <v>35</v>
      </c>
      <c r="F12" t="s">
        <v>45</v>
      </c>
      <c r="P12" t="s">
        <v>21</v>
      </c>
      <c r="Q12">
        <v>1</v>
      </c>
    </row>
    <row r="13" spans="1:17" x14ac:dyDescent="0.3">
      <c r="A13" t="s">
        <v>62</v>
      </c>
      <c r="B13" s="13">
        <v>200</v>
      </c>
      <c r="C13" t="s">
        <v>63</v>
      </c>
      <c r="P13" t="s">
        <v>65</v>
      </c>
      <c r="Q13">
        <v>7.0615518333299997E-3</v>
      </c>
    </row>
    <row r="14" spans="1:17" x14ac:dyDescent="0.3">
      <c r="A14" t="s">
        <v>17</v>
      </c>
      <c r="B14" s="13">
        <v>5.5</v>
      </c>
      <c r="C14" s="13" t="s">
        <v>64</v>
      </c>
      <c r="D14">
        <f>B14*IF(C14=P10,Q10,IF(C14=P11,Q11,IF(C14=P12,Q12,Q13)))</f>
        <v>0.53955000000000009</v>
      </c>
      <c r="E14" t="s">
        <v>21</v>
      </c>
    </row>
    <row r="15" spans="1:17" x14ac:dyDescent="0.3">
      <c r="A15" s="4" t="s">
        <v>27</v>
      </c>
      <c r="F15" t="s">
        <v>25</v>
      </c>
    </row>
    <row r="16" spans="1:17" x14ac:dyDescent="0.3">
      <c r="A16" t="s">
        <v>29</v>
      </c>
      <c r="B16" s="13" t="s">
        <v>23</v>
      </c>
      <c r="C16" t="s">
        <v>28</v>
      </c>
      <c r="F16" t="s">
        <v>24</v>
      </c>
    </row>
    <row r="17" spans="1:6" x14ac:dyDescent="0.3">
      <c r="A17" t="s">
        <v>37</v>
      </c>
      <c r="B17">
        <f>IF(B16=N4,D14/SQRT(2),D14)</f>
        <v>0.38151946378920176</v>
      </c>
      <c r="F17" t="s">
        <v>26</v>
      </c>
    </row>
    <row r="19" spans="1:6" x14ac:dyDescent="0.3">
      <c r="A19" t="s">
        <v>30</v>
      </c>
      <c r="B19" s="13">
        <v>24</v>
      </c>
      <c r="C19" t="s">
        <v>16</v>
      </c>
    </row>
    <row r="21" spans="1:6" x14ac:dyDescent="0.3">
      <c r="A21" s="4" t="s">
        <v>32</v>
      </c>
    </row>
    <row r="22" spans="1:6" x14ac:dyDescent="0.3">
      <c r="A22" t="s">
        <v>42</v>
      </c>
      <c r="B22" s="13" t="s">
        <v>31</v>
      </c>
      <c r="F22" t="s">
        <v>44</v>
      </c>
    </row>
    <row r="23" spans="1:6" x14ac:dyDescent="0.3">
      <c r="A23" t="s">
        <v>38</v>
      </c>
      <c r="B23" s="6"/>
      <c r="C23" t="s">
        <v>39</v>
      </c>
      <c r="D23" t="s">
        <v>46</v>
      </c>
      <c r="F23" t="s">
        <v>40</v>
      </c>
    </row>
    <row r="24" spans="1:6" x14ac:dyDescent="0.3">
      <c r="A24" t="s">
        <v>43</v>
      </c>
      <c r="B24">
        <f>PI()*SQRT(2)/60*(B17/B12)</f>
        <v>1.8833847958270811E-2</v>
      </c>
      <c r="C24" t="s">
        <v>39</v>
      </c>
      <c r="D24">
        <f>IF(B22=O7,B23,B24)</f>
        <v>1.8833847958270811E-2</v>
      </c>
      <c r="E24" t="s">
        <v>39</v>
      </c>
    </row>
    <row r="25" spans="1:6" x14ac:dyDescent="0.3">
      <c r="A25" s="7"/>
    </row>
    <row r="27" spans="1:6" x14ac:dyDescent="0.3">
      <c r="A27" t="s">
        <v>34</v>
      </c>
      <c r="B27" s="13">
        <v>1.5</v>
      </c>
      <c r="C27" t="s">
        <v>35</v>
      </c>
      <c r="F27" t="s">
        <v>36</v>
      </c>
    </row>
    <row r="28" spans="1:6" x14ac:dyDescent="0.3">
      <c r="A28" t="s">
        <v>49</v>
      </c>
      <c r="B28">
        <f>B27*B10</f>
        <v>4.1999999999999993</v>
      </c>
      <c r="C28" t="s">
        <v>16</v>
      </c>
      <c r="F28" t="s">
        <v>50</v>
      </c>
    </row>
    <row r="30" spans="1:6" x14ac:dyDescent="0.3">
      <c r="A30" t="s">
        <v>51</v>
      </c>
      <c r="B30" s="8">
        <f>D30*1000</f>
        <v>1.7142857142857142</v>
      </c>
      <c r="C30" t="s">
        <v>48</v>
      </c>
      <c r="D30">
        <f>D11/B10</f>
        <v>1.7142857142857142E-3</v>
      </c>
      <c r="E30" t="s">
        <v>47</v>
      </c>
      <c r="F30" t="s">
        <v>52</v>
      </c>
    </row>
    <row r="31" spans="1:6" x14ac:dyDescent="0.3">
      <c r="B31" s="8"/>
    </row>
    <row r="33" spans="1:9" s="10" customFormat="1" ht="43.2" x14ac:dyDescent="0.3">
      <c r="A33" s="10" t="s">
        <v>53</v>
      </c>
      <c r="B33" s="10" t="s">
        <v>54</v>
      </c>
      <c r="C33" s="9" t="s">
        <v>55</v>
      </c>
      <c r="D33" s="10" t="s">
        <v>56</v>
      </c>
      <c r="E33" s="10" t="s">
        <v>57</v>
      </c>
      <c r="F33" s="10" t="s">
        <v>58</v>
      </c>
      <c r="G33" s="10" t="s">
        <v>59</v>
      </c>
      <c r="H33" s="10" t="s">
        <v>60</v>
      </c>
      <c r="I33" s="10" t="s">
        <v>61</v>
      </c>
    </row>
    <row r="34" spans="1:9" s="9" customFormat="1" x14ac:dyDescent="0.3">
      <c r="A34" s="9">
        <v>0</v>
      </c>
      <c r="B34">
        <f>A34*2*PI()/60</f>
        <v>0</v>
      </c>
      <c r="C34" s="9">
        <f>A34*$D$24</f>
        <v>0</v>
      </c>
      <c r="G34" s="11">
        <v>1</v>
      </c>
      <c r="H34" s="9">
        <f>$B$17*($B$27/$B$12)*G34</f>
        <v>0.38151946378920176</v>
      </c>
      <c r="I34" s="9">
        <f>H34*B34</f>
        <v>0</v>
      </c>
    </row>
    <row r="35" spans="1:9" s="9" customFormat="1" x14ac:dyDescent="0.3">
      <c r="A35" s="9">
        <v>100</v>
      </c>
      <c r="B35">
        <f t="shared" ref="B35:B54" si="0">A35*2*PI()/60</f>
        <v>10.471975511965978</v>
      </c>
      <c r="C35" s="9">
        <f t="shared" ref="C35:C49" si="1">A35*$D$24</f>
        <v>1.8833847958270811</v>
      </c>
      <c r="D35" s="9">
        <f>60/(A35*$B$13)</f>
        <v>3.0000000000000001E-3</v>
      </c>
      <c r="E35" s="9">
        <f t="shared" ref="E35:E49" si="2">$D$30*$B$28/($B$19-C35)</f>
        <v>3.2554710264351465E-4</v>
      </c>
      <c r="F35" s="9">
        <f t="shared" ref="F35:F49" si="3">D35/E35</f>
        <v>9.215256335072052</v>
      </c>
      <c r="G35" s="12">
        <f>1-EXP(-1*F35)</f>
        <v>0.99990049038995255</v>
      </c>
      <c r="H35" s="9">
        <f t="shared" ref="H35:H54" si="4">$B$17*($B$27/$B$12)*G35</f>
        <v>0.38148149893613459</v>
      </c>
      <c r="I35" s="9">
        <f t="shared" ref="I35:I54" si="5">H35*B35</f>
        <v>3.9948649151272764</v>
      </c>
    </row>
    <row r="36" spans="1:9" s="9" customFormat="1" x14ac:dyDescent="0.3">
      <c r="A36" s="9">
        <v>200</v>
      </c>
      <c r="B36">
        <f t="shared" si="0"/>
        <v>20.943951023931955</v>
      </c>
      <c r="C36" s="9">
        <f t="shared" si="1"/>
        <v>3.7667695916541621</v>
      </c>
      <c r="D36" s="9">
        <f t="shared" ref="D36:D54" si="6">60/(A36*$B$13)</f>
        <v>1.5E-3</v>
      </c>
      <c r="E36" s="9">
        <f t="shared" si="2"/>
        <v>3.5585024510125326E-4</v>
      </c>
      <c r="F36" s="9">
        <f t="shared" si="3"/>
        <v>4.2152563350720511</v>
      </c>
      <c r="G36" s="12">
        <f t="shared" ref="G36:G54" si="7">1-EXP(-1*F36)</f>
        <v>0.9852314644117911</v>
      </c>
      <c r="H36" s="9">
        <f t="shared" si="4"/>
        <v>0.37588498001063658</v>
      </c>
      <c r="I36" s="9">
        <f t="shared" si="5"/>
        <v>7.8725166119744143</v>
      </c>
    </row>
    <row r="37" spans="1:9" s="9" customFormat="1" x14ac:dyDescent="0.3">
      <c r="A37" s="9">
        <v>300</v>
      </c>
      <c r="B37">
        <f t="shared" si="0"/>
        <v>31.415926535897931</v>
      </c>
      <c r="C37" s="9">
        <f t="shared" si="1"/>
        <v>5.6501543874812432</v>
      </c>
      <c r="D37" s="9">
        <f t="shared" si="6"/>
        <v>1E-3</v>
      </c>
      <c r="E37" s="9">
        <f t="shared" si="2"/>
        <v>3.9237387343945635E-4</v>
      </c>
      <c r="F37" s="9">
        <f t="shared" si="3"/>
        <v>2.5485896684053837</v>
      </c>
      <c r="G37" s="12">
        <f t="shared" si="7"/>
        <v>0.92180813526821515</v>
      </c>
      <c r="H37" s="9">
        <f t="shared" si="4"/>
        <v>0.3516877454840534</v>
      </c>
      <c r="I37" s="9">
        <f t="shared" si="5"/>
        <v>11.048596375702591</v>
      </c>
    </row>
    <row r="38" spans="1:9" s="9" customFormat="1" x14ac:dyDescent="0.3">
      <c r="A38" s="9">
        <v>400</v>
      </c>
      <c r="B38">
        <f t="shared" si="0"/>
        <v>41.887902047863911</v>
      </c>
      <c r="C38" s="9">
        <f t="shared" si="1"/>
        <v>7.5335391833083243</v>
      </c>
      <c r="D38" s="9">
        <f t="shared" si="6"/>
        <v>7.5000000000000002E-4</v>
      </c>
      <c r="E38" s="9">
        <f t="shared" si="2"/>
        <v>4.3725242966002279E-4</v>
      </c>
      <c r="F38" s="9">
        <f t="shared" si="3"/>
        <v>1.71525633507205</v>
      </c>
      <c r="G38" s="12">
        <f t="shared" si="7"/>
        <v>0.82008240438821001</v>
      </c>
      <c r="H38" s="9">
        <f t="shared" si="4"/>
        <v>0.31287739918514923</v>
      </c>
      <c r="I38" s="9">
        <f t="shared" si="5"/>
        <v>13.105777850057947</v>
      </c>
    </row>
    <row r="39" spans="1:9" s="9" customFormat="1" x14ac:dyDescent="0.3">
      <c r="A39" s="9">
        <v>500</v>
      </c>
      <c r="B39">
        <f t="shared" si="0"/>
        <v>52.359877559829883</v>
      </c>
      <c r="C39" s="9">
        <f t="shared" si="1"/>
        <v>9.4169239791354045</v>
      </c>
      <c r="D39" s="9">
        <f t="shared" si="6"/>
        <v>5.9999999999999995E-4</v>
      </c>
      <c r="E39" s="9">
        <f t="shared" si="2"/>
        <v>4.9372299710285182E-4</v>
      </c>
      <c r="F39" s="9">
        <f t="shared" si="3"/>
        <v>1.2152563350720498</v>
      </c>
      <c r="G39" s="12">
        <f t="shared" si="7"/>
        <v>0.70336603314161783</v>
      </c>
      <c r="H39" s="9">
        <f t="shared" si="4"/>
        <v>0.26834783181172794</v>
      </c>
      <c r="I39" s="9">
        <f t="shared" si="5"/>
        <v>14.050659617107897</v>
      </c>
    </row>
    <row r="40" spans="1:9" s="9" customFormat="1" x14ac:dyDescent="0.3">
      <c r="A40" s="9">
        <v>600</v>
      </c>
      <c r="B40">
        <f t="shared" si="0"/>
        <v>62.831853071795862</v>
      </c>
      <c r="C40" s="9">
        <f t="shared" si="1"/>
        <v>11.300308774962486</v>
      </c>
      <c r="D40" s="9">
        <f t="shared" si="6"/>
        <v>5.0000000000000001E-4</v>
      </c>
      <c r="E40" s="9">
        <f t="shared" si="2"/>
        <v>5.6694291793529252E-4</v>
      </c>
      <c r="F40" s="9">
        <f t="shared" si="3"/>
        <v>0.88192300173871652</v>
      </c>
      <c r="G40" s="12">
        <f t="shared" si="7"/>
        <v>0.58601395014986657</v>
      </c>
      <c r="H40" s="9">
        <f t="shared" si="4"/>
        <v>0.22357572803416911</v>
      </c>
      <c r="I40" s="9">
        <f t="shared" si="5"/>
        <v>14.047677294262705</v>
      </c>
    </row>
    <row r="41" spans="1:9" s="9" customFormat="1" x14ac:dyDescent="0.3">
      <c r="A41" s="9">
        <v>700</v>
      </c>
      <c r="B41">
        <f t="shared" si="0"/>
        <v>73.303828583761828</v>
      </c>
      <c r="C41" s="9">
        <f t="shared" si="1"/>
        <v>13.183693570789568</v>
      </c>
      <c r="D41" s="9">
        <f t="shared" si="6"/>
        <v>4.2857142857142855E-4</v>
      </c>
      <c r="E41" s="9">
        <f t="shared" si="2"/>
        <v>6.6566161444499533E-4</v>
      </c>
      <c r="F41" s="9">
        <f t="shared" si="3"/>
        <v>0.64382776364347816</v>
      </c>
      <c r="G41" s="12">
        <f t="shared" si="7"/>
        <v>0.47472206876635969</v>
      </c>
      <c r="H41" s="9">
        <f t="shared" si="4"/>
        <v>0.18111570912464212</v>
      </c>
      <c r="I41" s="9">
        <f t="shared" si="5"/>
        <v>13.276474895499234</v>
      </c>
    </row>
    <row r="42" spans="1:9" s="9" customFormat="1" x14ac:dyDescent="0.3">
      <c r="A42" s="9">
        <v>800</v>
      </c>
      <c r="B42">
        <f t="shared" si="0"/>
        <v>83.775804095727821</v>
      </c>
      <c r="C42" s="9">
        <f t="shared" si="1"/>
        <v>15.067078366616649</v>
      </c>
      <c r="D42" s="9">
        <f t="shared" si="6"/>
        <v>3.7500000000000001E-4</v>
      </c>
      <c r="E42" s="9">
        <f t="shared" si="2"/>
        <v>8.0600729475704491E-4</v>
      </c>
      <c r="F42" s="9">
        <f t="shared" si="3"/>
        <v>0.46525633507204966</v>
      </c>
      <c r="G42" s="12">
        <f t="shared" si="7"/>
        <v>0.37202588723292129</v>
      </c>
      <c r="H42" s="9">
        <f t="shared" si="4"/>
        <v>0.14193511701280617</v>
      </c>
      <c r="I42" s="9">
        <f t="shared" si="5"/>
        <v>11.890728557169055</v>
      </c>
    </row>
    <row r="43" spans="1:9" s="9" customFormat="1" x14ac:dyDescent="0.3">
      <c r="A43" s="9">
        <v>900</v>
      </c>
      <c r="B43">
        <f t="shared" si="0"/>
        <v>94.247779607693786</v>
      </c>
      <c r="C43" s="9">
        <f t="shared" si="1"/>
        <v>16.950463162443729</v>
      </c>
      <c r="D43" s="9">
        <f t="shared" si="6"/>
        <v>3.3333333333333332E-4</v>
      </c>
      <c r="E43" s="9">
        <f t="shared" si="2"/>
        <v>1.0213436947576666E-3</v>
      </c>
      <c r="F43" s="9">
        <f t="shared" si="3"/>
        <v>0.32636744618316077</v>
      </c>
      <c r="G43" s="12">
        <f t="shared" si="7"/>
        <v>0.27845998840748298</v>
      </c>
      <c r="H43" s="9">
        <f t="shared" si="4"/>
        <v>0.10623790546397024</v>
      </c>
      <c r="I43" s="9">
        <f t="shared" si="5"/>
        <v>10.012686700151274</v>
      </c>
    </row>
    <row r="44" spans="1:9" s="9" customFormat="1" x14ac:dyDescent="0.3">
      <c r="A44" s="9">
        <v>1000</v>
      </c>
      <c r="B44">
        <f t="shared" si="0"/>
        <v>104.71975511965977</v>
      </c>
      <c r="C44" s="9">
        <f t="shared" si="1"/>
        <v>18.833847958270809</v>
      </c>
      <c r="D44" s="9">
        <f t="shared" si="6"/>
        <v>2.9999999999999997E-4</v>
      </c>
      <c r="E44" s="9">
        <f t="shared" si="2"/>
        <v>1.3936872050691808E-3</v>
      </c>
      <c r="F44" s="9">
        <f t="shared" si="3"/>
        <v>0.21525633507204966</v>
      </c>
      <c r="G44" s="12">
        <f t="shared" si="7"/>
        <v>0.1936652781851369</v>
      </c>
      <c r="H44" s="9">
        <f t="shared" si="4"/>
        <v>7.3887073087780031E-2</v>
      </c>
      <c r="I44" s="9">
        <f t="shared" si="5"/>
        <v>7.7374362002607278</v>
      </c>
    </row>
    <row r="45" spans="1:9" s="9" customFormat="1" x14ac:dyDescent="0.3">
      <c r="A45" s="9">
        <v>1100</v>
      </c>
      <c r="B45">
        <f t="shared" si="0"/>
        <v>115.19173063162575</v>
      </c>
      <c r="C45" s="9">
        <f t="shared" si="1"/>
        <v>20.717232754097893</v>
      </c>
      <c r="D45" s="9">
        <f t="shared" si="6"/>
        <v>2.7272727272727274E-4</v>
      </c>
      <c r="E45" s="9">
        <f t="shared" si="2"/>
        <v>2.1932715482609342E-3</v>
      </c>
      <c r="F45" s="9">
        <f t="shared" si="3"/>
        <v>0.12434724416295866</v>
      </c>
      <c r="G45" s="12">
        <f t="shared" si="7"/>
        <v>0.11692685435852312</v>
      </c>
      <c r="H45" s="9">
        <f t="shared" si="4"/>
        <v>4.4609870777421831E-2</v>
      </c>
      <c r="I45" s="9">
        <f t="shared" si="5"/>
        <v>5.1386882181044085</v>
      </c>
    </row>
    <row r="46" spans="1:9" s="9" customFormat="1" x14ac:dyDescent="0.3">
      <c r="A46" s="9">
        <v>1200</v>
      </c>
      <c r="B46">
        <f t="shared" si="0"/>
        <v>125.66370614359172</v>
      </c>
      <c r="C46" s="9">
        <f t="shared" si="1"/>
        <v>22.600617549924973</v>
      </c>
      <c r="D46" s="9">
        <f t="shared" si="6"/>
        <v>2.5000000000000001E-4</v>
      </c>
      <c r="E46" s="9">
        <f t="shared" si="2"/>
        <v>5.1451266947173547E-3</v>
      </c>
      <c r="F46" s="9">
        <f t="shared" si="3"/>
        <v>4.8589668405382903E-2</v>
      </c>
      <c r="G46" s="12">
        <f t="shared" si="7"/>
        <v>4.742808012888744E-2</v>
      </c>
      <c r="H46" s="9">
        <f t="shared" si="4"/>
        <v>1.8094735699324432E-2</v>
      </c>
      <c r="I46" s="9">
        <f t="shared" si="5"/>
        <v>2.273851549665864</v>
      </c>
    </row>
    <row r="47" spans="1:9" s="9" customFormat="1" x14ac:dyDescent="0.3">
      <c r="A47" s="9">
        <v>1300</v>
      </c>
      <c r="B47">
        <f t="shared" si="0"/>
        <v>136.1356816555577</v>
      </c>
      <c r="C47" s="9">
        <f t="shared" si="1"/>
        <v>24.484002345752053</v>
      </c>
      <c r="D47" s="9">
        <f t="shared" si="6"/>
        <v>2.3076923076923076E-4</v>
      </c>
      <c r="E47" s="9">
        <f t="shared" si="2"/>
        <v>-1.4875960960090981E-2</v>
      </c>
      <c r="F47" s="9">
        <f t="shared" si="3"/>
        <v>-1.5512895697181192E-2</v>
      </c>
      <c r="G47" s="12">
        <f t="shared" si="7"/>
        <v>-1.5633845280377257E-2</v>
      </c>
      <c r="H47" s="9">
        <f t="shared" si="4"/>
        <v>-5.964616268332874E-3</v>
      </c>
      <c r="I47" s="9">
        <f t="shared" si="5"/>
        <v>-0.81199710150332471</v>
      </c>
    </row>
    <row r="48" spans="1:9" s="9" customFormat="1" x14ac:dyDescent="0.3">
      <c r="A48" s="9">
        <v>1400</v>
      </c>
      <c r="B48">
        <f t="shared" si="0"/>
        <v>146.60765716752366</v>
      </c>
      <c r="C48" s="9">
        <f t="shared" si="1"/>
        <v>26.367387141579137</v>
      </c>
      <c r="D48" s="9">
        <f t="shared" si="6"/>
        <v>2.1428571428571427E-4</v>
      </c>
      <c r="E48" s="9">
        <f t="shared" si="2"/>
        <v>-3.0413276618531117E-3</v>
      </c>
      <c r="F48" s="9">
        <f t="shared" si="3"/>
        <v>-7.0457950642236228E-2</v>
      </c>
      <c r="G48" s="12">
        <f t="shared" si="7"/>
        <v>-7.2999449544354222E-2</v>
      </c>
      <c r="H48" s="9">
        <f t="shared" si="4"/>
        <v>-2.7850710847068912E-2</v>
      </c>
      <c r="I48" s="9">
        <f t="shared" si="5"/>
        <v>-4.0831274677389118</v>
      </c>
    </row>
    <row r="49" spans="1:9" s="9" customFormat="1" x14ac:dyDescent="0.3">
      <c r="A49" s="9">
        <v>1500</v>
      </c>
      <c r="B49">
        <f t="shared" si="0"/>
        <v>157.07963267948966</v>
      </c>
      <c r="C49" s="9">
        <f t="shared" si="1"/>
        <v>28.250771937406217</v>
      </c>
      <c r="D49" s="9">
        <f t="shared" si="6"/>
        <v>2.0000000000000001E-4</v>
      </c>
      <c r="E49" s="9">
        <f t="shared" si="2"/>
        <v>-1.693809996401118E-3</v>
      </c>
      <c r="F49" s="9">
        <f t="shared" si="3"/>
        <v>-0.11807699826128384</v>
      </c>
      <c r="G49" s="12">
        <f t="shared" si="7"/>
        <v>-0.12533075654315851</v>
      </c>
      <c r="H49" s="9">
        <f t="shared" si="4"/>
        <v>-4.7816123032640823E-2</v>
      </c>
      <c r="I49" s="9">
        <f t="shared" si="5"/>
        <v>-7.5109390421245061</v>
      </c>
    </row>
    <row r="50" spans="1:9" x14ac:dyDescent="0.3">
      <c r="A50" s="9">
        <v>1600</v>
      </c>
      <c r="B50">
        <f t="shared" si="0"/>
        <v>167.55160819145564</v>
      </c>
      <c r="C50" s="9">
        <f t="shared" ref="C50:C54" si="8">A50*$D$24</f>
        <v>30.134156733233297</v>
      </c>
      <c r="D50" s="9">
        <f t="shared" si="6"/>
        <v>1.875E-4</v>
      </c>
      <c r="E50" s="9">
        <f t="shared" ref="E50:E53" si="9">$D$30*$B$28/($B$19-C50)</f>
        <v>-1.1737554668259833E-3</v>
      </c>
      <c r="F50" s="9">
        <f t="shared" ref="F50:F53" si="10">D50/E50</f>
        <v>-0.1597436649279505</v>
      </c>
      <c r="G50" s="12">
        <f t="shared" si="7"/>
        <v>-0.17321009754918171</v>
      </c>
      <c r="H50" s="9">
        <f t="shared" si="4"/>
        <v>-6.6083023539839136E-2</v>
      </c>
      <c r="I50" s="9">
        <f t="shared" si="5"/>
        <v>-11.072316868253868</v>
      </c>
    </row>
    <row r="51" spans="1:9" x14ac:dyDescent="0.3">
      <c r="A51" s="9">
        <v>1700</v>
      </c>
      <c r="B51">
        <f t="shared" si="0"/>
        <v>178.02358370342159</v>
      </c>
      <c r="C51" s="9">
        <f t="shared" si="8"/>
        <v>32.017541529060381</v>
      </c>
      <c r="D51" s="9">
        <f t="shared" si="6"/>
        <v>1.7647058823529413E-4</v>
      </c>
      <c r="E51" s="9">
        <f t="shared" si="9"/>
        <v>-8.9803089561842347E-4</v>
      </c>
      <c r="F51" s="9">
        <f t="shared" si="10"/>
        <v>-0.19650837081030351</v>
      </c>
      <c r="G51" s="12">
        <f t="shared" si="7"/>
        <v>-0.21714550932972143</v>
      </c>
      <c r="H51" s="9">
        <f t="shared" si="4"/>
        <v>-8.2845238283708433E-2</v>
      </c>
      <c r="I51" s="9">
        <f t="shared" si="5"/>
        <v>-14.748406212029675</v>
      </c>
    </row>
    <row r="52" spans="1:9" x14ac:dyDescent="0.3">
      <c r="A52" s="9">
        <v>1800</v>
      </c>
      <c r="B52">
        <f t="shared" si="0"/>
        <v>188.49555921538757</v>
      </c>
      <c r="C52" s="9">
        <f t="shared" si="8"/>
        <v>33.900926324887457</v>
      </c>
      <c r="D52" s="9">
        <f t="shared" si="6"/>
        <v>1.6666666666666666E-4</v>
      </c>
      <c r="E52" s="9">
        <f t="shared" si="9"/>
        <v>-7.2720468406089664E-4</v>
      </c>
      <c r="F52" s="9">
        <f t="shared" si="10"/>
        <v>-0.22918810937239489</v>
      </c>
      <c r="G52" s="12">
        <f t="shared" si="7"/>
        <v>-0.25757857907868731</v>
      </c>
      <c r="H52" s="9">
        <f t="shared" si="4"/>
        <v>-9.8271241373685286E-2</v>
      </c>
      <c r="I52" s="9">
        <f t="shared" si="5"/>
        <v>-18.523692597523141</v>
      </c>
    </row>
    <row r="53" spans="1:9" x14ac:dyDescent="0.3">
      <c r="A53" s="9">
        <v>1900</v>
      </c>
      <c r="B53">
        <f t="shared" si="0"/>
        <v>198.96753472735358</v>
      </c>
      <c r="C53" s="9">
        <f t="shared" si="8"/>
        <v>35.784311120714541</v>
      </c>
      <c r="D53" s="9">
        <f t="shared" si="6"/>
        <v>1.5789473684210527E-4</v>
      </c>
      <c r="E53" s="9">
        <f t="shared" si="9"/>
        <v>-6.1098183222129884E-4</v>
      </c>
      <c r="F53" s="9">
        <f t="shared" si="10"/>
        <v>-0.25842787545426632</v>
      </c>
      <c r="G53" s="12">
        <f t="shared" si="7"/>
        <v>-0.29489275293322703</v>
      </c>
      <c r="H53" s="9">
        <f t="shared" si="4"/>
        <v>-0.11250732497440634</v>
      </c>
      <c r="I53" s="9">
        <f t="shared" si="5"/>
        <v>-22.385305088926849</v>
      </c>
    </row>
    <row r="54" spans="1:9" x14ac:dyDescent="0.3">
      <c r="A54" s="9">
        <v>2000</v>
      </c>
      <c r="B54">
        <f t="shared" si="0"/>
        <v>209.43951023931953</v>
      </c>
      <c r="C54" s="9">
        <f t="shared" si="8"/>
        <v>37.667695916541618</v>
      </c>
      <c r="D54" s="9">
        <f t="shared" si="6"/>
        <v>1.4999999999999999E-4</v>
      </c>
      <c r="E54" s="9">
        <f>$D$30*$B$28/($B$19-C54)</f>
        <v>-5.2678959525914281E-4</v>
      </c>
      <c r="F54" s="9">
        <f>D54/E54</f>
        <v>-0.28474366492795045</v>
      </c>
      <c r="G54" s="12">
        <f t="shared" si="7"/>
        <v>-0.3294212071602356</v>
      </c>
      <c r="H54" s="9">
        <f t="shared" si="4"/>
        <v>-0.12568060231656464</v>
      </c>
      <c r="I54" s="9">
        <f t="shared" si="5"/>
        <v>-26.322483795763986</v>
      </c>
    </row>
  </sheetData>
  <sheetProtection password="D05D" sheet="1" scenarios="1"/>
  <mergeCells count="1">
    <mergeCell ref="D2:E2"/>
  </mergeCells>
  <conditionalFormatting sqref="A23:C23 A25">
    <cfRule type="expression" dxfId="2" priority="3">
      <formula>$B$22=$O$6</formula>
    </cfRule>
  </conditionalFormatting>
  <conditionalFormatting sqref="A24:C24">
    <cfRule type="expression" dxfId="1" priority="2">
      <formula>$B$22=$O$7</formula>
    </cfRule>
  </conditionalFormatting>
  <conditionalFormatting sqref="C34:C54">
    <cfRule type="cellIs" dxfId="0" priority="1" operator="greaterThan">
      <formula>$B$19</formula>
    </cfRule>
  </conditionalFormatting>
  <dataValidations count="3">
    <dataValidation type="list" allowBlank="1" showInputMessage="1" showErrorMessage="1" sqref="B16">
      <formula1>$N$4:$N$5</formula1>
    </dataValidation>
    <dataValidation type="list" allowBlank="1" showInputMessage="1" showErrorMessage="1" sqref="B22">
      <formula1>$O$6:$O$7</formula1>
    </dataValidation>
    <dataValidation type="list" allowBlank="1" showInputMessage="1" showErrorMessage="1" sqref="C14">
      <formula1>$P$10:$P$13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rcarlyle</dc:creator>
  <cp:lastModifiedBy>Ryan Carlyle</cp:lastModifiedBy>
  <dcterms:created xsi:type="dcterms:W3CDTF">2017-01-26T03:20:16Z</dcterms:created>
  <dcterms:modified xsi:type="dcterms:W3CDTF">2017-01-26T16:09:49Z</dcterms:modified>
</cp:coreProperties>
</file>