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ervcorp-my.sharepoint.com/personal/felix_reta_fiserv_com/Documents/Documents/LatAm/Argentina/"/>
    </mc:Choice>
  </mc:AlternateContent>
  <xr:revisionPtr revIDLastSave="396" documentId="8_{B85095A6-1821-415F-A7BC-2AECABFE7BA3}" xr6:coauthVersionLast="47" xr6:coauthVersionMax="47" xr10:uidLastSave="{546F96C3-E2EC-4A8E-9667-17D233D3A373}"/>
  <bookViews>
    <workbookView xWindow="4455" yWindow="1110" windowWidth="22875" windowHeight="13740" xr2:uid="{00000000-000D-0000-FFFF-FFFF00000000}"/>
  </bookViews>
  <sheets>
    <sheet name="Summary" sheetId="5" r:id="rId1"/>
    <sheet name="Benefits" sheetId="1" r:id="rId2"/>
    <sheet name="HLE-FTS-Corp" sheetId="6" r:id="rId3"/>
  </sheets>
  <definedNames>
    <definedName name="A_impresión_IM">#REF!</definedName>
    <definedName name="BU">#REF!</definedName>
    <definedName name="BU_List">#REF!</definedName>
    <definedName name="col_num">MATCH(BU,BU_List,0)</definedName>
    <definedName name="Country_tbl">#REF!</definedName>
    <definedName name="crtm">#REF!</definedName>
    <definedName name="entire_col">INDEX(#REF!,,col_num)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43627.9047685185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ineasminimas">#REF!</definedName>
    <definedName name="PSPA">#REF!</definedName>
    <definedName name="Region">#REF!</definedName>
    <definedName name="Region_List">#REF!</definedName>
    <definedName name="SBU_List">INDEX(#REF!, ,MATCH(BU,BU_List,0))</definedName>
    <definedName name="SBU_List2">OFFSET(INDEX(#REF!,1,col_num),0,0,COUNTA(entire_col))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F6" i="5"/>
  <c r="G6" i="5" s="1"/>
  <c r="H6" i="5" s="1"/>
  <c r="I6" i="5" s="1"/>
  <c r="J6" i="5" s="1"/>
  <c r="K6" i="5" s="1"/>
  <c r="L6" i="5" s="1"/>
  <c r="I14" i="5"/>
  <c r="J14" i="5" s="1"/>
  <c r="K14" i="5" s="1"/>
  <c r="L14" i="5" s="1"/>
  <c r="H14" i="5"/>
  <c r="H7" i="5"/>
  <c r="G7" i="5"/>
  <c r="F7" i="5"/>
  <c r="I7" i="5" s="1"/>
  <c r="J7" i="5" s="1"/>
  <c r="K7" i="5" s="1"/>
  <c r="L7" i="5" s="1"/>
  <c r="C19" i="5"/>
  <c r="F19" i="5"/>
  <c r="B8" i="5"/>
  <c r="C9" i="5"/>
  <c r="F9" i="5" s="1"/>
  <c r="E18" i="1"/>
  <c r="H16" i="5"/>
  <c r="I16" i="5"/>
  <c r="J16" i="5"/>
  <c r="K16" i="5"/>
  <c r="L16" i="5" s="1"/>
  <c r="G16" i="5"/>
  <c r="B13" i="5"/>
  <c r="O18" i="1"/>
  <c r="N18" i="1"/>
  <c r="M18" i="1"/>
  <c r="B14" i="5"/>
  <c r="N4" i="5"/>
  <c r="N5" i="5"/>
  <c r="G8" i="5"/>
  <c r="H8" i="5"/>
  <c r="I8" i="5"/>
  <c r="J8" i="5"/>
  <c r="K8" i="5"/>
  <c r="L8" i="5"/>
  <c r="E5" i="5"/>
  <c r="F5" i="5"/>
  <c r="G13" i="5"/>
  <c r="B5" i="5"/>
  <c r="N13" i="5"/>
  <c r="O13" i="5"/>
  <c r="H13" i="5"/>
  <c r="I13" i="5"/>
  <c r="J13" i="5"/>
  <c r="K13" i="5"/>
  <c r="L13" i="5"/>
  <c r="B17" i="5"/>
  <c r="K17" i="5"/>
  <c r="L17" i="5"/>
  <c r="G5" i="5"/>
  <c r="H5" i="5"/>
  <c r="I5" i="5"/>
  <c r="J5" i="5"/>
  <c r="K5" i="5"/>
  <c r="B18" i="5"/>
  <c r="K18" i="5"/>
  <c r="L18" i="5"/>
  <c r="L5" i="5"/>
  <c r="H18" i="5"/>
  <c r="I18" i="5"/>
  <c r="J18" i="5"/>
  <c r="G18" i="5"/>
  <c r="B20" i="5"/>
  <c r="H17" i="5"/>
  <c r="I17" i="5"/>
  <c r="J17" i="5"/>
  <c r="G14" i="5"/>
  <c r="G17" i="5"/>
  <c r="N11" i="5"/>
  <c r="N12" i="5"/>
  <c r="G12" i="5"/>
  <c r="G19" i="5" s="1"/>
  <c r="B19" i="5" s="1"/>
  <c r="H12" i="5"/>
  <c r="H19" i="5" s="1"/>
  <c r="I12" i="5"/>
  <c r="I19" i="5" s="1"/>
  <c r="J12" i="5"/>
  <c r="J19" i="5" s="1"/>
  <c r="K12" i="5"/>
  <c r="K19" i="5" s="1"/>
  <c r="L19" i="5" s="1"/>
  <c r="L12" i="5"/>
  <c r="G4" i="5"/>
  <c r="H4" i="5"/>
  <c r="I4" i="5"/>
  <c r="J4" i="5"/>
  <c r="K4" i="5"/>
  <c r="L4" i="5"/>
  <c r="M9" i="1"/>
  <c r="F9" i="1"/>
  <c r="B7" i="6"/>
  <c r="B8" i="6"/>
  <c r="B9" i="6"/>
  <c r="B10" i="6"/>
  <c r="B11" i="6"/>
  <c r="B12" i="6"/>
  <c r="B16" i="6"/>
  <c r="B70" i="6"/>
  <c r="B25" i="6"/>
  <c r="B71" i="6"/>
  <c r="B58" i="6"/>
  <c r="B72" i="6"/>
  <c r="B73" i="6"/>
  <c r="C16" i="6"/>
  <c r="C70" i="6"/>
  <c r="C25" i="6"/>
  <c r="C71" i="6"/>
  <c r="C54" i="6"/>
  <c r="C58" i="6"/>
  <c r="C72" i="6"/>
  <c r="C73" i="6"/>
  <c r="D16" i="6"/>
  <c r="D70" i="6"/>
  <c r="D25" i="6"/>
  <c r="D71" i="6"/>
  <c r="D54" i="6"/>
  <c r="D58" i="6"/>
  <c r="D72" i="6"/>
  <c r="D73" i="6"/>
  <c r="E16" i="6"/>
  <c r="E70" i="6"/>
  <c r="E25" i="6"/>
  <c r="E71" i="6"/>
  <c r="E54" i="6"/>
  <c r="E58" i="6"/>
  <c r="E72" i="6"/>
  <c r="E73" i="6"/>
  <c r="F16" i="6"/>
  <c r="F70" i="6"/>
  <c r="F25" i="6"/>
  <c r="F71" i="6"/>
  <c r="F54" i="6"/>
  <c r="F58" i="6"/>
  <c r="F72" i="6"/>
  <c r="F73" i="6"/>
  <c r="G73" i="6"/>
  <c r="B35" i="6"/>
  <c r="B75" i="6"/>
  <c r="B43" i="6"/>
  <c r="B45" i="6"/>
  <c r="B76" i="6"/>
  <c r="B62" i="6"/>
  <c r="B65" i="6"/>
  <c r="B77" i="6"/>
  <c r="B78" i="6"/>
  <c r="B79" i="6"/>
  <c r="C35" i="6"/>
  <c r="C75" i="6"/>
  <c r="C45" i="6"/>
  <c r="C76" i="6"/>
  <c r="C62" i="6"/>
  <c r="C65" i="6"/>
  <c r="C77" i="6"/>
  <c r="C49" i="6"/>
  <c r="C78" i="6"/>
  <c r="C79" i="6"/>
  <c r="D30" i="6"/>
  <c r="D31" i="6"/>
  <c r="D35" i="6"/>
  <c r="D75" i="6"/>
  <c r="D45" i="6"/>
  <c r="D76" i="6"/>
  <c r="D62" i="6"/>
  <c r="D65" i="6"/>
  <c r="D77" i="6"/>
  <c r="D49" i="6"/>
  <c r="D78" i="6"/>
  <c r="D79" i="6"/>
  <c r="E30" i="6"/>
  <c r="E31" i="6"/>
  <c r="E35" i="6"/>
  <c r="E75" i="6"/>
  <c r="E45" i="6"/>
  <c r="E76" i="6"/>
  <c r="E62" i="6"/>
  <c r="E65" i="6"/>
  <c r="E77" i="6"/>
  <c r="E49" i="6"/>
  <c r="E78" i="6"/>
  <c r="E79" i="6"/>
  <c r="F30" i="6"/>
  <c r="F31" i="6"/>
  <c r="F35" i="6"/>
  <c r="F75" i="6"/>
  <c r="F45" i="6"/>
  <c r="F76" i="6"/>
  <c r="F62" i="6"/>
  <c r="F65" i="6"/>
  <c r="F77" i="6"/>
  <c r="F49" i="6"/>
  <c r="F78" i="6"/>
  <c r="F79" i="6"/>
  <c r="G79" i="6"/>
  <c r="G80" i="6"/>
  <c r="F80" i="6"/>
  <c r="E80" i="6"/>
  <c r="D80" i="6"/>
  <c r="C80" i="6"/>
  <c r="B80" i="6"/>
  <c r="G78" i="6"/>
  <c r="G77" i="6"/>
  <c r="G76" i="6"/>
  <c r="G75" i="6"/>
  <c r="G72" i="6"/>
  <c r="G71" i="6"/>
  <c r="G70" i="6"/>
  <c r="G62" i="6"/>
  <c r="G63" i="6"/>
  <c r="G65" i="6"/>
  <c r="G58" i="6"/>
  <c r="G54" i="6"/>
  <c r="G49" i="6"/>
  <c r="G39" i="6"/>
  <c r="G40" i="6"/>
  <c r="G41" i="6"/>
  <c r="G42" i="6"/>
  <c r="G43" i="6"/>
  <c r="G45" i="6"/>
  <c r="G29" i="6"/>
  <c r="G30" i="6"/>
  <c r="G31" i="6"/>
  <c r="G32" i="6"/>
  <c r="G33" i="6"/>
  <c r="G35" i="6"/>
  <c r="G20" i="6"/>
  <c r="G21" i="6"/>
  <c r="G22" i="6"/>
  <c r="G23" i="6"/>
  <c r="G25" i="6"/>
  <c r="G6" i="6"/>
  <c r="G7" i="6"/>
  <c r="G8" i="6"/>
  <c r="G9" i="6"/>
  <c r="G10" i="6"/>
  <c r="G11" i="6"/>
  <c r="G12" i="6"/>
  <c r="G13" i="6"/>
  <c r="G14" i="6"/>
  <c r="G16" i="6"/>
  <c r="D37" i="1"/>
  <c r="P18" i="1"/>
  <c r="E9" i="1"/>
  <c r="P9" i="1"/>
  <c r="R9" i="1"/>
  <c r="D9" i="1"/>
  <c r="D29" i="1"/>
  <c r="D22" i="1"/>
  <c r="P11" i="1"/>
  <c r="R11" i="1"/>
  <c r="P10" i="1"/>
  <c r="R10" i="1"/>
  <c r="E8" i="1"/>
  <c r="D8" i="1"/>
  <c r="U10" i="1"/>
  <c r="D34" i="1"/>
  <c r="D35" i="1"/>
  <c r="Q18" i="1"/>
  <c r="U11" i="1"/>
  <c r="D21" i="1"/>
  <c r="D20" i="1"/>
  <c r="D19" i="1"/>
  <c r="D18" i="1"/>
  <c r="D33" i="1"/>
  <c r="D17" i="1"/>
  <c r="U9" i="1"/>
  <c r="G20" i="5" l="1"/>
  <c r="J20" i="5"/>
  <c r="I20" i="5"/>
  <c r="H20" i="5"/>
  <c r="L20" i="5"/>
  <c r="K20" i="5"/>
  <c r="K9" i="5"/>
  <c r="G9" i="5"/>
  <c r="H9" i="5"/>
  <c r="H10" i="5" s="1"/>
  <c r="I9" i="5"/>
  <c r="I10" i="5" s="1"/>
  <c r="J9" i="5"/>
  <c r="J10" i="5" s="1"/>
  <c r="J22" i="5" s="1"/>
  <c r="I22" i="5" l="1"/>
  <c r="H22" i="5"/>
  <c r="B9" i="5"/>
  <c r="B10" i="5" s="1"/>
  <c r="B22" i="5" s="1"/>
  <c r="G10" i="5"/>
  <c r="G22" i="5" s="1"/>
  <c r="L9" i="5"/>
  <c r="K10" i="5"/>
  <c r="L10" i="5" l="1"/>
  <c r="L22" i="5" s="1"/>
  <c r="K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tc={3DB2FF46-1B33-4543-B5F0-CEC4437F2BDE}</author>
    <author>tc={E25A81FE-A34F-4E4E-9F4C-A47294DACFF3}</author>
    <author>tc={9AEAF07B-6C94-4BA7-B0DC-8992070F8F3F}</author>
  </authors>
  <commentList>
    <comment ref="G7" authorId="0" shapeId="0" xr:uid="{3DB2FF46-1B33-4543-B5F0-CEC4437F2BDE}">
      <text>
        <t>[Threaded comment]
Your version of Excel allows you to read this threaded comment; however, any edits to it will get removed if the file is opened in a newer version of Excel. Learn more: https://go.microsoft.com/fwlink/?linkid=870924
Comment:
    Potential Uruguay launch</t>
      </text>
    </comment>
    <comment ref="C9" authorId="1" shapeId="0" xr:uid="{E25A81FE-A34F-4E4E-9F4C-A47294DACFF3}">
      <text>
        <t>[Threaded comment]
Your version of Excel allows you to read this threaded comment; however, any edits to it will get removed if the file is opened in a newer version of Excel. Learn more: https://go.microsoft.com/fwlink/?linkid=870924
Comment:
    AR$</t>
      </text>
    </comment>
    <comment ref="C19" authorId="2" shapeId="0" xr:uid="{9AEAF07B-6C94-4BA7-B0DC-8992070F8F3F}">
      <text>
        <t>[Threaded comment]
Your version of Excel allows you to read this threaded comment; however, any edits to it will get removed if the file is opened in a newer version of Excel. Learn more: https://go.microsoft.com/fwlink/?linkid=870924
Comment:
    AR$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Iula, Nicolas</author>
  </authors>
  <commentList>
    <comment ref="D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Iula, Nicolas:</t>
        </r>
        <r>
          <rPr>
            <sz val="9"/>
            <color indexed="81"/>
            <rFont val="Tahoma"/>
            <family val="2"/>
          </rPr>
          <t xml:space="preserve">
Salario informado por Lili
</t>
        </r>
      </text>
    </comment>
    <comment ref="D2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Iula, Nicolas:</t>
        </r>
        <r>
          <rPr>
            <sz val="9"/>
            <color indexed="81"/>
            <rFont val="Tahoma"/>
            <family val="2"/>
          </rPr>
          <t xml:space="preserve">
Valor hora (668) x 120 hs al mes
</t>
        </r>
      </text>
    </comment>
    <comment ref="D2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Iula, Nicolas:</t>
        </r>
        <r>
          <rPr>
            <sz val="9"/>
            <color indexed="81"/>
            <rFont val="Tahoma"/>
            <family val="2"/>
          </rPr>
          <t xml:space="preserve">
Valor hora (668) x 120 hs al mes
</t>
        </r>
      </text>
    </comment>
  </commentList>
</comments>
</file>

<file path=xl/sharedStrings.xml><?xml version="1.0" encoding="utf-8"?>
<sst xmlns="http://schemas.openxmlformats.org/spreadsheetml/2006/main" count="235" uniqueCount="150">
  <si>
    <t>Annualized</t>
  </si>
  <si>
    <t>Xchg</t>
  </si>
  <si>
    <t>Y1</t>
  </si>
  <si>
    <t>Y2</t>
  </si>
  <si>
    <t>Y3</t>
  </si>
  <si>
    <t>Y4</t>
  </si>
  <si>
    <t>Y5</t>
  </si>
  <si>
    <t>@ 5 yrs</t>
  </si>
  <si>
    <t>Costos Actuales</t>
  </si>
  <si>
    <t>Seats</t>
  </si>
  <si>
    <t>Agent growth</t>
  </si>
  <si>
    <t>HC</t>
  </si>
  <si>
    <t>% Agent growth</t>
  </si>
  <si>
    <t>Support Incremental costs</t>
  </si>
  <si>
    <t>IVR Dev 3rd party</t>
  </si>
  <si>
    <t>FTS - Avaya</t>
  </si>
  <si>
    <t>Contract value</t>
  </si>
  <si>
    <t>OpEx</t>
  </si>
  <si>
    <t>unit/agent/month</t>
  </si>
  <si>
    <t>Total</t>
  </si>
  <si>
    <t>Costos Nuevos</t>
  </si>
  <si>
    <t>Support mgmt</t>
  </si>
  <si>
    <t>Local FTS ratio</t>
  </si>
  <si>
    <t>CapEx Amort</t>
  </si>
  <si>
    <t>OpEx CC HC</t>
  </si>
  <si>
    <t>Ahorros</t>
  </si>
  <si>
    <t>Benefits estimative model - global contact center initiatives</t>
  </si>
  <si>
    <t>Chatbot</t>
  </si>
  <si>
    <t>IVR Platform</t>
  </si>
  <si>
    <t>NICE PMP</t>
  </si>
  <si>
    <t>Verint Speech Analytics</t>
  </si>
  <si>
    <t>Verint DPA</t>
  </si>
  <si>
    <t>OTC</t>
  </si>
  <si>
    <t>Savings per initiative - HC</t>
  </si>
  <si>
    <t>Delta</t>
  </si>
  <si>
    <t># 1</t>
  </si>
  <si>
    <t># 2</t>
  </si>
  <si>
    <t># 3</t>
  </si>
  <si>
    <t># 4</t>
  </si>
  <si>
    <t># 5</t>
  </si>
  <si>
    <t># 6</t>
  </si>
  <si>
    <t>Savings #</t>
  </si>
  <si>
    <t>Savings %</t>
  </si>
  <si>
    <t>Final HC</t>
  </si>
  <si>
    <t>Total Agents</t>
  </si>
  <si>
    <t>Fiserv Socios</t>
  </si>
  <si>
    <t>Atento Socios</t>
  </si>
  <si>
    <t>Fiserv GBS</t>
  </si>
  <si>
    <t>Atento GBS</t>
  </si>
  <si>
    <t>Savings per initiative  5Y</t>
  </si>
  <si>
    <t>$ ARS</t>
  </si>
  <si>
    <t>Savings</t>
  </si>
  <si>
    <t>Total Agents  5Y</t>
  </si>
  <si>
    <t>Current</t>
  </si>
  <si>
    <t>New</t>
  </si>
  <si>
    <t>USD</t>
  </si>
  <si>
    <t xml:space="preserve">U$S </t>
  </si>
  <si>
    <t>Total Agents anual</t>
  </si>
  <si>
    <t>Salarios</t>
  </si>
  <si>
    <t>FS</t>
  </si>
  <si>
    <t>ATT</t>
  </si>
  <si>
    <t>$1000/hora</t>
  </si>
  <si>
    <t>AVG</t>
  </si>
  <si>
    <t>Dólar</t>
  </si>
  <si>
    <t>Total HC saved 5Y</t>
  </si>
  <si>
    <t>Total HC cost saved 5Y</t>
  </si>
  <si>
    <t>Total HC cost saved U$S 5Y</t>
  </si>
  <si>
    <t>Current Avaya costs reduction</t>
  </si>
  <si>
    <t>Total Implementation benefit</t>
  </si>
  <si>
    <t>Initiatives</t>
  </si>
  <si>
    <t>Integrar todos los sistemas que se utilizan en una sola plataforma</t>
  </si>
  <si>
    <t xml:space="preserve">initiative 1 - </t>
  </si>
  <si>
    <t>Intenligencia Artificial para responder consultas sin la intervencion de una persona</t>
  </si>
  <si>
    <t xml:space="preserve">initiative 2 - </t>
  </si>
  <si>
    <t>Plataforma IVR</t>
  </si>
  <si>
    <t>Genesis GVP es una plataforma que soporta la comunicación omnicanal mediante diferentes iniciativas</t>
  </si>
  <si>
    <t>sistema de carga y seguimiento de casos. Actualmente, es un proyecto en etapa inicial que abarca una parte de los comercios denominadas VIP</t>
  </si>
  <si>
    <t xml:space="preserve">initiative 3 - </t>
  </si>
  <si>
    <t>Nice performance manager portal</t>
  </si>
  <si>
    <t>Herramienta con metricas consolidadas para la gestion diaria del lider</t>
  </si>
  <si>
    <t xml:space="preserve">initiative 4 - </t>
  </si>
  <si>
    <t>Verint real time speech analytics</t>
  </si>
  <si>
    <t>Tecnologia integrada verint que habilita a " escuchar" las interaciones en tiempo real permitiendo identificar oportunidades de guia hacia mejores resultados</t>
  </si>
  <si>
    <t xml:space="preserve">initiative 5 - </t>
  </si>
  <si>
    <t>Verint Desktop process analytics</t>
  </si>
  <si>
    <t>la Herramieta permite enmascarar informacion sensible del cliente que se comunica con el call center ( por ejemplo CVC # TC)</t>
  </si>
  <si>
    <t xml:space="preserve">initiative 6 - </t>
  </si>
  <si>
    <t>Security solutions OTC ( One time code)</t>
  </si>
  <si>
    <t>envio de claves unicas de seguridad medienta correo elecronico, mensaje de texto /voz</t>
  </si>
  <si>
    <t>Argentina - Cost</t>
  </si>
  <si>
    <t>HARDWARE INVESTMENTS</t>
  </si>
  <si>
    <t>Yr1</t>
  </si>
  <si>
    <t>Yr2</t>
  </si>
  <si>
    <t>Yr3</t>
  </si>
  <si>
    <t>Yr4</t>
  </si>
  <si>
    <t>Yr5</t>
  </si>
  <si>
    <t>Totals</t>
  </si>
  <si>
    <t xml:space="preserve">2 x ACME SBC 3900 in HA </t>
  </si>
  <si>
    <t>3 Servers Dell PowerEdge R740x DC Parque Patricios</t>
  </si>
  <si>
    <t>3 Servers Dell PowerEdge R740x DC Peru</t>
  </si>
  <si>
    <t>12 SFP FC 10GB (LAN) DC Parque Patricios</t>
  </si>
  <si>
    <t>6 SFP FC 16GB (SAN) DC Parque Patricios</t>
  </si>
  <si>
    <t>12 SFP FC 10GB (LAN) DC Peru</t>
  </si>
  <si>
    <t>6 SFP FC 16GB (SAN) DC Peru</t>
  </si>
  <si>
    <t>Storage upgrade for Verint DC Parque Patricios</t>
  </si>
  <si>
    <t>Storage upgrade for Storage Verint DC Peru</t>
  </si>
  <si>
    <t>Total  Hardware</t>
  </si>
  <si>
    <t>SOFTWARE INVESTMENTS</t>
  </si>
  <si>
    <t>40 VMs in DC Patricios</t>
  </si>
  <si>
    <t>40 VMs in DC Peru</t>
  </si>
  <si>
    <t>2 VM's MsSQL DC Patricios</t>
  </si>
  <si>
    <t>2 VM's MsSQL DC Peru</t>
  </si>
  <si>
    <t>Total  Software</t>
  </si>
  <si>
    <t>Hardware Maintenance</t>
  </si>
  <si>
    <t>3 Servidores Dell PowerEdge R740x DC Parque Patricios</t>
  </si>
  <si>
    <t>3 Servidores Dell PowerEdge R740x DC Peru</t>
  </si>
  <si>
    <t>Ampliación Storage Verint DC Parque Patricios</t>
  </si>
  <si>
    <t>Ampliación Storage Verint DC Peru</t>
  </si>
  <si>
    <t>Total Delta Mantenaince</t>
  </si>
  <si>
    <t>Software  Maintenance</t>
  </si>
  <si>
    <t>Migration of IVRs App from Avaya to Genesys (600HH)</t>
  </si>
  <si>
    <t>Resources</t>
  </si>
  <si>
    <t xml:space="preserve">5 CST FTE </t>
  </si>
  <si>
    <t>Genesys Linces</t>
  </si>
  <si>
    <t>450 Seats</t>
  </si>
  <si>
    <t>Total Telecomunications Investments</t>
  </si>
  <si>
    <t>Telecomunications Maintenace</t>
  </si>
  <si>
    <t>Upgrade 4 x 1DCBackbone Circuits</t>
  </si>
  <si>
    <t>Move TDM trunks to SIP</t>
  </si>
  <si>
    <t>Total Delta Telecomunications Maintenace</t>
  </si>
  <si>
    <t>Summary</t>
  </si>
  <si>
    <t>CAPEX</t>
  </si>
  <si>
    <t>HW Investments</t>
  </si>
  <si>
    <t>SW Investments</t>
  </si>
  <si>
    <t>Telecomunications Investments</t>
  </si>
  <si>
    <t>Total Capex</t>
  </si>
  <si>
    <t>OPEX</t>
  </si>
  <si>
    <t>HW costs</t>
  </si>
  <si>
    <t>SW costs</t>
  </si>
  <si>
    <t>Telecom costs</t>
  </si>
  <si>
    <t>Total Opex</t>
  </si>
  <si>
    <t>Total Capex+Opex</t>
  </si>
  <si>
    <t>USD, paid in AR$ locally</t>
  </si>
  <si>
    <t>Added value:</t>
  </si>
  <si>
    <t>Risk reduced moving to Genesys; currently, all deployments are done directly in the Production IVRs</t>
  </si>
  <si>
    <t>Better control on business growth initiatives</t>
  </si>
  <si>
    <t>Leading edge technology for current and new customers</t>
  </si>
  <si>
    <t>Any Corporate Genesys based enhancements are easily implemented</t>
  </si>
  <si>
    <t>Opportunity to streamline new functionality and clients bringing development in-house, currently 3rd party</t>
  </si>
  <si>
    <t>Incident response time, current to new with dedicated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</si>
</sst>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_(&quot;$&quot;* #,##0_);_(&quot;$&quot;* \(#,##0\);_(&quot;$&quot;* &quot;-&quot;??_);_(@_)"/>
    <numFmt numFmtId="166" formatCode="&quot;R$&quot;\ #,##0"/>
    <numFmt numFmtId="167" formatCode="_-&quot;$&quot;\ * #,##0_-;\-&quot;$&quot;\ * #,##0_-;_-&quot;$&quot;\ * &quot;-&quot;??_-;_-@_-"/>
    <numFmt numFmtId="168" formatCode="&quot;$&quot;#,##0"/>
    <numFmt numFmtId="169" formatCode="_ * #,##0.00_ ;_ * \-#,##0.00_ ;_ * &quot;-&quot;??_ ;_ @_ "/>
    <numFmt numFmtId="170" formatCode="_ * #,##0_ ;_ * \-#,##0_ ;_ * &quot;-&quot;??_ ;_ @_ "/>
    <numFmt numFmtId="171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indexed="53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/>
    <xf numFmtId="17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4" fillId="0" borderId="5" xfId="2" applyFont="1" applyBorder="1" applyAlignment="1">
      <alignment horizontal="center" vertical="center"/>
    </xf>
    <xf numFmtId="9" fontId="4" fillId="0" borderId="7" xfId="2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9" xfId="2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0" xfId="0" quotePrefix="1" applyFont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5" fontId="4" fillId="0" borderId="8" xfId="1" applyNumberFormat="1" applyFont="1" applyBorder="1" applyAlignment="1">
      <alignment horizontal="center" vertical="center"/>
    </xf>
    <xf numFmtId="165" fontId="5" fillId="0" borderId="8" xfId="1" applyNumberFormat="1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6" fillId="0" borderId="10" xfId="0" applyFont="1" applyBorder="1"/>
    <xf numFmtId="0" fontId="2" fillId="0" borderId="11" xfId="0" applyFont="1" applyBorder="1"/>
    <xf numFmtId="165" fontId="6" fillId="0" borderId="12" xfId="1" applyNumberFormat="1" applyFont="1" applyBorder="1" applyAlignment="1">
      <alignment horizontal="center" vertical="center"/>
    </xf>
    <xf numFmtId="0" fontId="7" fillId="0" borderId="0" xfId="0" applyFont="1"/>
    <xf numFmtId="0" fontId="2" fillId="2" borderId="0" xfId="0" applyFont="1" applyFill="1" applyAlignment="1">
      <alignment horizontal="right"/>
    </xf>
    <xf numFmtId="10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6" fillId="0" borderId="0" xfId="1" applyNumberFormat="1" applyFont="1" applyBorder="1" applyAlignment="1">
      <alignment horizontal="center" vertical="center"/>
    </xf>
    <xf numFmtId="0" fontId="6" fillId="3" borderId="0" xfId="0" applyFont="1" applyFill="1"/>
    <xf numFmtId="0" fontId="2" fillId="3" borderId="0" xfId="0" applyFont="1" applyFill="1"/>
    <xf numFmtId="165" fontId="6" fillId="3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4" fillId="0" borderId="5" xfId="3" applyNumberFormat="1" applyFont="1" applyBorder="1" applyAlignment="1">
      <alignment horizontal="center" vertical="center"/>
    </xf>
    <xf numFmtId="165" fontId="10" fillId="0" borderId="0" xfId="0" applyNumberFormat="1" applyFont="1"/>
    <xf numFmtId="0" fontId="0" fillId="4" borderId="0" xfId="0" applyFill="1" applyAlignment="1">
      <alignment horizontal="center"/>
    </xf>
    <xf numFmtId="0" fontId="14" fillId="5" borderId="0" xfId="4" applyFont="1" applyFill="1" applyAlignment="1">
      <alignment vertical="center"/>
    </xf>
    <xf numFmtId="168" fontId="14" fillId="5" borderId="0" xfId="4" applyNumberFormat="1" applyFont="1" applyFill="1" applyAlignment="1">
      <alignment vertical="center"/>
    </xf>
    <xf numFmtId="0" fontId="15" fillId="0" borderId="0" xfId="4" applyFont="1"/>
    <xf numFmtId="0" fontId="16" fillId="0" borderId="0" xfId="4" applyFont="1"/>
    <xf numFmtId="168" fontId="15" fillId="0" borderId="0" xfId="4" applyNumberFormat="1" applyFont="1"/>
    <xf numFmtId="0" fontId="17" fillId="6" borderId="16" xfId="4" applyFont="1" applyFill="1" applyBorder="1" applyAlignment="1">
      <alignment horizontal="left" wrapText="1"/>
    </xf>
    <xf numFmtId="168" fontId="17" fillId="6" borderId="16" xfId="4" applyNumberFormat="1" applyFont="1" applyFill="1" applyBorder="1" applyAlignment="1">
      <alignment horizontal="center" wrapText="1"/>
    </xf>
    <xf numFmtId="0" fontId="15" fillId="0" borderId="13" xfId="4" applyFont="1" applyBorder="1" applyAlignment="1">
      <alignment horizontal="left" indent="1"/>
    </xf>
    <xf numFmtId="168" fontId="15" fillId="0" borderId="13" xfId="5" applyNumberFormat="1" applyFont="1" applyBorder="1" applyAlignment="1">
      <alignment horizontal="center"/>
    </xf>
    <xf numFmtId="0" fontId="15" fillId="0" borderId="14" xfId="4" applyFont="1" applyBorder="1" applyAlignment="1">
      <alignment horizontal="left" indent="1"/>
    </xf>
    <xf numFmtId="168" fontId="18" fillId="0" borderId="14" xfId="5" applyNumberFormat="1" applyFont="1" applyBorder="1" applyAlignment="1">
      <alignment horizontal="right"/>
    </xf>
    <xf numFmtId="0" fontId="15" fillId="0" borderId="15" xfId="4" applyFont="1" applyBorder="1"/>
    <xf numFmtId="168" fontId="15" fillId="0" borderId="15" xfId="5" applyNumberFormat="1" applyFont="1" applyBorder="1" applyAlignment="1">
      <alignment horizontal="right"/>
    </xf>
    <xf numFmtId="0" fontId="19" fillId="0" borderId="16" xfId="4" applyFont="1" applyBorder="1" applyAlignment="1">
      <alignment horizontal="left"/>
    </xf>
    <xf numFmtId="168" fontId="19" fillId="0" borderId="16" xfId="5" applyNumberFormat="1" applyFont="1" applyBorder="1" applyAlignment="1">
      <alignment horizontal="right"/>
    </xf>
    <xf numFmtId="170" fontId="15" fillId="0" borderId="0" xfId="4" applyNumberFormat="1" applyFont="1"/>
    <xf numFmtId="168" fontId="15" fillId="0" borderId="0" xfId="5" applyNumberFormat="1" applyFont="1" applyAlignment="1">
      <alignment horizontal="right"/>
    </xf>
    <xf numFmtId="168" fontId="15" fillId="0" borderId="13" xfId="5" applyNumberFormat="1" applyFont="1" applyBorder="1" applyAlignment="1">
      <alignment horizontal="right"/>
    </xf>
    <xf numFmtId="168" fontId="15" fillId="0" borderId="15" xfId="5" applyNumberFormat="1" applyFont="1" applyBorder="1" applyAlignment="1">
      <alignment horizontal="center"/>
    </xf>
    <xf numFmtId="168" fontId="15" fillId="0" borderId="14" xfId="5" applyNumberFormat="1" applyFont="1" applyBorder="1" applyAlignment="1">
      <alignment horizontal="right"/>
    </xf>
    <xf numFmtId="168" fontId="19" fillId="0" borderId="16" xfId="5" applyNumberFormat="1" applyFont="1" applyBorder="1" applyAlignment="1">
      <alignment horizontal="center"/>
    </xf>
    <xf numFmtId="168" fontId="15" fillId="0" borderId="13" xfId="4" applyNumberFormat="1" applyFont="1" applyBorder="1"/>
    <xf numFmtId="168" fontId="18" fillId="0" borderId="14" xfId="5" applyNumberFormat="1" applyFont="1" applyFill="1" applyBorder="1" applyAlignment="1">
      <alignment horizontal="right"/>
    </xf>
    <xf numFmtId="0" fontId="15" fillId="0" borderId="17" xfId="4" applyFont="1" applyBorder="1" applyAlignment="1">
      <alignment horizontal="left" indent="1"/>
    </xf>
    <xf numFmtId="0" fontId="15" fillId="0" borderId="18" xfId="4" applyFont="1" applyBorder="1"/>
    <xf numFmtId="0" fontId="17" fillId="6" borderId="19" xfId="4" applyFont="1" applyFill="1" applyBorder="1" applyAlignment="1">
      <alignment horizontal="left" wrapText="1"/>
    </xf>
    <xf numFmtId="168" fontId="17" fillId="6" borderId="13" xfId="4" applyNumberFormat="1" applyFont="1" applyFill="1" applyBorder="1" applyAlignment="1">
      <alignment horizontal="center" wrapText="1"/>
    </xf>
    <xf numFmtId="0" fontId="20" fillId="0" borderId="17" xfId="4" applyFont="1" applyBorder="1" applyAlignment="1">
      <alignment vertical="center"/>
    </xf>
    <xf numFmtId="168" fontId="19" fillId="0" borderId="14" xfId="4" applyNumberFormat="1" applyFont="1" applyBorder="1"/>
    <xf numFmtId="168" fontId="21" fillId="0" borderId="14" xfId="5" applyNumberFormat="1" applyFont="1" applyBorder="1" applyAlignment="1">
      <alignment horizontal="right"/>
    </xf>
    <xf numFmtId="0" fontId="20" fillId="0" borderId="17" xfId="4" applyFont="1" applyBorder="1" applyAlignment="1">
      <alignment horizontal="left" vertical="center" indent="1"/>
    </xf>
    <xf numFmtId="0" fontId="20" fillId="0" borderId="18" xfId="4" applyFont="1" applyBorder="1" applyAlignment="1">
      <alignment horizontal="left" vertical="center" indent="1"/>
    </xf>
    <xf numFmtId="168" fontId="18" fillId="0" borderId="15" xfId="5" applyNumberFormat="1" applyFont="1" applyBorder="1" applyAlignment="1">
      <alignment horizontal="right"/>
    </xf>
    <xf numFmtId="0" fontId="15" fillId="0" borderId="18" xfId="4" applyFont="1" applyBorder="1" applyAlignment="1">
      <alignment horizontal="left" indent="1"/>
    </xf>
    <xf numFmtId="168" fontId="15" fillId="0" borderId="16" xfId="5" applyNumberFormat="1" applyFont="1" applyBorder="1" applyAlignment="1">
      <alignment horizontal="right"/>
    </xf>
    <xf numFmtId="168" fontId="19" fillId="0" borderId="0" xfId="4" applyNumberFormat="1" applyFont="1"/>
    <xf numFmtId="168" fontId="15" fillId="0" borderId="14" xfId="5" applyNumberFormat="1" applyFont="1" applyFill="1" applyBorder="1" applyAlignment="1">
      <alignment horizontal="right"/>
    </xf>
    <xf numFmtId="168" fontId="18" fillId="0" borderId="14" xfId="5" applyNumberFormat="1" applyFont="1" applyFill="1" applyBorder="1" applyAlignment="1">
      <alignment horizontal="center"/>
    </xf>
    <xf numFmtId="0" fontId="17" fillId="6" borderId="10" xfId="4" applyFont="1" applyFill="1" applyBorder="1" applyAlignment="1">
      <alignment horizontal="left" wrapText="1"/>
    </xf>
    <xf numFmtId="168" fontId="17" fillId="6" borderId="12" xfId="4" applyNumberFormat="1" applyFont="1" applyFill="1" applyBorder="1" applyAlignment="1">
      <alignment horizontal="center" wrapText="1"/>
    </xf>
    <xf numFmtId="0" fontId="19" fillId="0" borderId="17" xfId="4" applyFont="1" applyBorder="1"/>
    <xf numFmtId="168" fontId="15" fillId="0" borderId="14" xfId="4" applyNumberFormat="1" applyFont="1" applyBorder="1"/>
    <xf numFmtId="168" fontId="15" fillId="0" borderId="20" xfId="4" applyNumberFormat="1" applyFont="1" applyBorder="1"/>
    <xf numFmtId="0" fontId="22" fillId="0" borderId="10" xfId="4" applyFont="1" applyBorder="1"/>
    <xf numFmtId="168" fontId="22" fillId="0" borderId="16" xfId="4" applyNumberFormat="1" applyFont="1" applyBorder="1"/>
    <xf numFmtId="0" fontId="22" fillId="7" borderId="18" xfId="4" applyFont="1" applyFill="1" applyBorder="1"/>
    <xf numFmtId="168" fontId="22" fillId="7" borderId="15" xfId="4" applyNumberFormat="1" applyFont="1" applyFill="1" applyBorder="1"/>
    <xf numFmtId="1" fontId="0" fillId="0" borderId="0" xfId="0" applyNumberFormat="1"/>
    <xf numFmtId="171" fontId="0" fillId="0" borderId="0" xfId="2" applyNumberFormat="1" applyFont="1"/>
    <xf numFmtId="0" fontId="10" fillId="4" borderId="0" xfId="0" applyFont="1" applyFill="1" applyAlignment="1">
      <alignment horizontal="center"/>
    </xf>
    <xf numFmtId="0" fontId="10" fillId="4" borderId="0" xfId="0" quotePrefix="1" applyFont="1" applyFill="1" applyAlignment="1">
      <alignment horizontal="center"/>
    </xf>
    <xf numFmtId="9" fontId="0" fillId="0" borderId="0" xfId="2" applyFont="1"/>
    <xf numFmtId="165" fontId="0" fillId="3" borderId="0" xfId="0" applyNumberFormat="1" applyFill="1"/>
    <xf numFmtId="165" fontId="2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7" fontId="2" fillId="3" borderId="0" xfId="1" applyNumberFormat="1" applyFont="1" applyFill="1" applyAlignment="1">
      <alignment horizontal="center" vertical="center"/>
    </xf>
    <xf numFmtId="44" fontId="0" fillId="0" borderId="0" xfId="0" applyNumberFormat="1"/>
    <xf numFmtId="0" fontId="24" fillId="0" borderId="0" xfId="0" applyFont="1"/>
    <xf numFmtId="165" fontId="12" fillId="0" borderId="0" xfId="0" applyNumberFormat="1" applyFont="1"/>
    <xf numFmtId="0" fontId="25" fillId="0" borderId="0" xfId="0" applyFont="1"/>
    <xf numFmtId="0" fontId="10" fillId="0" borderId="0" xfId="0" applyFont="1"/>
    <xf numFmtId="0" fontId="10" fillId="4" borderId="0" xfId="0" applyFont="1" applyFill="1"/>
    <xf numFmtId="165" fontId="10" fillId="8" borderId="0" xfId="0" applyNumberFormat="1" applyFont="1" applyFill="1"/>
  </cellXfs>
  <cellStyles count="6">
    <cellStyle name="Comma 2" xfId="5" xr:uid="{0DA6274F-2390-4CA1-90EB-D3D85F59E840}"/>
    <cellStyle name="Currency" xfId="1" builtinId="4"/>
    <cellStyle name="Currency 2" xfId="3" xr:uid="{00000000-0005-0000-0000-000002000000}"/>
    <cellStyle name="Normal" xfId="0" builtinId="0"/>
    <cellStyle name="Normal 2" xfId="4" xr:uid="{5AB3CAB8-903C-4FB0-B06E-87A048480FB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ta, Felix (US - Georgia)" id="{D722AD4E-175D-495A-B3CE-5C379B1C0744}" userId="S::felix.reta@Fiserv.com::ba291635-391b-4f74-89d6-a55b7d37d457" providerId="AD"/>
  <person displayName="Reta, Felix (US - Georgia)" id="{AE447ABA-BFD0-46EE-A1E5-CCFF7345341F}" userId="S::felix.reta@fiserv.com::ba291635-391b-4f74-89d6-a55b7d37d4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1-11-26T20:13:02.52" personId="{AE447ABA-BFD0-46EE-A1E5-CCFF7345341F}" id="{3DB2FF46-1B33-4543-B5F0-CEC4437F2BDE}">
    <text>Potential Uruguay launch</text>
  </threadedComment>
  <threadedComment ref="C9" dT="2021-10-29T18:38:19.33" personId="{D722AD4E-175D-495A-B3CE-5C379B1C0744}" id="{E25A81FE-A34F-4E4E-9F4C-A47294DACFF3}">
    <text>AR$</text>
  </threadedComment>
  <threadedComment ref="C19" dT="2021-10-29T18:38:19.33" personId="{D722AD4E-175D-495A-B3CE-5C379B1C0744}" id="{9AEAF07B-6C94-4BA7-B0DC-8992070F8F3F}">
    <text>AR$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E804-24CA-4C69-B6E2-06B1179B6E7B}">
  <sheetPr>
    <tabColor rgb="FFFF0000"/>
  </sheetPr>
  <dimension ref="A1:O30"/>
  <sheetViews>
    <sheetView tabSelected="1" zoomScale="120" zoomScaleNormal="120" workbookViewId="0">
      <selection activeCell="L22" sqref="L22"/>
    </sheetView>
  </sheetViews>
  <sheetFormatPr defaultRowHeight="15" x14ac:dyDescent="0.25"/>
  <cols>
    <col min="1" max="1" width="18.140625" customWidth="1"/>
    <col min="2" max="2" width="15.28515625" bestFit="1" customWidth="1"/>
    <col min="3" max="3" width="12.140625" bestFit="1" customWidth="1"/>
    <col min="5" max="5" width="12.85546875" bestFit="1" customWidth="1"/>
    <col min="6" max="6" width="15.28515625" bestFit="1" customWidth="1"/>
    <col min="7" max="7" width="12.28515625" bestFit="1" customWidth="1"/>
    <col min="8" max="8" width="16.28515625" bestFit="1" customWidth="1"/>
    <col min="9" max="12" width="12.28515625" bestFit="1" customWidth="1"/>
  </cols>
  <sheetData>
    <row r="1" spans="1:15" x14ac:dyDescent="0.25">
      <c r="A1" t="s">
        <v>0</v>
      </c>
      <c r="C1">
        <v>5</v>
      </c>
    </row>
    <row r="2" spans="1:15" x14ac:dyDescent="0.25">
      <c r="E2" t="s">
        <v>1</v>
      </c>
      <c r="F2">
        <v>100.11</v>
      </c>
      <c r="G2" s="113">
        <v>2022</v>
      </c>
      <c r="H2" s="113">
        <v>2023</v>
      </c>
      <c r="I2" s="113">
        <v>2024</v>
      </c>
      <c r="J2" s="113">
        <v>2025</v>
      </c>
      <c r="K2" s="113">
        <v>2026</v>
      </c>
    </row>
    <row r="3" spans="1:15" x14ac:dyDescent="0.25">
      <c r="C3">
        <v>0.28000000000000003</v>
      </c>
      <c r="G3" s="63" t="s">
        <v>2</v>
      </c>
      <c r="H3" s="63" t="s">
        <v>3</v>
      </c>
      <c r="I3" s="63" t="s">
        <v>4</v>
      </c>
      <c r="J3" s="63" t="s">
        <v>5</v>
      </c>
      <c r="K3" s="63" t="s">
        <v>6</v>
      </c>
      <c r="L3" s="114" t="s">
        <v>7</v>
      </c>
    </row>
    <row r="4" spans="1:15" x14ac:dyDescent="0.25">
      <c r="A4" s="125" t="s">
        <v>8</v>
      </c>
      <c r="B4" t="s">
        <v>9</v>
      </c>
      <c r="C4">
        <v>360</v>
      </c>
      <c r="D4">
        <v>419</v>
      </c>
      <c r="G4" s="111">
        <f>C4</f>
        <v>360</v>
      </c>
      <c r="H4">
        <f>(1+$N$5)*G4</f>
        <v>374.00000000000006</v>
      </c>
      <c r="I4" s="111">
        <f t="shared" ref="I4:K4" si="0">(1+$N$5)*H4</f>
        <v>388.54444444444454</v>
      </c>
      <c r="J4" s="111">
        <f t="shared" si="0"/>
        <v>403.65450617283966</v>
      </c>
      <c r="K4" s="111">
        <f t="shared" si="0"/>
        <v>419.35218141289459</v>
      </c>
      <c r="L4" s="111">
        <f t="shared" ref="L4:L10" si="1">K4</f>
        <v>419.35218141289459</v>
      </c>
      <c r="N4">
        <f>INT((D4-C4)/4)</f>
        <v>14</v>
      </c>
      <c r="O4" t="s">
        <v>10</v>
      </c>
    </row>
    <row r="5" spans="1:15" ht="14.25" customHeight="1" x14ac:dyDescent="0.25">
      <c r="A5" t="s">
        <v>11</v>
      </c>
      <c r="B5" s="60">
        <f>F5</f>
        <v>4659874.1384477075</v>
      </c>
      <c r="E5" s="61">
        <f>Benefits!D17/$C$1</f>
        <v>466500000</v>
      </c>
      <c r="F5" s="60">
        <f>E5/F2</f>
        <v>4659874.1384477075</v>
      </c>
      <c r="G5" s="60">
        <f>F5</f>
        <v>4659874.1384477075</v>
      </c>
      <c r="H5" s="60">
        <f>(1+$N$5)*G5</f>
        <v>4841091.4660540074</v>
      </c>
      <c r="I5" s="60">
        <f t="shared" ref="I5:K6" si="2">(1+$N$5)*H5</f>
        <v>5029356.1341783302</v>
      </c>
      <c r="J5" s="60">
        <f t="shared" si="2"/>
        <v>5224942.2060630433</v>
      </c>
      <c r="K5" s="60">
        <f t="shared" si="2"/>
        <v>5428134.4029654954</v>
      </c>
      <c r="L5" s="60">
        <f t="shared" si="1"/>
        <v>5428134.4029654954</v>
      </c>
      <c r="N5" s="112">
        <f>N4/C4</f>
        <v>3.888888888888889E-2</v>
      </c>
      <c r="O5" t="s">
        <v>12</v>
      </c>
    </row>
    <row r="6" spans="1:15" x14ac:dyDescent="0.25">
      <c r="A6" t="s">
        <v>21</v>
      </c>
      <c r="B6" s="60">
        <f>B8*0.1</f>
        <v>22900</v>
      </c>
      <c r="C6" s="60"/>
      <c r="F6" s="122">
        <f>$B6</f>
        <v>22900</v>
      </c>
      <c r="G6" s="122">
        <f>F6</f>
        <v>22900</v>
      </c>
      <c r="H6" s="122">
        <f>(1+$N$5)*G6</f>
        <v>23790.555555555558</v>
      </c>
      <c r="I6" s="122">
        <f t="shared" si="2"/>
        <v>24715.743827160499</v>
      </c>
      <c r="J6" s="122">
        <f t="shared" si="2"/>
        <v>25676.911642661187</v>
      </c>
      <c r="K6" s="122">
        <f t="shared" si="2"/>
        <v>26675.458206542458</v>
      </c>
      <c r="L6" s="122">
        <f t="shared" si="1"/>
        <v>26675.458206542458</v>
      </c>
      <c r="N6" s="115">
        <v>0.1</v>
      </c>
      <c r="O6" t="s">
        <v>13</v>
      </c>
    </row>
    <row r="7" spans="1:15" x14ac:dyDescent="0.25">
      <c r="A7" t="s">
        <v>14</v>
      </c>
      <c r="B7" s="60">
        <v>50000</v>
      </c>
      <c r="C7" s="60"/>
      <c r="F7" s="60">
        <f>$B7</f>
        <v>50000</v>
      </c>
      <c r="G7" s="60">
        <f>F7+188000</f>
        <v>238000</v>
      </c>
      <c r="H7" s="60">
        <f>F7</f>
        <v>50000</v>
      </c>
      <c r="I7" s="60">
        <f t="shared" ref="I7" si="3">(1+$N$5)*H7</f>
        <v>51944.444444444445</v>
      </c>
      <c r="J7" s="60">
        <f t="shared" ref="J7" si="4">(1+$N$5)*I7</f>
        <v>53964.506172839509</v>
      </c>
      <c r="K7" s="60">
        <f t="shared" ref="K7" si="5">(1+$N$5)*J7</f>
        <v>56063.125857338826</v>
      </c>
      <c r="L7" s="60">
        <f t="shared" si="1"/>
        <v>56063.125857338826</v>
      </c>
      <c r="N7" s="115"/>
    </row>
    <row r="8" spans="1:15" x14ac:dyDescent="0.25">
      <c r="A8" t="s">
        <v>15</v>
      </c>
      <c r="B8" s="60">
        <f>Benefits!D36</f>
        <v>229000</v>
      </c>
      <c r="C8" s="60"/>
      <c r="F8" s="60">
        <v>229000</v>
      </c>
      <c r="G8" s="60">
        <f>F8</f>
        <v>229000</v>
      </c>
      <c r="H8" s="60">
        <f>(1+$N$5)*G8</f>
        <v>237905.55555555556</v>
      </c>
      <c r="I8" s="60">
        <f t="shared" ref="I8" si="6">(1+$N$5)*H8</f>
        <v>247157.43827160497</v>
      </c>
      <c r="J8" s="60">
        <f t="shared" ref="J8" si="7">(1+$N$5)*I8</f>
        <v>256769.11642661184</v>
      </c>
      <c r="K8" s="60">
        <f t="shared" ref="K8" si="8">(1+$N$5)*J8</f>
        <v>266754.58206542453</v>
      </c>
      <c r="L8" s="60">
        <f t="shared" si="1"/>
        <v>266754.58206542453</v>
      </c>
      <c r="N8" s="115">
        <v>0.1</v>
      </c>
      <c r="O8" t="s">
        <v>16</v>
      </c>
    </row>
    <row r="9" spans="1:15" x14ac:dyDescent="0.25">
      <c r="A9" t="s">
        <v>17</v>
      </c>
      <c r="B9" s="60">
        <f>G9</f>
        <v>5394066.5268204976</v>
      </c>
      <c r="C9" s="116">
        <f>Benefits!E18</f>
        <v>1500000</v>
      </c>
      <c r="D9" t="s">
        <v>18</v>
      </c>
      <c r="F9" s="120">
        <f>C9/F$2</f>
        <v>14983.518130056937</v>
      </c>
      <c r="G9" s="60">
        <f>$F9*G4</f>
        <v>5394066.5268204976</v>
      </c>
      <c r="H9" s="60">
        <f t="shared" ref="H9:K9" si="9">$F9*H4</f>
        <v>5603835.780641295</v>
      </c>
      <c r="I9" s="60">
        <f t="shared" si="9"/>
        <v>5821762.7276662346</v>
      </c>
      <c r="J9" s="60">
        <f t="shared" si="9"/>
        <v>6048164.6115199225</v>
      </c>
      <c r="K9" s="60">
        <f t="shared" si="9"/>
        <v>6283371.0130790314</v>
      </c>
      <c r="L9" s="60">
        <f t="shared" si="1"/>
        <v>6283371.0130790314</v>
      </c>
    </row>
    <row r="10" spans="1:15" x14ac:dyDescent="0.25">
      <c r="A10" s="124" t="s">
        <v>19</v>
      </c>
      <c r="B10" s="60">
        <f>SUM(B6:B9)</f>
        <v>5695966.5268204976</v>
      </c>
      <c r="C10" s="60"/>
      <c r="G10" s="60">
        <f>SUM(G6:G9)</f>
        <v>5883966.5268204976</v>
      </c>
      <c r="H10" s="60">
        <f t="shared" ref="H10:K10" si="10">SUM(H6:H9)</f>
        <v>5915531.891752406</v>
      </c>
      <c r="I10" s="60">
        <f t="shared" si="10"/>
        <v>6145580.3542094445</v>
      </c>
      <c r="J10" s="60">
        <f t="shared" si="10"/>
        <v>6384575.1457620347</v>
      </c>
      <c r="K10" s="60">
        <f t="shared" si="10"/>
        <v>6632864.1792083373</v>
      </c>
      <c r="L10" s="60">
        <f t="shared" si="1"/>
        <v>6632864.1792083373</v>
      </c>
    </row>
    <row r="11" spans="1:15" x14ac:dyDescent="0.25">
      <c r="N11">
        <f>INT((D12-C12)/4)</f>
        <v>-13</v>
      </c>
    </row>
    <row r="12" spans="1:15" x14ac:dyDescent="0.25">
      <c r="A12" s="125" t="s">
        <v>20</v>
      </c>
      <c r="B12" t="s">
        <v>9</v>
      </c>
      <c r="C12">
        <v>360</v>
      </c>
      <c r="D12">
        <v>311</v>
      </c>
      <c r="G12" s="111">
        <f>C12</f>
        <v>360</v>
      </c>
      <c r="H12" s="111">
        <f>(1+$N$12)*G12</f>
        <v>347</v>
      </c>
      <c r="I12" s="111">
        <f>(1+$N$12)*H12</f>
        <v>334.46944444444443</v>
      </c>
      <c r="J12" s="111">
        <f>(1+$N$12)*I12</f>
        <v>322.39138117283949</v>
      </c>
      <c r="K12" s="111">
        <f>(1+$N$12)*J12</f>
        <v>310.74947018604252</v>
      </c>
      <c r="L12" s="111">
        <f t="shared" ref="L12:L18" si="11">K12</f>
        <v>310.74947018604252</v>
      </c>
      <c r="N12" s="112">
        <f>N11/C12</f>
        <v>-3.6111111111111108E-2</v>
      </c>
    </row>
    <row r="13" spans="1:15" x14ac:dyDescent="0.25">
      <c r="A13" t="s">
        <v>11</v>
      </c>
      <c r="B13" s="60">
        <f>Benefits!O18</f>
        <v>3261916.1333333319</v>
      </c>
      <c r="G13" s="60">
        <f>F5</f>
        <v>4659874.1384477075</v>
      </c>
      <c r="H13" s="60">
        <f>G13-(G13*-$O13)</f>
        <v>3791419.3638648186</v>
      </c>
      <c r="I13" s="60">
        <f t="shared" ref="I13:K13" si="12">H13-(H13*-$O13)</f>
        <v>3084817.3932606778</v>
      </c>
      <c r="J13" s="60">
        <f t="shared" si="12"/>
        <v>2509903.9268669244</v>
      </c>
      <c r="K13" s="60">
        <f t="shared" si="12"/>
        <v>2042136.3468270833</v>
      </c>
      <c r="L13" s="60">
        <f t="shared" si="11"/>
        <v>2042136.3468270833</v>
      </c>
      <c r="N13" s="112">
        <f>-B13/G13</f>
        <v>-0.7000009091275452</v>
      </c>
      <c r="O13" s="112">
        <f>N13/3.756</f>
        <v>-0.18636871915003866</v>
      </c>
    </row>
    <row r="14" spans="1:15" x14ac:dyDescent="0.25">
      <c r="A14" t="s">
        <v>21</v>
      </c>
      <c r="B14" s="60">
        <f>'HLE-FTS-Corp'!B78*C14</f>
        <v>38200</v>
      </c>
      <c r="C14" s="115">
        <v>0.1</v>
      </c>
      <c r="D14" t="s">
        <v>22</v>
      </c>
      <c r="G14" s="60">
        <f>$B14</f>
        <v>38200</v>
      </c>
      <c r="H14" s="60">
        <f>(1+$N$5)*G14</f>
        <v>39685.555555555562</v>
      </c>
      <c r="I14" s="60">
        <f t="shared" ref="I14:K14" si="13">(1+$N$5)*H14</f>
        <v>41228.882716049389</v>
      </c>
      <c r="J14" s="60">
        <f t="shared" si="13"/>
        <v>42832.228155006866</v>
      </c>
      <c r="K14" s="60">
        <f t="shared" si="13"/>
        <v>44497.925916590466</v>
      </c>
      <c r="L14" s="60">
        <f t="shared" si="11"/>
        <v>44497.925916590466</v>
      </c>
      <c r="N14" s="115">
        <v>0.1</v>
      </c>
      <c r="O14" t="s">
        <v>13</v>
      </c>
    </row>
    <row r="15" spans="1:15" x14ac:dyDescent="0.25">
      <c r="A15" t="s">
        <v>14</v>
      </c>
      <c r="B15" s="60">
        <v>0</v>
      </c>
      <c r="C15" s="115"/>
      <c r="F15" s="120">
        <v>0</v>
      </c>
      <c r="G15" s="60"/>
      <c r="H15" s="60"/>
      <c r="I15" s="60"/>
      <c r="J15" s="60"/>
      <c r="K15" s="60"/>
      <c r="L15" s="60"/>
    </row>
    <row r="16" spans="1:15" ht="16.5" customHeight="1" x14ac:dyDescent="0.25">
      <c r="A16" t="s">
        <v>15</v>
      </c>
      <c r="B16" s="60">
        <v>0</v>
      </c>
      <c r="C16" s="115"/>
      <c r="G16" s="60">
        <f>$B16</f>
        <v>0</v>
      </c>
      <c r="H16" s="60">
        <f t="shared" ref="H16:K16" si="14">$B16</f>
        <v>0</v>
      </c>
      <c r="I16" s="60">
        <f t="shared" si="14"/>
        <v>0</v>
      </c>
      <c r="J16" s="60">
        <f t="shared" si="14"/>
        <v>0</v>
      </c>
      <c r="K16" s="60">
        <f t="shared" si="14"/>
        <v>0</v>
      </c>
      <c r="L16" s="60">
        <f t="shared" si="11"/>
        <v>0</v>
      </c>
    </row>
    <row r="17" spans="1:15" x14ac:dyDescent="0.25">
      <c r="A17" t="s">
        <v>23</v>
      </c>
      <c r="B17" s="60">
        <f>'HLE-FTS-Corp'!B73/C1</f>
        <v>392355</v>
      </c>
      <c r="G17" s="60">
        <f>$B17</f>
        <v>392355</v>
      </c>
      <c r="H17" s="60">
        <f t="shared" ref="H17:K18" si="15">$B17</f>
        <v>392355</v>
      </c>
      <c r="I17" s="60">
        <f t="shared" si="15"/>
        <v>392355</v>
      </c>
      <c r="J17" s="60">
        <f t="shared" si="15"/>
        <v>392355</v>
      </c>
      <c r="K17" s="60">
        <f t="shared" si="15"/>
        <v>392355</v>
      </c>
      <c r="L17" s="60">
        <f t="shared" si="11"/>
        <v>392355</v>
      </c>
    </row>
    <row r="18" spans="1:15" x14ac:dyDescent="0.25">
      <c r="A18" t="s">
        <v>17</v>
      </c>
      <c r="B18" s="60">
        <f>'HLE-FTS-Corp'!B79</f>
        <v>735816</v>
      </c>
      <c r="G18" s="60">
        <f>$B18</f>
        <v>735816</v>
      </c>
      <c r="H18" s="60">
        <f t="shared" si="15"/>
        <v>735816</v>
      </c>
      <c r="I18" s="60">
        <f t="shared" si="15"/>
        <v>735816</v>
      </c>
      <c r="J18" s="60">
        <f t="shared" si="15"/>
        <v>735816</v>
      </c>
      <c r="K18" s="60">
        <f t="shared" si="15"/>
        <v>735816</v>
      </c>
      <c r="L18" s="60">
        <f t="shared" si="11"/>
        <v>735816</v>
      </c>
      <c r="O18" t="s">
        <v>142</v>
      </c>
    </row>
    <row r="19" spans="1:15" x14ac:dyDescent="0.25">
      <c r="A19" t="s">
        <v>24</v>
      </c>
      <c r="B19" s="60">
        <f>G19</f>
        <v>5394066.5268204976</v>
      </c>
      <c r="C19" s="116">
        <f>Benefits!E18</f>
        <v>1500000</v>
      </c>
      <c r="D19" t="s">
        <v>18</v>
      </c>
      <c r="F19" s="120">
        <f>C19/F$2</f>
        <v>14983.518130056937</v>
      </c>
      <c r="G19" s="60">
        <f>$F19*G12</f>
        <v>5394066.5268204976</v>
      </c>
      <c r="H19" s="60">
        <f>$F19*H12</f>
        <v>5199280.7911297567</v>
      </c>
      <c r="I19" s="60">
        <f>$F19*I12</f>
        <v>5011528.9847834045</v>
      </c>
      <c r="J19" s="60">
        <f>$F19*J12</f>
        <v>4830557.1047773371</v>
      </c>
      <c r="K19" s="60">
        <f>$F19*K12</f>
        <v>4656120.3204381559</v>
      </c>
      <c r="L19" s="60">
        <f>K19</f>
        <v>4656120.3204381559</v>
      </c>
    </row>
    <row r="20" spans="1:15" x14ac:dyDescent="0.25">
      <c r="A20" s="124" t="s">
        <v>19</v>
      </c>
      <c r="B20" s="60">
        <f>SUM(B13:B18)</f>
        <v>4428287.1333333319</v>
      </c>
      <c r="G20" s="60">
        <f t="shared" ref="G20:L20" si="16">SUM(G14:G19)</f>
        <v>6560437.5268204976</v>
      </c>
      <c r="H20" s="60">
        <f t="shared" si="16"/>
        <v>6367137.3466853127</v>
      </c>
      <c r="I20" s="60">
        <f t="shared" si="16"/>
        <v>6180928.8674994539</v>
      </c>
      <c r="J20" s="60">
        <f t="shared" si="16"/>
        <v>6001560.3329323437</v>
      </c>
      <c r="K20" s="60">
        <f t="shared" si="16"/>
        <v>5828789.2463547466</v>
      </c>
      <c r="L20" s="60">
        <f t="shared" si="16"/>
        <v>5828789.2463547466</v>
      </c>
    </row>
    <row r="21" spans="1:15" x14ac:dyDescent="0.25">
      <c r="B21" s="60"/>
      <c r="G21" s="60"/>
      <c r="H21" s="60"/>
      <c r="I21" s="60"/>
      <c r="J21" s="60"/>
      <c r="K21" s="60"/>
      <c r="L21" s="60"/>
    </row>
    <row r="22" spans="1:15" x14ac:dyDescent="0.25">
      <c r="A22" s="125" t="s">
        <v>25</v>
      </c>
      <c r="B22" s="62">
        <f>B10-B20</f>
        <v>1267679.3934871657</v>
      </c>
      <c r="G22" s="62">
        <f>G10-G20</f>
        <v>-676471</v>
      </c>
      <c r="H22" s="62">
        <f t="shared" ref="H22:L22" si="17">H10-H20</f>
        <v>-451605.45493290666</v>
      </c>
      <c r="I22" s="62">
        <f t="shared" si="17"/>
        <v>-35348.513290009461</v>
      </c>
      <c r="J22" s="62">
        <f t="shared" si="17"/>
        <v>383014.81282969099</v>
      </c>
      <c r="K22" s="62">
        <f t="shared" si="17"/>
        <v>804074.9328535907</v>
      </c>
      <c r="L22" s="126">
        <f t="shared" si="17"/>
        <v>804074.9328535907</v>
      </c>
    </row>
    <row r="24" spans="1:15" x14ac:dyDescent="0.25">
      <c r="A24" s="123" t="s">
        <v>143</v>
      </c>
      <c r="L24" s="60"/>
    </row>
    <row r="25" spans="1:15" x14ac:dyDescent="0.25">
      <c r="A25" s="121" t="s">
        <v>148</v>
      </c>
    </row>
    <row r="26" spans="1:15" x14ac:dyDescent="0.25">
      <c r="A26" s="121" t="s">
        <v>145</v>
      </c>
    </row>
    <row r="27" spans="1:15" x14ac:dyDescent="0.25">
      <c r="A27" s="121" t="s">
        <v>146</v>
      </c>
    </row>
    <row r="28" spans="1:15" x14ac:dyDescent="0.25">
      <c r="A28" s="121" t="s">
        <v>147</v>
      </c>
    </row>
    <row r="29" spans="1:15" x14ac:dyDescent="0.25">
      <c r="A29" s="121" t="s">
        <v>149</v>
      </c>
    </row>
    <row r="30" spans="1:15" x14ac:dyDescent="0.25">
      <c r="A30" s="121" t="s">
        <v>144</v>
      </c>
    </row>
  </sheetData>
  <phoneticPr fontId="1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94"/>
  <sheetViews>
    <sheetView topLeftCell="A25" zoomScale="150" zoomScaleNormal="150" workbookViewId="0">
      <selection activeCell="B52" sqref="B52"/>
    </sheetView>
  </sheetViews>
  <sheetFormatPr defaultColWidth="8.85546875" defaultRowHeight="12" outlineLevelRow="1" x14ac:dyDescent="0.2"/>
  <cols>
    <col min="1" max="1" width="1" style="1" customWidth="1"/>
    <col min="2" max="2" width="39" style="1" bestFit="1" customWidth="1"/>
    <col min="3" max="3" width="3.7109375" style="1" bestFit="1" customWidth="1"/>
    <col min="4" max="4" width="14.28515625" style="2" bestFit="1" customWidth="1"/>
    <col min="5" max="5" width="11" style="2" bestFit="1" customWidth="1"/>
    <col min="6" max="6" width="6.5703125" style="2" bestFit="1" customWidth="1"/>
    <col min="7" max="7" width="19" style="2" bestFit="1" customWidth="1"/>
    <col min="8" max="14" width="12.140625" style="2" customWidth="1"/>
    <col min="15" max="15" width="11.7109375" style="2" customWidth="1"/>
    <col min="16" max="16" width="12" style="2" bestFit="1" customWidth="1"/>
    <col min="17" max="17" width="10.7109375" style="2" bestFit="1" customWidth="1"/>
    <col min="18" max="18" width="12.42578125" style="2" bestFit="1" customWidth="1"/>
    <col min="19" max="19" width="4.7109375" style="2" customWidth="1"/>
    <col min="20" max="20" width="5.7109375" style="2" customWidth="1"/>
    <col min="21" max="21" width="12" style="2" bestFit="1" customWidth="1"/>
    <col min="22" max="22" width="5.7109375" style="2" customWidth="1"/>
    <col min="23" max="16384" width="8.85546875" style="1"/>
  </cols>
  <sheetData>
    <row r="2" spans="2:22" ht="15" x14ac:dyDescent="0.25">
      <c r="B2" s="3" t="s">
        <v>26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2:22" ht="15" x14ac:dyDescent="0.25"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ht="15" x14ac:dyDescent="0.25"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22" ht="15" outlineLevel="1" x14ac:dyDescent="0.25">
      <c r="B5" s="5"/>
      <c r="C5" s="5"/>
      <c r="D5" s="6"/>
      <c r="E5" s="6"/>
      <c r="F5" s="6"/>
      <c r="G5" s="6" t="s">
        <v>27</v>
      </c>
      <c r="H5" s="6" t="s">
        <v>28</v>
      </c>
      <c r="I5" s="6" t="s">
        <v>29</v>
      </c>
      <c r="J5" s="6" t="s">
        <v>30</v>
      </c>
      <c r="K5" s="6" t="s">
        <v>31</v>
      </c>
      <c r="L5" s="6" t="s">
        <v>32</v>
      </c>
      <c r="O5" s="6"/>
      <c r="P5" s="6"/>
      <c r="Q5" s="6"/>
      <c r="R5" s="6"/>
      <c r="S5" s="6"/>
      <c r="T5" s="6"/>
      <c r="U5" s="6"/>
      <c r="V5" s="6"/>
    </row>
    <row r="6" spans="2:22" outlineLevel="1" x14ac:dyDescent="0.2">
      <c r="D6" s="54"/>
      <c r="G6" s="7" t="s">
        <v>33</v>
      </c>
      <c r="H6" s="7"/>
      <c r="I6" s="7"/>
      <c r="J6" s="7"/>
    </row>
    <row r="7" spans="2:22" outlineLevel="1" x14ac:dyDescent="0.2">
      <c r="B7" s="8" t="s">
        <v>11</v>
      </c>
      <c r="C7" s="9"/>
      <c r="D7" s="10">
        <v>44531</v>
      </c>
      <c r="E7" s="10">
        <v>46357</v>
      </c>
      <c r="F7" s="2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39</v>
      </c>
      <c r="L7" s="7" t="s">
        <v>40</v>
      </c>
      <c r="P7" s="11" t="s">
        <v>41</v>
      </c>
      <c r="Q7" s="12"/>
      <c r="R7" s="12" t="s">
        <v>42</v>
      </c>
      <c r="S7" s="13"/>
      <c r="U7" s="7" t="s">
        <v>43</v>
      </c>
      <c r="V7" s="7"/>
    </row>
    <row r="8" spans="2:22" outlineLevel="1" x14ac:dyDescent="0.2">
      <c r="B8" s="14" t="s">
        <v>44</v>
      </c>
      <c r="C8" s="9"/>
      <c r="D8" s="15">
        <f>+D9</f>
        <v>311</v>
      </c>
      <c r="E8" s="15">
        <f>+E9</f>
        <v>419</v>
      </c>
      <c r="F8" s="1"/>
      <c r="G8" s="15"/>
      <c r="H8" s="15"/>
      <c r="I8" s="15"/>
      <c r="J8" s="15"/>
      <c r="K8" s="15"/>
      <c r="L8" s="15"/>
      <c r="P8" s="16"/>
      <c r="Q8" s="15"/>
      <c r="R8" s="17"/>
      <c r="S8" s="18"/>
      <c r="U8" s="15"/>
      <c r="V8" s="15"/>
    </row>
    <row r="9" spans="2:22" outlineLevel="1" x14ac:dyDescent="0.2">
      <c r="B9" s="8" t="s">
        <v>44</v>
      </c>
      <c r="C9" s="9"/>
      <c r="D9" s="7">
        <f>+SUM(D10:D13)</f>
        <v>311</v>
      </c>
      <c r="E9" s="7">
        <f>+SUM(E10:E13)</f>
        <v>419</v>
      </c>
      <c r="F9" s="1">
        <f>E9-D9</f>
        <v>108</v>
      </c>
      <c r="G9" s="7">
        <v>25</v>
      </c>
      <c r="H9" s="7">
        <v>6</v>
      </c>
      <c r="I9" s="7">
        <v>3</v>
      </c>
      <c r="J9" s="7">
        <v>6</v>
      </c>
      <c r="K9" s="7">
        <v>6</v>
      </c>
      <c r="L9" s="7">
        <v>10</v>
      </c>
      <c r="M9" s="2">
        <f>F9-(SUM(G9:L9))</f>
        <v>52</v>
      </c>
      <c r="P9" s="19">
        <f>SUM(G9:L9)</f>
        <v>56</v>
      </c>
      <c r="R9" s="20">
        <f>P9/E9</f>
        <v>0.13365155131264916</v>
      </c>
      <c r="S9" s="21"/>
      <c r="U9" s="2">
        <f>E9-P9</f>
        <v>363</v>
      </c>
    </row>
    <row r="10" spans="2:22" outlineLevel="1" x14ac:dyDescent="0.2">
      <c r="B10" s="22" t="s">
        <v>45</v>
      </c>
      <c r="D10" s="55">
        <v>85</v>
      </c>
      <c r="E10" s="55">
        <v>104</v>
      </c>
      <c r="F10" s="1"/>
      <c r="P10" s="19">
        <f>SUM(G10:N10)</f>
        <v>0</v>
      </c>
      <c r="R10" s="20">
        <f>P10/D10</f>
        <v>0</v>
      </c>
      <c r="S10" s="21"/>
      <c r="U10" s="2">
        <f>E10-P10</f>
        <v>104</v>
      </c>
    </row>
    <row r="11" spans="2:22" outlineLevel="1" x14ac:dyDescent="0.2">
      <c r="B11" s="22" t="s">
        <v>46</v>
      </c>
      <c r="D11" s="55">
        <v>69</v>
      </c>
      <c r="E11" s="55">
        <v>84</v>
      </c>
      <c r="F11" s="1"/>
      <c r="P11" s="19">
        <f>SUM(G11:N11)</f>
        <v>0</v>
      </c>
      <c r="R11" s="20">
        <f>P11/D11</f>
        <v>0</v>
      </c>
      <c r="S11" s="21"/>
      <c r="U11" s="2">
        <f>E11-P11</f>
        <v>84</v>
      </c>
    </row>
    <row r="12" spans="2:22" outlineLevel="1" x14ac:dyDescent="0.2">
      <c r="B12" s="22" t="s">
        <v>47</v>
      </c>
      <c r="D12" s="55">
        <v>46</v>
      </c>
      <c r="E12" s="55">
        <v>68</v>
      </c>
      <c r="F12" s="1"/>
      <c r="R12" s="20"/>
      <c r="S12" s="20"/>
    </row>
    <row r="13" spans="2:22" outlineLevel="1" x14ac:dyDescent="0.2">
      <c r="B13" s="22" t="s">
        <v>48</v>
      </c>
      <c r="D13" s="55">
        <v>111</v>
      </c>
      <c r="E13" s="55">
        <v>163</v>
      </c>
      <c r="F13" s="1"/>
      <c r="R13" s="20"/>
      <c r="S13" s="20"/>
    </row>
    <row r="14" spans="2:22" ht="15" customHeight="1" outlineLevel="1" x14ac:dyDescent="0.2">
      <c r="G14" s="6" t="s">
        <v>27</v>
      </c>
      <c r="H14" s="6" t="s">
        <v>28</v>
      </c>
      <c r="I14" s="6" t="s">
        <v>29</v>
      </c>
      <c r="J14" s="6" t="s">
        <v>30</v>
      </c>
      <c r="K14" s="6" t="s">
        <v>31</v>
      </c>
      <c r="L14" s="6" t="s">
        <v>32</v>
      </c>
    </row>
    <row r="15" spans="2:22" outlineLevel="1" x14ac:dyDescent="0.2">
      <c r="G15" s="7" t="s">
        <v>49</v>
      </c>
      <c r="H15" s="7"/>
      <c r="I15" s="7"/>
      <c r="J15" s="7"/>
      <c r="K15" s="7"/>
      <c r="L15" s="7"/>
    </row>
    <row r="16" spans="2:22" outlineLevel="1" x14ac:dyDescent="0.2">
      <c r="B16" s="8" t="s">
        <v>50</v>
      </c>
      <c r="C16" s="9"/>
      <c r="D16" s="23"/>
      <c r="E16" s="23"/>
      <c r="G16" s="7" t="s">
        <v>35</v>
      </c>
      <c r="H16" s="7" t="s">
        <v>36</v>
      </c>
      <c r="I16" s="7" t="s">
        <v>37</v>
      </c>
      <c r="J16" s="7" t="s">
        <v>38</v>
      </c>
      <c r="K16" s="7" t="s">
        <v>39</v>
      </c>
      <c r="L16" s="7" t="s">
        <v>40</v>
      </c>
      <c r="P16" s="24" t="s">
        <v>51</v>
      </c>
      <c r="Q16" s="24" t="s">
        <v>51</v>
      </c>
      <c r="R16" s="12"/>
      <c r="S16" s="13"/>
      <c r="U16" s="23"/>
      <c r="V16" s="23"/>
    </row>
    <row r="17" spans="2:23" ht="12.75" outlineLevel="1" x14ac:dyDescent="0.2">
      <c r="B17" s="14" t="s">
        <v>52</v>
      </c>
      <c r="C17" s="9"/>
      <c r="D17" s="25">
        <f>+D18*5</f>
        <v>2332500000</v>
      </c>
      <c r="E17" s="26"/>
      <c r="G17" s="26" t="s">
        <v>50</v>
      </c>
      <c r="H17" s="26" t="s">
        <v>50</v>
      </c>
      <c r="I17" s="26" t="s">
        <v>50</v>
      </c>
      <c r="J17" s="26" t="s">
        <v>50</v>
      </c>
      <c r="K17" s="26" t="s">
        <v>50</v>
      </c>
      <c r="L17" s="26" t="s">
        <v>50</v>
      </c>
      <c r="M17" s="118" t="s">
        <v>53</v>
      </c>
      <c r="N17" s="118" t="s">
        <v>54</v>
      </c>
      <c r="O17" s="118" t="s">
        <v>55</v>
      </c>
      <c r="P17" s="27" t="s">
        <v>50</v>
      </c>
      <c r="Q17" s="27" t="s">
        <v>56</v>
      </c>
      <c r="R17" s="17"/>
      <c r="S17" s="18"/>
      <c r="U17" s="26"/>
      <c r="V17" s="26"/>
    </row>
    <row r="18" spans="2:23" outlineLevel="1" x14ac:dyDescent="0.2">
      <c r="B18" s="8" t="s">
        <v>57</v>
      </c>
      <c r="C18" s="9"/>
      <c r="D18" s="28">
        <f>+SUM(D19:D22)*12</f>
        <v>466500000</v>
      </c>
      <c r="E18" s="29">
        <f>D18/D9</f>
        <v>1500000</v>
      </c>
      <c r="G18" s="28">
        <v>81126504</v>
      </c>
      <c r="H18" s="28">
        <v>22203043.200000018</v>
      </c>
      <c r="I18" s="28">
        <v>11528503.20000001</v>
      </c>
      <c r="J18" s="28">
        <v>11528503.20000001</v>
      </c>
      <c r="K18" s="28">
        <v>11528503.20000001</v>
      </c>
      <c r="L18" s="28">
        <v>35012491.20000001</v>
      </c>
      <c r="M18" s="117">
        <f>D18</f>
        <v>466500000</v>
      </c>
      <c r="N18" s="117">
        <f>M18-P18</f>
        <v>293572451.99999988</v>
      </c>
      <c r="O18" s="119">
        <f>N18/D30</f>
        <v>3261916.1333333319</v>
      </c>
      <c r="P18" s="30">
        <f>SUM(G18:L18)</f>
        <v>172927548.00000009</v>
      </c>
      <c r="Q18" s="31">
        <f>+P18/D30</f>
        <v>1921417.2000000009</v>
      </c>
      <c r="R18" s="32"/>
      <c r="S18" s="33"/>
      <c r="U18" s="28"/>
      <c r="V18" s="29"/>
    </row>
    <row r="19" spans="2:23" outlineLevel="1" x14ac:dyDescent="0.2">
      <c r="B19" s="22" t="s">
        <v>45</v>
      </c>
      <c r="D19" s="34">
        <f>D10*$D$29</f>
        <v>10625000</v>
      </c>
      <c r="E19" s="35"/>
      <c r="F19" s="35"/>
      <c r="G19" s="34"/>
      <c r="H19" s="35"/>
      <c r="I19" s="35"/>
      <c r="J19" s="35"/>
      <c r="K19" s="35"/>
      <c r="L19" s="35"/>
      <c r="M19" s="35"/>
      <c r="N19" s="35"/>
      <c r="O19" s="35"/>
      <c r="P19" s="36"/>
      <c r="Q19" s="35"/>
      <c r="R19" s="20"/>
      <c r="S19" s="21"/>
      <c r="U19" s="34"/>
      <c r="V19" s="35"/>
    </row>
    <row r="20" spans="2:23" outlineLevel="1" x14ac:dyDescent="0.2">
      <c r="B20" s="22" t="s">
        <v>46</v>
      </c>
      <c r="D20" s="34">
        <f>D11*$D$29</f>
        <v>8625000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35"/>
      <c r="R20" s="20"/>
      <c r="S20" s="21"/>
      <c r="U20" s="34"/>
      <c r="V20" s="35"/>
    </row>
    <row r="21" spans="2:23" outlineLevel="1" x14ac:dyDescent="0.2">
      <c r="B21" s="22" t="s">
        <v>47</v>
      </c>
      <c r="D21" s="34">
        <f>D12*$D$29</f>
        <v>5750000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20"/>
      <c r="S21" s="20"/>
      <c r="U21" s="34"/>
      <c r="V21" s="35"/>
    </row>
    <row r="22" spans="2:23" outlineLevel="1" x14ac:dyDescent="0.2">
      <c r="B22" s="22" t="s">
        <v>48</v>
      </c>
      <c r="D22" s="34">
        <f>D13*$D$29</f>
        <v>13875000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20"/>
      <c r="S22" s="20"/>
      <c r="U22" s="34"/>
      <c r="V22" s="35"/>
    </row>
    <row r="23" spans="2:23" outlineLevel="1" x14ac:dyDescent="0.2">
      <c r="B23" s="22"/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20"/>
      <c r="S23" s="20"/>
      <c r="U23" s="34"/>
      <c r="V23" s="35"/>
    </row>
    <row r="24" spans="2:23" outlineLevel="1" x14ac:dyDescent="0.2">
      <c r="B24" s="22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20"/>
      <c r="S24" s="20"/>
      <c r="U24" s="34"/>
      <c r="V24" s="35"/>
    </row>
    <row r="25" spans="2:23" outlineLevel="1" x14ac:dyDescent="0.2">
      <c r="B25" s="22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0"/>
      <c r="P25" s="35"/>
      <c r="Q25" s="20"/>
      <c r="R25" s="20"/>
      <c r="S25" s="20"/>
      <c r="T25" s="20"/>
      <c r="U25" s="20"/>
      <c r="V25" s="20"/>
      <c r="W25" s="20"/>
    </row>
    <row r="26" spans="2:23" outlineLevel="1" x14ac:dyDescent="0.2">
      <c r="B26" s="22" t="s">
        <v>58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0"/>
      <c r="P26" s="20"/>
      <c r="Q26" s="20"/>
      <c r="R26" s="20"/>
      <c r="S26" s="20"/>
      <c r="T26" s="20"/>
      <c r="U26" s="20"/>
      <c r="V26" s="20"/>
      <c r="W26" s="20"/>
    </row>
    <row r="27" spans="2:23" outlineLevel="1" x14ac:dyDescent="0.2">
      <c r="B27" s="22" t="s">
        <v>59</v>
      </c>
      <c r="D27" s="34">
        <v>130000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0"/>
      <c r="P27" s="20"/>
      <c r="Q27" s="20"/>
      <c r="R27" s="20"/>
      <c r="S27" s="20"/>
      <c r="T27" s="20"/>
      <c r="U27" s="20"/>
      <c r="V27" s="20"/>
      <c r="W27" s="20"/>
    </row>
    <row r="28" spans="2:23" outlineLevel="1" x14ac:dyDescent="0.2">
      <c r="B28" s="22" t="s">
        <v>60</v>
      </c>
      <c r="D28" s="34">
        <v>120000</v>
      </c>
      <c r="E28" s="35"/>
      <c r="F28" s="35" t="s">
        <v>61</v>
      </c>
      <c r="G28" s="35"/>
      <c r="H28" s="35"/>
      <c r="I28" s="35"/>
      <c r="J28" s="35"/>
      <c r="K28" s="35"/>
      <c r="L28" s="35"/>
      <c r="M28" s="35"/>
      <c r="N28" s="35"/>
      <c r="O28" s="20"/>
      <c r="P28" s="20"/>
      <c r="Q28" s="20"/>
      <c r="R28" s="20"/>
      <c r="S28" s="20"/>
      <c r="T28" s="20"/>
      <c r="U28" s="20"/>
      <c r="V28" s="20"/>
      <c r="W28" s="20"/>
    </row>
    <row r="29" spans="2:23" outlineLevel="1" x14ac:dyDescent="0.2">
      <c r="B29" s="22" t="s">
        <v>62</v>
      </c>
      <c r="D29" s="37">
        <f>+AVERAGE(D27:D28)</f>
        <v>125000</v>
      </c>
      <c r="K29" s="35"/>
      <c r="L29" s="35"/>
      <c r="M29" s="35"/>
    </row>
    <row r="30" spans="2:23" outlineLevel="1" x14ac:dyDescent="0.2">
      <c r="B30" s="22" t="s">
        <v>63</v>
      </c>
      <c r="D30" s="37">
        <v>90</v>
      </c>
      <c r="K30" s="35"/>
      <c r="L30" s="35"/>
      <c r="M30" s="35"/>
    </row>
    <row r="31" spans="2:23" outlineLevel="1" x14ac:dyDescent="0.2">
      <c r="B31" s="22"/>
      <c r="D31" s="37"/>
      <c r="K31" s="35"/>
      <c r="L31" s="35"/>
      <c r="M31" s="35"/>
    </row>
    <row r="32" spans="2:23" outlineLevel="1" x14ac:dyDescent="0.2">
      <c r="K32" s="35"/>
      <c r="L32" s="35"/>
      <c r="M32" s="35"/>
    </row>
    <row r="33" spans="2:22" outlineLevel="1" x14ac:dyDescent="0.2">
      <c r="B33" s="38" t="s">
        <v>64</v>
      </c>
      <c r="D33" s="39">
        <f>+P9</f>
        <v>56</v>
      </c>
    </row>
    <row r="34" spans="2:22" ht="12.75" outlineLevel="1" thickBot="1" x14ac:dyDescent="0.25">
      <c r="B34" s="38" t="s">
        <v>65</v>
      </c>
      <c r="D34" s="40">
        <f>+P18</f>
        <v>172927548.00000009</v>
      </c>
    </row>
    <row r="35" spans="2:22" outlineLevel="1" x14ac:dyDescent="0.2">
      <c r="B35" s="41" t="s">
        <v>66</v>
      </c>
      <c r="C35" s="42"/>
      <c r="D35" s="43">
        <f>+D34/$D$30</f>
        <v>1921417.2000000009</v>
      </c>
    </row>
    <row r="36" spans="2:22" x14ac:dyDescent="0.2">
      <c r="B36" s="41" t="s">
        <v>67</v>
      </c>
      <c r="C36" s="42"/>
      <c r="D36" s="43">
        <v>229000</v>
      </c>
    </row>
    <row r="37" spans="2:22" x14ac:dyDescent="0.2">
      <c r="B37" s="57" t="s">
        <v>68</v>
      </c>
      <c r="C37" s="58"/>
      <c r="D37" s="59">
        <f>D35+D36</f>
        <v>2150417.2000000011</v>
      </c>
    </row>
    <row r="38" spans="2:22" x14ac:dyDescent="0.2">
      <c r="B38" s="38"/>
      <c r="D38" s="56"/>
    </row>
    <row r="39" spans="2:22" ht="15" x14ac:dyDescent="0.25">
      <c r="B39" s="3" t="s">
        <v>69</v>
      </c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1" spans="2:22" ht="24" hidden="1" x14ac:dyDescent="0.2">
      <c r="B41" s="49" t="s">
        <v>70</v>
      </c>
      <c r="C41" s="50"/>
      <c r="D41" s="51"/>
      <c r="E41" s="52"/>
      <c r="F41" s="52"/>
      <c r="G41" s="53"/>
      <c r="H41" s="53"/>
      <c r="I41" s="52"/>
      <c r="J41" s="52"/>
    </row>
    <row r="42" spans="2:22" hidden="1" x14ac:dyDescent="0.2">
      <c r="B42" s="45"/>
      <c r="D42" s="46"/>
      <c r="G42" s="48"/>
      <c r="H42" s="48"/>
    </row>
    <row r="43" spans="2:22" hidden="1" x14ac:dyDescent="0.2">
      <c r="B43" s="22"/>
      <c r="D43" s="46"/>
      <c r="G43" s="48"/>
      <c r="H43" s="48"/>
    </row>
    <row r="44" spans="2:22" hidden="1" x14ac:dyDescent="0.2"/>
    <row r="45" spans="2:22" ht="12.75" x14ac:dyDescent="0.2">
      <c r="B45" s="44" t="s">
        <v>71</v>
      </c>
    </row>
    <row r="46" spans="2:22" x14ac:dyDescent="0.2">
      <c r="B46" s="45" t="s">
        <v>27</v>
      </c>
      <c r="D46" s="46"/>
      <c r="G46" s="47"/>
      <c r="H46" s="48"/>
    </row>
    <row r="47" spans="2:22" ht="24" hidden="1" x14ac:dyDescent="0.2">
      <c r="B47" s="49" t="s">
        <v>72</v>
      </c>
      <c r="C47" s="50"/>
      <c r="D47" s="51"/>
      <c r="E47" s="52"/>
      <c r="F47" s="52"/>
      <c r="G47" s="53"/>
      <c r="H47" s="53"/>
      <c r="I47" s="52"/>
      <c r="J47" s="52"/>
    </row>
    <row r="48" spans="2:22" hidden="1" x14ac:dyDescent="0.2">
      <c r="B48" s="45"/>
      <c r="D48" s="46"/>
      <c r="G48" s="48"/>
      <c r="H48" s="48"/>
    </row>
    <row r="49" spans="2:23" hidden="1" x14ac:dyDescent="0.2"/>
    <row r="50" spans="2:23" hidden="1" x14ac:dyDescent="0.2"/>
    <row r="51" spans="2:23" hidden="1" x14ac:dyDescent="0.2"/>
    <row r="52" spans="2:23" ht="12.75" x14ac:dyDescent="0.2">
      <c r="B52" s="44" t="s">
        <v>73</v>
      </c>
    </row>
    <row r="53" spans="2:23" s="2" customFormat="1" x14ac:dyDescent="0.2">
      <c r="B53" s="45" t="s">
        <v>74</v>
      </c>
      <c r="C53" s="1"/>
      <c r="D53" s="46"/>
      <c r="G53" s="47"/>
      <c r="H53" s="48"/>
      <c r="W53" s="1"/>
    </row>
    <row r="54" spans="2:23" s="2" customFormat="1" ht="36" hidden="1" x14ac:dyDescent="0.2">
      <c r="B54" s="49" t="s">
        <v>75</v>
      </c>
      <c r="C54" s="50"/>
      <c r="D54" s="51"/>
      <c r="E54" s="52"/>
      <c r="F54" s="52"/>
      <c r="G54" s="53"/>
      <c r="H54" s="53"/>
      <c r="I54" s="52"/>
      <c r="J54" s="52"/>
      <c r="W54" s="1"/>
    </row>
    <row r="55" spans="2:23" s="2" customFormat="1" hidden="1" x14ac:dyDescent="0.2">
      <c r="B55" s="45"/>
      <c r="C55" s="1"/>
      <c r="D55" s="46"/>
      <c r="G55" s="48"/>
      <c r="H55" s="48"/>
      <c r="W55" s="1"/>
    </row>
    <row r="56" spans="2:23" hidden="1" x14ac:dyDescent="0.2"/>
    <row r="57" spans="2:23" hidden="1" x14ac:dyDescent="0.2"/>
    <row r="58" spans="2:23" hidden="1" x14ac:dyDescent="0.2"/>
    <row r="59" spans="2:23" hidden="1" x14ac:dyDescent="0.2"/>
    <row r="60" spans="2:23" s="2" customFormat="1" ht="48" hidden="1" x14ac:dyDescent="0.2">
      <c r="B60" s="49" t="s">
        <v>76</v>
      </c>
      <c r="C60" s="50"/>
      <c r="D60" s="51"/>
      <c r="E60" s="52"/>
      <c r="F60" s="52"/>
      <c r="G60" s="53"/>
      <c r="H60" s="53"/>
      <c r="I60" s="52"/>
      <c r="J60" s="52"/>
      <c r="W60" s="1"/>
    </row>
    <row r="61" spans="2:23" s="2" customFormat="1" hidden="1" x14ac:dyDescent="0.2">
      <c r="B61" s="45"/>
      <c r="C61" s="1"/>
      <c r="D61" s="46"/>
      <c r="G61" s="48"/>
      <c r="H61" s="48"/>
      <c r="W61" s="1"/>
    </row>
    <row r="62" spans="2:23" hidden="1" x14ac:dyDescent="0.2"/>
    <row r="63" spans="2:23" hidden="1" x14ac:dyDescent="0.2"/>
    <row r="64" spans="2:23" hidden="1" x14ac:dyDescent="0.2"/>
    <row r="65" spans="2:23" hidden="1" x14ac:dyDescent="0.2"/>
    <row r="66" spans="2:23" hidden="1" x14ac:dyDescent="0.2"/>
    <row r="67" spans="2:23" s="2" customFormat="1" ht="12.75" x14ac:dyDescent="0.2">
      <c r="B67" s="44" t="s">
        <v>77</v>
      </c>
      <c r="C67" s="1"/>
      <c r="W67" s="1"/>
    </row>
    <row r="68" spans="2:23" s="2" customFormat="1" x14ac:dyDescent="0.2">
      <c r="B68" s="45" t="s">
        <v>78</v>
      </c>
      <c r="C68" s="1"/>
      <c r="D68" s="46"/>
      <c r="G68" s="47"/>
      <c r="H68" s="48"/>
      <c r="W68" s="1"/>
    </row>
    <row r="69" spans="2:23" s="2" customFormat="1" ht="24" hidden="1" x14ac:dyDescent="0.2">
      <c r="B69" s="49" t="s">
        <v>79</v>
      </c>
      <c r="C69" s="50"/>
      <c r="D69" s="51"/>
      <c r="E69" s="52"/>
      <c r="F69" s="52"/>
      <c r="G69" s="53"/>
      <c r="H69" s="53"/>
      <c r="I69" s="52"/>
      <c r="J69" s="52"/>
      <c r="W69" s="1"/>
    </row>
    <row r="70" spans="2:23" s="2" customFormat="1" hidden="1" x14ac:dyDescent="0.2">
      <c r="B70" s="45"/>
      <c r="C70" s="1"/>
      <c r="D70" s="46"/>
      <c r="G70" s="48"/>
      <c r="H70" s="48"/>
      <c r="W70" s="1"/>
    </row>
    <row r="71" spans="2:23" hidden="1" x14ac:dyDescent="0.2"/>
    <row r="72" spans="2:23" hidden="1" x14ac:dyDescent="0.2"/>
    <row r="73" spans="2:23" hidden="1" x14ac:dyDescent="0.2"/>
    <row r="74" spans="2:23" s="2" customFormat="1" ht="12.75" x14ac:dyDescent="0.2">
      <c r="B74" s="44" t="s">
        <v>80</v>
      </c>
      <c r="C74" s="1"/>
      <c r="W74" s="1"/>
    </row>
    <row r="75" spans="2:23" s="2" customFormat="1" x14ac:dyDescent="0.2">
      <c r="B75" s="45" t="s">
        <v>81</v>
      </c>
      <c r="C75" s="1"/>
      <c r="D75" s="46"/>
      <c r="G75" s="47"/>
      <c r="H75" s="48"/>
      <c r="W75" s="1"/>
    </row>
    <row r="76" spans="2:23" s="2" customFormat="1" ht="48" hidden="1" x14ac:dyDescent="0.2">
      <c r="B76" s="49" t="s">
        <v>82</v>
      </c>
      <c r="C76" s="50"/>
      <c r="D76" s="51"/>
      <c r="E76" s="52"/>
      <c r="F76" s="52"/>
      <c r="G76" s="53"/>
      <c r="H76" s="53"/>
      <c r="I76" s="52"/>
      <c r="J76" s="52"/>
      <c r="W76" s="1"/>
    </row>
    <row r="77" spans="2:23" s="2" customFormat="1" hidden="1" x14ac:dyDescent="0.2">
      <c r="B77" s="45"/>
      <c r="C77" s="1"/>
      <c r="D77" s="46"/>
      <c r="G77" s="48"/>
      <c r="H77" s="48"/>
      <c r="W77" s="1"/>
    </row>
    <row r="78" spans="2:23" hidden="1" x14ac:dyDescent="0.2"/>
    <row r="79" spans="2:23" hidden="1" x14ac:dyDescent="0.2"/>
    <row r="80" spans="2:23" hidden="1" x14ac:dyDescent="0.2"/>
    <row r="81" spans="2:23" hidden="1" x14ac:dyDescent="0.2"/>
    <row r="82" spans="2:23" s="2" customFormat="1" ht="12.75" x14ac:dyDescent="0.2">
      <c r="B82" s="44" t="s">
        <v>83</v>
      </c>
      <c r="C82" s="1"/>
      <c r="W82" s="1"/>
    </row>
    <row r="83" spans="2:23" s="2" customFormat="1" x14ac:dyDescent="0.2">
      <c r="B83" s="45" t="s">
        <v>84</v>
      </c>
      <c r="C83" s="1"/>
      <c r="D83" s="46"/>
      <c r="G83" s="47"/>
      <c r="H83" s="48"/>
      <c r="W83" s="1"/>
    </row>
    <row r="84" spans="2:23" s="2" customFormat="1" ht="36" hidden="1" x14ac:dyDescent="0.2">
      <c r="B84" s="49" t="s">
        <v>85</v>
      </c>
      <c r="C84" s="50"/>
      <c r="D84" s="51"/>
      <c r="E84" s="52"/>
      <c r="F84" s="52"/>
      <c r="G84" s="53"/>
      <c r="H84" s="53"/>
      <c r="I84" s="52"/>
      <c r="J84" s="52"/>
      <c r="W84" s="1"/>
    </row>
    <row r="85" spans="2:23" s="2" customFormat="1" hidden="1" x14ac:dyDescent="0.2">
      <c r="B85" s="45"/>
      <c r="C85" s="1"/>
      <c r="D85" s="46"/>
      <c r="G85" s="48"/>
      <c r="H85" s="48"/>
      <c r="W85" s="1"/>
    </row>
    <row r="86" spans="2:23" hidden="1" x14ac:dyDescent="0.2"/>
    <row r="87" spans="2:23" hidden="1" x14ac:dyDescent="0.2"/>
    <row r="88" spans="2:23" hidden="1" x14ac:dyDescent="0.2"/>
    <row r="89" spans="2:23" hidden="1" x14ac:dyDescent="0.2"/>
    <row r="90" spans="2:23" s="2" customFormat="1" ht="12.75" x14ac:dyDescent="0.2">
      <c r="B90" s="44" t="s">
        <v>86</v>
      </c>
      <c r="C90" s="1"/>
      <c r="W90" s="1"/>
    </row>
    <row r="91" spans="2:23" s="2" customFormat="1" x14ac:dyDescent="0.2">
      <c r="B91" s="45" t="s">
        <v>87</v>
      </c>
      <c r="C91" s="1"/>
      <c r="D91" s="46"/>
      <c r="G91" s="47"/>
      <c r="H91" s="48"/>
      <c r="W91" s="1"/>
    </row>
    <row r="92" spans="2:23" s="2" customFormat="1" ht="24" hidden="1" x14ac:dyDescent="0.2">
      <c r="B92" s="49" t="s">
        <v>88</v>
      </c>
      <c r="C92" s="50"/>
      <c r="D92" s="51"/>
      <c r="E92" s="52"/>
      <c r="F92" s="52"/>
      <c r="G92" s="53"/>
      <c r="H92" s="53"/>
      <c r="I92" s="52"/>
      <c r="J92" s="52"/>
      <c r="W92" s="1"/>
    </row>
    <row r="93" spans="2:23" s="2" customFormat="1" hidden="1" x14ac:dyDescent="0.2">
      <c r="B93" s="45"/>
      <c r="C93" s="1"/>
      <c r="D93" s="46"/>
      <c r="G93" s="48"/>
      <c r="H93" s="48"/>
      <c r="W93" s="1"/>
    </row>
    <row r="94" spans="2:23" hidden="1" x14ac:dyDescent="0.2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F5E8-F256-46D6-BC59-D0FC815CE358}">
  <sheetPr>
    <tabColor rgb="FFFFFF00"/>
    <pageSetUpPr autoPageBreaks="0"/>
  </sheetPr>
  <dimension ref="A1:H80"/>
  <sheetViews>
    <sheetView topLeftCell="A28" zoomScale="130" zoomScaleNormal="130" workbookViewId="0">
      <selection activeCell="A49" sqref="A49:G49"/>
    </sheetView>
  </sheetViews>
  <sheetFormatPr defaultColWidth="11.42578125" defaultRowHeight="12.75" x14ac:dyDescent="0.2"/>
  <cols>
    <col min="1" max="1" width="51.85546875" style="66" customWidth="1"/>
    <col min="2" max="2" width="14" style="68" bestFit="1" customWidth="1"/>
    <col min="3" max="7" width="13" style="68" customWidth="1"/>
    <col min="8" max="8" width="10.7109375" style="66" bestFit="1" customWidth="1"/>
    <col min="9" max="16384" width="11.42578125" style="66"/>
  </cols>
  <sheetData>
    <row r="1" spans="1:8" ht="18.75" x14ac:dyDescent="0.2">
      <c r="A1" s="64" t="s">
        <v>89</v>
      </c>
      <c r="B1" s="65"/>
      <c r="C1" s="65"/>
      <c r="D1" s="65"/>
      <c r="E1" s="65"/>
      <c r="F1" s="65"/>
      <c r="G1" s="65"/>
    </row>
    <row r="2" spans="1:8" x14ac:dyDescent="0.2">
      <c r="A2" s="67"/>
    </row>
    <row r="3" spans="1:8" ht="13.5" thickBot="1" x14ac:dyDescent="0.25"/>
    <row r="4" spans="1:8" ht="15.75" thickBot="1" x14ac:dyDescent="0.3">
      <c r="A4" s="69" t="s">
        <v>90</v>
      </c>
      <c r="B4" s="70" t="s">
        <v>91</v>
      </c>
      <c r="C4" s="70" t="s">
        <v>92</v>
      </c>
      <c r="D4" s="70" t="s">
        <v>93</v>
      </c>
      <c r="E4" s="70" t="s">
        <v>94</v>
      </c>
      <c r="F4" s="70" t="s">
        <v>95</v>
      </c>
      <c r="G4" s="70" t="s">
        <v>96</v>
      </c>
    </row>
    <row r="5" spans="1:8" x14ac:dyDescent="0.2">
      <c r="A5" s="71"/>
      <c r="B5" s="72"/>
      <c r="C5" s="72"/>
      <c r="D5" s="72"/>
      <c r="E5" s="72"/>
      <c r="F5" s="72"/>
      <c r="G5" s="72"/>
    </row>
    <row r="6" spans="1:8" x14ac:dyDescent="0.2">
      <c r="A6" s="73" t="s">
        <v>97</v>
      </c>
      <c r="B6" s="74">
        <v>430085</v>
      </c>
      <c r="C6" s="74">
        <v>0</v>
      </c>
      <c r="D6" s="74">
        <v>0</v>
      </c>
      <c r="E6" s="74">
        <v>0</v>
      </c>
      <c r="F6" s="74">
        <v>0</v>
      </c>
      <c r="G6" s="74">
        <f>SUM(B6:F6)</f>
        <v>430085</v>
      </c>
    </row>
    <row r="7" spans="1:8" x14ac:dyDescent="0.2">
      <c r="A7" s="73" t="s">
        <v>98</v>
      </c>
      <c r="B7" s="74">
        <f>3*25000</f>
        <v>75000</v>
      </c>
      <c r="C7" s="74">
        <v>0</v>
      </c>
      <c r="D7" s="74">
        <v>0</v>
      </c>
      <c r="E7" s="74">
        <v>0</v>
      </c>
      <c r="F7" s="74">
        <v>0</v>
      </c>
      <c r="G7" s="74">
        <f>SUM(B7:F7)</f>
        <v>75000</v>
      </c>
    </row>
    <row r="8" spans="1:8" x14ac:dyDescent="0.2">
      <c r="A8" s="73" t="s">
        <v>99</v>
      </c>
      <c r="B8" s="74">
        <f>3*25000</f>
        <v>75000</v>
      </c>
      <c r="C8" s="74">
        <v>0</v>
      </c>
      <c r="D8" s="74">
        <v>0</v>
      </c>
      <c r="E8" s="74">
        <v>0</v>
      </c>
      <c r="F8" s="74">
        <v>0</v>
      </c>
      <c r="G8" s="74">
        <f>SUM(B8:F8)</f>
        <v>75000</v>
      </c>
    </row>
    <row r="9" spans="1:8" x14ac:dyDescent="0.2">
      <c r="A9" s="73" t="s">
        <v>100</v>
      </c>
      <c r="B9" s="74">
        <f>12*600</f>
        <v>7200</v>
      </c>
      <c r="C9" s="74">
        <v>0</v>
      </c>
      <c r="D9" s="74">
        <v>0</v>
      </c>
      <c r="E9" s="74">
        <v>0</v>
      </c>
      <c r="F9" s="74">
        <v>0</v>
      </c>
      <c r="G9" s="74">
        <f>SUM(B9:F9)</f>
        <v>7200</v>
      </c>
    </row>
    <row r="10" spans="1:8" x14ac:dyDescent="0.2">
      <c r="A10" s="73" t="s">
        <v>101</v>
      </c>
      <c r="B10" s="74">
        <f>6*900</f>
        <v>5400</v>
      </c>
      <c r="C10" s="74">
        <v>0</v>
      </c>
      <c r="D10" s="74">
        <v>0</v>
      </c>
      <c r="E10" s="74">
        <v>0</v>
      </c>
      <c r="F10" s="74">
        <v>0</v>
      </c>
      <c r="G10" s="74">
        <f>SUM(B10:F10)</f>
        <v>5400</v>
      </c>
    </row>
    <row r="11" spans="1:8" x14ac:dyDescent="0.2">
      <c r="A11" s="73" t="s">
        <v>102</v>
      </c>
      <c r="B11" s="74">
        <f>12*600</f>
        <v>7200</v>
      </c>
      <c r="C11" s="74">
        <v>0</v>
      </c>
      <c r="D11" s="74">
        <v>0</v>
      </c>
      <c r="E11" s="74">
        <v>0</v>
      </c>
      <c r="F11" s="74">
        <v>0</v>
      </c>
      <c r="G11" s="74">
        <f t="shared" ref="G11:G12" si="0">SUM(B11:F11)</f>
        <v>7200</v>
      </c>
    </row>
    <row r="12" spans="1:8" x14ac:dyDescent="0.2">
      <c r="A12" s="73" t="s">
        <v>103</v>
      </c>
      <c r="B12" s="74">
        <f>6*900</f>
        <v>5400</v>
      </c>
      <c r="C12" s="74">
        <v>0</v>
      </c>
      <c r="D12" s="74">
        <v>0</v>
      </c>
      <c r="E12" s="74">
        <v>0</v>
      </c>
      <c r="F12" s="74">
        <v>0</v>
      </c>
      <c r="G12" s="74">
        <f t="shared" si="0"/>
        <v>5400</v>
      </c>
    </row>
    <row r="13" spans="1:8" x14ac:dyDescent="0.2">
      <c r="A13" s="73" t="s">
        <v>104</v>
      </c>
      <c r="B13" s="74">
        <v>118125</v>
      </c>
      <c r="C13" s="74">
        <v>0</v>
      </c>
      <c r="D13" s="74">
        <v>0</v>
      </c>
      <c r="E13" s="74">
        <v>0</v>
      </c>
      <c r="F13" s="74">
        <v>0</v>
      </c>
      <c r="G13" s="74">
        <f>SUM(B13:F13)</f>
        <v>118125</v>
      </c>
    </row>
    <row r="14" spans="1:8" x14ac:dyDescent="0.2">
      <c r="A14" s="73" t="s">
        <v>105</v>
      </c>
      <c r="B14" s="74">
        <v>118125</v>
      </c>
      <c r="C14" s="74">
        <v>0</v>
      </c>
      <c r="D14" s="74">
        <v>0</v>
      </c>
      <c r="E14" s="74">
        <v>0</v>
      </c>
      <c r="F14" s="74">
        <v>0</v>
      </c>
      <c r="G14" s="74">
        <f>SUM(B14:F14)</f>
        <v>118125</v>
      </c>
    </row>
    <row r="15" spans="1:8" ht="13.5" thickBot="1" x14ac:dyDescent="0.25">
      <c r="A15" s="75"/>
      <c r="B15" s="76"/>
      <c r="C15" s="76"/>
      <c r="D15" s="76"/>
      <c r="E15" s="76"/>
      <c r="F15" s="76"/>
      <c r="G15" s="76"/>
    </row>
    <row r="16" spans="1:8" ht="13.5" thickBot="1" x14ac:dyDescent="0.25">
      <c r="A16" s="77" t="s">
        <v>106</v>
      </c>
      <c r="B16" s="78">
        <f t="shared" ref="B16:G16" si="1">SUM(B6:B15)</f>
        <v>841535</v>
      </c>
      <c r="C16" s="78">
        <f t="shared" si="1"/>
        <v>0</v>
      </c>
      <c r="D16" s="78">
        <f t="shared" si="1"/>
        <v>0</v>
      </c>
      <c r="E16" s="78">
        <f t="shared" si="1"/>
        <v>0</v>
      </c>
      <c r="F16" s="78">
        <f t="shared" si="1"/>
        <v>0</v>
      </c>
      <c r="G16" s="78">
        <f t="shared" si="1"/>
        <v>841535</v>
      </c>
      <c r="H16" s="79"/>
    </row>
    <row r="17" spans="1:8" ht="13.5" thickBot="1" x14ac:dyDescent="0.25">
      <c r="B17" s="80"/>
    </row>
    <row r="18" spans="1:8" ht="15.75" thickBot="1" x14ac:dyDescent="0.3">
      <c r="A18" s="69" t="s">
        <v>107</v>
      </c>
      <c r="B18" s="70" t="s">
        <v>91</v>
      </c>
      <c r="C18" s="70" t="s">
        <v>92</v>
      </c>
      <c r="D18" s="70" t="s">
        <v>93</v>
      </c>
      <c r="E18" s="70" t="s">
        <v>94</v>
      </c>
      <c r="F18" s="70" t="s">
        <v>95</v>
      </c>
      <c r="G18" s="70" t="s">
        <v>96</v>
      </c>
    </row>
    <row r="19" spans="1:8" x14ac:dyDescent="0.2">
      <c r="A19" s="71"/>
      <c r="B19" s="81"/>
      <c r="C19" s="81"/>
      <c r="D19" s="81"/>
      <c r="E19" s="81"/>
      <c r="F19" s="81"/>
      <c r="G19" s="72"/>
    </row>
    <row r="20" spans="1:8" x14ac:dyDescent="0.2">
      <c r="A20" s="73" t="s">
        <v>108</v>
      </c>
      <c r="B20" s="74">
        <v>42776</v>
      </c>
      <c r="C20" s="74">
        <v>0</v>
      </c>
      <c r="D20" s="74">
        <v>0</v>
      </c>
      <c r="E20" s="74">
        <v>0</v>
      </c>
      <c r="F20" s="74">
        <v>0</v>
      </c>
      <c r="G20" s="74">
        <f>SUM(B20:F20)</f>
        <v>42776</v>
      </c>
    </row>
    <row r="21" spans="1:8" x14ac:dyDescent="0.2">
      <c r="A21" s="73" t="s">
        <v>109</v>
      </c>
      <c r="B21" s="74">
        <v>42776</v>
      </c>
      <c r="C21" s="74">
        <v>0</v>
      </c>
      <c r="D21" s="74">
        <v>0</v>
      </c>
      <c r="E21" s="74">
        <v>0</v>
      </c>
      <c r="F21" s="74">
        <v>0</v>
      </c>
      <c r="G21" s="74">
        <f>SUM(B21:F21)</f>
        <v>42776</v>
      </c>
    </row>
    <row r="22" spans="1:8" x14ac:dyDescent="0.2">
      <c r="A22" s="73" t="s">
        <v>110</v>
      </c>
      <c r="B22" s="74">
        <v>179594</v>
      </c>
      <c r="C22" s="74">
        <v>0</v>
      </c>
      <c r="D22" s="74">
        <v>0</v>
      </c>
      <c r="E22" s="74">
        <v>0</v>
      </c>
      <c r="F22" s="74">
        <v>0</v>
      </c>
      <c r="G22" s="74">
        <f>SUM(B22:F22)</f>
        <v>179594</v>
      </c>
    </row>
    <row r="23" spans="1:8" x14ac:dyDescent="0.2">
      <c r="A23" s="73" t="s">
        <v>111</v>
      </c>
      <c r="B23" s="74">
        <v>179594</v>
      </c>
      <c r="C23" s="74">
        <v>0</v>
      </c>
      <c r="D23" s="74">
        <v>0</v>
      </c>
      <c r="E23" s="74">
        <v>0</v>
      </c>
      <c r="F23" s="74">
        <v>0</v>
      </c>
      <c r="G23" s="74">
        <f>SUM(B23:F23)</f>
        <v>179594</v>
      </c>
    </row>
    <row r="24" spans="1:8" ht="13.5" thickBot="1" x14ac:dyDescent="0.25">
      <c r="A24" s="75"/>
      <c r="B24" s="82"/>
      <c r="C24" s="82"/>
      <c r="D24" s="82"/>
      <c r="E24" s="82"/>
      <c r="F24" s="82"/>
      <c r="G24" s="83"/>
    </row>
    <row r="25" spans="1:8" ht="13.5" thickBot="1" x14ac:dyDescent="0.25">
      <c r="A25" s="77" t="s">
        <v>112</v>
      </c>
      <c r="B25" s="84">
        <f t="shared" ref="B25:G25" si="2">SUM(B20:B24)</f>
        <v>444740</v>
      </c>
      <c r="C25" s="84">
        <f t="shared" si="2"/>
        <v>0</v>
      </c>
      <c r="D25" s="84">
        <f t="shared" si="2"/>
        <v>0</v>
      </c>
      <c r="E25" s="84">
        <f t="shared" si="2"/>
        <v>0</v>
      </c>
      <c r="F25" s="84">
        <f t="shared" si="2"/>
        <v>0</v>
      </c>
      <c r="G25" s="84">
        <f t="shared" si="2"/>
        <v>444740</v>
      </c>
      <c r="H25" s="79"/>
    </row>
    <row r="26" spans="1:8" ht="13.5" thickBot="1" x14ac:dyDescent="0.25"/>
    <row r="27" spans="1:8" ht="15.75" thickBot="1" x14ac:dyDescent="0.3">
      <c r="A27" s="69" t="s">
        <v>113</v>
      </c>
      <c r="B27" s="70" t="s">
        <v>91</v>
      </c>
      <c r="C27" s="70" t="s">
        <v>92</v>
      </c>
      <c r="D27" s="70" t="s">
        <v>93</v>
      </c>
      <c r="E27" s="70" t="s">
        <v>94</v>
      </c>
      <c r="F27" s="70" t="s">
        <v>95</v>
      </c>
      <c r="G27" s="70" t="s">
        <v>96</v>
      </c>
    </row>
    <row r="28" spans="1:8" x14ac:dyDescent="0.2">
      <c r="A28" s="71"/>
      <c r="B28" s="72"/>
      <c r="C28" s="72"/>
      <c r="D28" s="72"/>
      <c r="E28" s="72"/>
      <c r="F28" s="72"/>
      <c r="G28" s="85"/>
    </row>
    <row r="29" spans="1:8" x14ac:dyDescent="0.2">
      <c r="A29" s="73" t="s">
        <v>97</v>
      </c>
      <c r="B29" s="74">
        <v>117420</v>
      </c>
      <c r="C29" s="74">
        <v>98415</v>
      </c>
      <c r="D29" s="74">
        <v>98415</v>
      </c>
      <c r="E29" s="74">
        <v>98415</v>
      </c>
      <c r="F29" s="74">
        <v>98415</v>
      </c>
      <c r="G29" s="74">
        <f>SUM(B29:F29)</f>
        <v>511080</v>
      </c>
    </row>
    <row r="30" spans="1:8" x14ac:dyDescent="0.2">
      <c r="A30" s="73" t="s">
        <v>114</v>
      </c>
      <c r="B30" s="74">
        <v>0</v>
      </c>
      <c r="C30" s="74">
        <v>0</v>
      </c>
      <c r="D30" s="74">
        <f t="shared" ref="D30:D31" si="3">+C30</f>
        <v>0</v>
      </c>
      <c r="E30" s="74">
        <f>+B7*12%</f>
        <v>9000</v>
      </c>
      <c r="F30" s="74">
        <f>+B7*12%</f>
        <v>9000</v>
      </c>
      <c r="G30" s="74">
        <f>SUM(B30:F30)</f>
        <v>18000</v>
      </c>
    </row>
    <row r="31" spans="1:8" x14ac:dyDescent="0.2">
      <c r="A31" s="73" t="s">
        <v>115</v>
      </c>
      <c r="B31" s="74">
        <v>0</v>
      </c>
      <c r="C31" s="74">
        <v>0</v>
      </c>
      <c r="D31" s="74">
        <f t="shared" si="3"/>
        <v>0</v>
      </c>
      <c r="E31" s="74">
        <f>+B8*12%</f>
        <v>9000</v>
      </c>
      <c r="F31" s="74">
        <f>+B8*12%</f>
        <v>9000</v>
      </c>
      <c r="G31" s="74">
        <f>SUM(B31:F31)</f>
        <v>18000</v>
      </c>
    </row>
    <row r="32" spans="1:8" x14ac:dyDescent="0.2">
      <c r="A32" s="73" t="s">
        <v>116</v>
      </c>
      <c r="B32" s="86">
        <v>17719</v>
      </c>
      <c r="C32" s="86">
        <v>17719</v>
      </c>
      <c r="D32" s="86">
        <v>17719</v>
      </c>
      <c r="E32" s="86">
        <v>17719</v>
      </c>
      <c r="F32" s="86">
        <v>17719</v>
      </c>
      <c r="G32" s="74">
        <f>SUM(B32:F32)</f>
        <v>88595</v>
      </c>
    </row>
    <row r="33" spans="1:8" x14ac:dyDescent="0.2">
      <c r="A33" s="73" t="s">
        <v>117</v>
      </c>
      <c r="B33" s="86">
        <v>17719</v>
      </c>
      <c r="C33" s="86">
        <v>17719</v>
      </c>
      <c r="D33" s="86">
        <v>17719</v>
      </c>
      <c r="E33" s="86">
        <v>17719</v>
      </c>
      <c r="F33" s="86">
        <v>17719</v>
      </c>
      <c r="G33" s="74">
        <f>SUM(B33:F33)</f>
        <v>88595</v>
      </c>
    </row>
    <row r="34" spans="1:8" ht="13.5" thickBot="1" x14ac:dyDescent="0.25">
      <c r="A34" s="75"/>
      <c r="B34" s="82"/>
      <c r="C34" s="82"/>
      <c r="D34" s="82"/>
      <c r="E34" s="82"/>
      <c r="F34" s="82"/>
      <c r="G34" s="83"/>
    </row>
    <row r="35" spans="1:8" ht="13.5" thickBot="1" x14ac:dyDescent="0.25">
      <c r="A35" s="77" t="s">
        <v>118</v>
      </c>
      <c r="B35" s="84">
        <f t="shared" ref="B35:G35" si="4">SUM(B29:B34)</f>
        <v>152858</v>
      </c>
      <c r="C35" s="84">
        <f t="shared" si="4"/>
        <v>133853</v>
      </c>
      <c r="D35" s="84">
        <f t="shared" si="4"/>
        <v>133853</v>
      </c>
      <c r="E35" s="84">
        <f t="shared" si="4"/>
        <v>151853</v>
      </c>
      <c r="F35" s="84">
        <f t="shared" si="4"/>
        <v>151853</v>
      </c>
      <c r="G35" s="78">
        <f t="shared" si="4"/>
        <v>724270</v>
      </c>
      <c r="H35" s="79"/>
    </row>
    <row r="36" spans="1:8" ht="13.5" thickBot="1" x14ac:dyDescent="0.25"/>
    <row r="37" spans="1:8" ht="15.75" thickBot="1" x14ac:dyDescent="0.3">
      <c r="A37" s="69" t="s">
        <v>119</v>
      </c>
      <c r="B37" s="70" t="s">
        <v>91</v>
      </c>
      <c r="C37" s="70" t="s">
        <v>92</v>
      </c>
      <c r="D37" s="70" t="s">
        <v>93</v>
      </c>
      <c r="E37" s="70" t="s">
        <v>94</v>
      </c>
      <c r="F37" s="70" t="s">
        <v>95</v>
      </c>
      <c r="G37" s="70" t="s">
        <v>96</v>
      </c>
    </row>
    <row r="38" spans="1:8" x14ac:dyDescent="0.2">
      <c r="A38" s="87"/>
      <c r="B38" s="72"/>
      <c r="C38" s="72"/>
      <c r="D38" s="72"/>
      <c r="E38" s="72"/>
      <c r="F38" s="72"/>
      <c r="G38" s="85"/>
    </row>
    <row r="39" spans="1:8" x14ac:dyDescent="0.2">
      <c r="A39" s="73" t="s">
        <v>108</v>
      </c>
      <c r="B39" s="74">
        <v>12372</v>
      </c>
      <c r="C39" s="74">
        <v>12372</v>
      </c>
      <c r="D39" s="74">
        <v>12372</v>
      </c>
      <c r="E39" s="74">
        <v>12372</v>
      </c>
      <c r="F39" s="74">
        <v>12372</v>
      </c>
      <c r="G39" s="74">
        <f t="shared" ref="G39:G43" si="5">SUM(B39:F39)</f>
        <v>61860</v>
      </c>
      <c r="H39" s="79"/>
    </row>
    <row r="40" spans="1:8" x14ac:dyDescent="0.2">
      <c r="A40" s="73" t="s">
        <v>109</v>
      </c>
      <c r="B40" s="74">
        <v>12372</v>
      </c>
      <c r="C40" s="74">
        <v>12372</v>
      </c>
      <c r="D40" s="74">
        <v>12372</v>
      </c>
      <c r="E40" s="74">
        <v>12372</v>
      </c>
      <c r="F40" s="74">
        <v>12372</v>
      </c>
      <c r="G40" s="74">
        <f t="shared" si="5"/>
        <v>61860</v>
      </c>
    </row>
    <row r="41" spans="1:8" x14ac:dyDescent="0.2">
      <c r="A41" s="73" t="s">
        <v>110</v>
      </c>
      <c r="B41" s="74">
        <v>1007</v>
      </c>
      <c r="C41" s="74">
        <v>1007</v>
      </c>
      <c r="D41" s="74">
        <v>1007</v>
      </c>
      <c r="E41" s="74">
        <v>1007</v>
      </c>
      <c r="F41" s="74">
        <v>1007</v>
      </c>
      <c r="G41" s="74">
        <f t="shared" si="5"/>
        <v>5035</v>
      </c>
    </row>
    <row r="42" spans="1:8" x14ac:dyDescent="0.2">
      <c r="A42" s="73" t="s">
        <v>111</v>
      </c>
      <c r="B42" s="74">
        <v>1007</v>
      </c>
      <c r="C42" s="74">
        <v>1007</v>
      </c>
      <c r="D42" s="74">
        <v>1007</v>
      </c>
      <c r="E42" s="74">
        <v>1007</v>
      </c>
      <c r="F42" s="74">
        <v>1007</v>
      </c>
      <c r="G42" s="74">
        <f t="shared" si="5"/>
        <v>5035</v>
      </c>
    </row>
    <row r="43" spans="1:8" x14ac:dyDescent="0.2">
      <c r="A43" s="73" t="s">
        <v>120</v>
      </c>
      <c r="B43" s="74">
        <f>97*600</f>
        <v>58200</v>
      </c>
      <c r="C43" s="74">
        <v>0</v>
      </c>
      <c r="D43" s="74">
        <v>0</v>
      </c>
      <c r="E43" s="74">
        <v>0</v>
      </c>
      <c r="F43" s="74">
        <v>0</v>
      </c>
      <c r="G43" s="74">
        <f t="shared" si="5"/>
        <v>58200</v>
      </c>
    </row>
    <row r="44" spans="1:8" ht="13.5" thickBot="1" x14ac:dyDescent="0.25">
      <c r="A44" s="88"/>
      <c r="B44" s="82"/>
      <c r="C44" s="82"/>
      <c r="D44" s="82"/>
      <c r="E44" s="82"/>
      <c r="F44" s="82"/>
      <c r="G44" s="83"/>
    </row>
    <row r="45" spans="1:8" ht="13.5" thickBot="1" x14ac:dyDescent="0.25">
      <c r="A45" s="77" t="s">
        <v>118</v>
      </c>
      <c r="B45" s="84">
        <f t="shared" ref="B45:G45" si="6">SUM(B39:B44)</f>
        <v>84958</v>
      </c>
      <c r="C45" s="84">
        <f t="shared" si="6"/>
        <v>26758</v>
      </c>
      <c r="D45" s="84">
        <f t="shared" si="6"/>
        <v>26758</v>
      </c>
      <c r="E45" s="84">
        <f t="shared" si="6"/>
        <v>26758</v>
      </c>
      <c r="F45" s="84">
        <f t="shared" si="6"/>
        <v>26758</v>
      </c>
      <c r="G45" s="78">
        <f t="shared" si="6"/>
        <v>191990</v>
      </c>
      <c r="H45" s="79"/>
    </row>
    <row r="46" spans="1:8" ht="13.5" thickBot="1" x14ac:dyDescent="0.25"/>
    <row r="47" spans="1:8" ht="15" x14ac:dyDescent="0.25">
      <c r="A47" s="89" t="s">
        <v>121</v>
      </c>
      <c r="B47" s="90" t="s">
        <v>91</v>
      </c>
      <c r="C47" s="90" t="s">
        <v>92</v>
      </c>
      <c r="D47" s="90" t="s">
        <v>93</v>
      </c>
      <c r="E47" s="90" t="s">
        <v>94</v>
      </c>
      <c r="F47" s="90" t="s">
        <v>95</v>
      </c>
      <c r="G47" s="90" t="s">
        <v>96</v>
      </c>
    </row>
    <row r="48" spans="1:8" ht="15" x14ac:dyDescent="0.2">
      <c r="A48" s="91"/>
      <c r="B48" s="92"/>
      <c r="C48" s="92"/>
      <c r="D48" s="92"/>
      <c r="E48" s="92"/>
      <c r="F48" s="92"/>
      <c r="G48" s="93"/>
    </row>
    <row r="49" spans="1:8" ht="15" x14ac:dyDescent="0.2">
      <c r="A49" s="94" t="s">
        <v>122</v>
      </c>
      <c r="B49" s="74">
        <v>382000</v>
      </c>
      <c r="C49" s="74">
        <f>B49+B49*0.02</f>
        <v>389640</v>
      </c>
      <c r="D49" s="74">
        <f t="shared" ref="D49:F49" si="7">C49+C49*0.02</f>
        <v>397432.8</v>
      </c>
      <c r="E49" s="74">
        <f t="shared" si="7"/>
        <v>405381.45600000001</v>
      </c>
      <c r="F49" s="74">
        <f t="shared" si="7"/>
        <v>413489.08512</v>
      </c>
      <c r="G49" s="74">
        <f>SUM(B49:F49)</f>
        <v>1987943.34112</v>
      </c>
    </row>
    <row r="50" spans="1:8" ht="15.75" thickBot="1" x14ac:dyDescent="0.25">
      <c r="A50" s="95"/>
      <c r="B50" s="96"/>
      <c r="C50" s="96"/>
      <c r="D50" s="96"/>
      <c r="E50" s="96"/>
      <c r="F50" s="96"/>
      <c r="G50" s="96"/>
    </row>
    <row r="51" spans="1:8" ht="13.5" thickBot="1" x14ac:dyDescent="0.25"/>
    <row r="52" spans="1:8" ht="15.75" thickBot="1" x14ac:dyDescent="0.3">
      <c r="A52" s="69" t="s">
        <v>123</v>
      </c>
      <c r="B52" s="70" t="s">
        <v>91</v>
      </c>
      <c r="C52" s="70" t="s">
        <v>92</v>
      </c>
      <c r="D52" s="70" t="s">
        <v>93</v>
      </c>
      <c r="E52" s="70" t="s">
        <v>94</v>
      </c>
      <c r="F52" s="70" t="s">
        <v>95</v>
      </c>
      <c r="G52" s="70" t="s">
        <v>96</v>
      </c>
    </row>
    <row r="53" spans="1:8" x14ac:dyDescent="0.2">
      <c r="A53" s="87"/>
      <c r="B53" s="72"/>
      <c r="C53" s="72"/>
      <c r="D53" s="72"/>
      <c r="E53" s="72"/>
      <c r="F53" s="72"/>
      <c r="G53" s="83"/>
    </row>
    <row r="54" spans="1:8" x14ac:dyDescent="0.2">
      <c r="A54" s="73" t="s">
        <v>124</v>
      </c>
      <c r="B54" s="83">
        <v>675500</v>
      </c>
      <c r="C54" s="83">
        <f>B54*0.18</f>
        <v>121590</v>
      </c>
      <c r="D54" s="83">
        <f t="shared" ref="D54:F54" si="8">+C54</f>
        <v>121590</v>
      </c>
      <c r="E54" s="83">
        <f t="shared" si="8"/>
        <v>121590</v>
      </c>
      <c r="F54" s="83">
        <f t="shared" si="8"/>
        <v>121590</v>
      </c>
      <c r="G54" s="83">
        <f>SUM(B54:F54)</f>
        <v>1161860</v>
      </c>
    </row>
    <row r="55" spans="1:8" x14ac:dyDescent="0.2">
      <c r="A55" s="73"/>
      <c r="B55" s="83"/>
      <c r="C55" s="83"/>
      <c r="D55" s="83"/>
      <c r="E55" s="83"/>
      <c r="F55" s="83"/>
      <c r="G55" s="83"/>
    </row>
    <row r="56" spans="1:8" x14ac:dyDescent="0.2">
      <c r="A56" s="73"/>
      <c r="B56" s="83"/>
      <c r="C56" s="83"/>
      <c r="D56" s="83"/>
      <c r="E56" s="83"/>
      <c r="F56" s="83"/>
      <c r="G56" s="83"/>
    </row>
    <row r="57" spans="1:8" ht="13.5" thickBot="1" x14ac:dyDescent="0.25">
      <c r="A57" s="97"/>
      <c r="B57" s="82"/>
      <c r="C57" s="82"/>
      <c r="D57" s="82"/>
      <c r="E57" s="82"/>
      <c r="F57" s="82"/>
      <c r="G57" s="83"/>
    </row>
    <row r="58" spans="1:8" ht="13.5" thickBot="1" x14ac:dyDescent="0.25">
      <c r="A58" s="77" t="s">
        <v>125</v>
      </c>
      <c r="B58" s="84">
        <f>SUM(B53:B57)</f>
        <v>675500</v>
      </c>
      <c r="C58" s="84">
        <f>SUM(C53:C57)</f>
        <v>121590</v>
      </c>
      <c r="D58" s="84">
        <f>SUM(D53:D57)</f>
        <v>121590</v>
      </c>
      <c r="E58" s="84">
        <f>SUM(E53:E57)</f>
        <v>121590</v>
      </c>
      <c r="F58" s="84">
        <f>SUM(F53:F57)</f>
        <v>121590</v>
      </c>
      <c r="G58" s="98">
        <f>SUM(B58:F58)</f>
        <v>1161860</v>
      </c>
      <c r="H58" s="79"/>
    </row>
    <row r="59" spans="1:8" ht="13.5" thickBot="1" x14ac:dyDescent="0.25">
      <c r="G59" s="99"/>
    </row>
    <row r="60" spans="1:8" ht="15.75" thickBot="1" x14ac:dyDescent="0.3">
      <c r="A60" s="69" t="s">
        <v>126</v>
      </c>
      <c r="B60" s="70" t="s">
        <v>91</v>
      </c>
      <c r="C60" s="70" t="s">
        <v>92</v>
      </c>
      <c r="D60" s="70" t="s">
        <v>93</v>
      </c>
      <c r="E60" s="70" t="s">
        <v>94</v>
      </c>
      <c r="F60" s="70" t="s">
        <v>95</v>
      </c>
      <c r="G60" s="70" t="s">
        <v>96</v>
      </c>
    </row>
    <row r="61" spans="1:8" x14ac:dyDescent="0.2">
      <c r="A61" s="87"/>
      <c r="B61" s="72"/>
      <c r="C61" s="72"/>
      <c r="D61" s="72"/>
      <c r="E61" s="72"/>
      <c r="F61" s="72"/>
      <c r="G61" s="83"/>
    </row>
    <row r="62" spans="1:8" x14ac:dyDescent="0.2">
      <c r="A62" s="73" t="s">
        <v>127</v>
      </c>
      <c r="B62" s="100">
        <f>2000*4*12</f>
        <v>96000</v>
      </c>
      <c r="C62" s="100">
        <f t="shared" ref="C62:F62" si="9">2000*4*12</f>
        <v>96000</v>
      </c>
      <c r="D62" s="100">
        <f t="shared" si="9"/>
        <v>96000</v>
      </c>
      <c r="E62" s="100">
        <f t="shared" si="9"/>
        <v>96000</v>
      </c>
      <c r="F62" s="100">
        <f t="shared" si="9"/>
        <v>96000</v>
      </c>
      <c r="G62" s="101">
        <f>SUM(B62:F62)</f>
        <v>480000</v>
      </c>
    </row>
    <row r="63" spans="1:8" x14ac:dyDescent="0.2">
      <c r="A63" s="87" t="s">
        <v>128</v>
      </c>
      <c r="B63" s="100">
        <v>20000</v>
      </c>
      <c r="C63" s="100">
        <v>0</v>
      </c>
      <c r="D63" s="100">
        <v>0</v>
      </c>
      <c r="E63" s="100">
        <v>0</v>
      </c>
      <c r="F63" s="100">
        <v>0</v>
      </c>
      <c r="G63" s="101">
        <f>SUM(B63:F63)</f>
        <v>20000</v>
      </c>
    </row>
    <row r="64" spans="1:8" ht="13.5" thickBot="1" x14ac:dyDescent="0.25">
      <c r="A64" s="88"/>
      <c r="B64" s="82"/>
      <c r="C64" s="82"/>
      <c r="D64" s="82"/>
      <c r="E64" s="82"/>
      <c r="F64" s="82"/>
      <c r="G64" s="83"/>
    </row>
    <row r="65" spans="1:8" ht="13.5" thickBot="1" x14ac:dyDescent="0.25">
      <c r="A65" s="77" t="s">
        <v>129</v>
      </c>
      <c r="B65" s="84">
        <f>SUM(B61:B64)</f>
        <v>116000</v>
      </c>
      <c r="C65" s="84">
        <f>SUM(C61:C64)</f>
        <v>96000</v>
      </c>
      <c r="D65" s="84">
        <f>SUM(D61:D64)</f>
        <v>96000</v>
      </c>
      <c r="E65" s="84">
        <f>SUM(E61:E64)</f>
        <v>96000</v>
      </c>
      <c r="F65" s="84">
        <f>SUM(F61:F64)</f>
        <v>96000</v>
      </c>
      <c r="G65" s="78">
        <f>SUM(G62:G63)</f>
        <v>500000</v>
      </c>
      <c r="H65" s="79"/>
    </row>
    <row r="67" spans="1:8" ht="13.5" thickBot="1" x14ac:dyDescent="0.25"/>
    <row r="68" spans="1:8" ht="15.75" thickBot="1" x14ac:dyDescent="0.3">
      <c r="A68" s="102" t="s">
        <v>130</v>
      </c>
      <c r="B68" s="70" t="s">
        <v>91</v>
      </c>
      <c r="C68" s="70" t="s">
        <v>92</v>
      </c>
      <c r="D68" s="70" t="s">
        <v>93</v>
      </c>
      <c r="E68" s="70" t="s">
        <v>94</v>
      </c>
      <c r="F68" s="70" t="s">
        <v>95</v>
      </c>
      <c r="G68" s="103" t="s">
        <v>96</v>
      </c>
    </row>
    <row r="69" spans="1:8" x14ac:dyDescent="0.2">
      <c r="A69" s="104" t="s">
        <v>131</v>
      </c>
      <c r="B69" s="105"/>
      <c r="C69" s="105"/>
      <c r="D69" s="105"/>
      <c r="E69" s="105"/>
      <c r="F69" s="105"/>
      <c r="G69" s="106"/>
    </row>
    <row r="70" spans="1:8" x14ac:dyDescent="0.2">
      <c r="A70" s="87" t="s">
        <v>132</v>
      </c>
      <c r="B70" s="105">
        <f>+B16</f>
        <v>841535</v>
      </c>
      <c r="C70" s="105">
        <f>+C16</f>
        <v>0</v>
      </c>
      <c r="D70" s="105">
        <f>+D16</f>
        <v>0</v>
      </c>
      <c r="E70" s="105">
        <f>+E16</f>
        <v>0</v>
      </c>
      <c r="F70" s="105">
        <f>+F16</f>
        <v>0</v>
      </c>
      <c r="G70" s="106">
        <f>SUM(B70:F70)</f>
        <v>841535</v>
      </c>
    </row>
    <row r="71" spans="1:8" x14ac:dyDescent="0.2">
      <c r="A71" s="87" t="s">
        <v>133</v>
      </c>
      <c r="B71" s="105">
        <f>+B25</f>
        <v>444740</v>
      </c>
      <c r="C71" s="105">
        <f>+C25</f>
        <v>0</v>
      </c>
      <c r="D71" s="105">
        <f>+D25</f>
        <v>0</v>
      </c>
      <c r="E71" s="105">
        <f>+E25</f>
        <v>0</v>
      </c>
      <c r="F71" s="105">
        <f>+F25</f>
        <v>0</v>
      </c>
      <c r="G71" s="106">
        <f>SUM(B71:F71)</f>
        <v>444740</v>
      </c>
    </row>
    <row r="72" spans="1:8" ht="13.5" thickBot="1" x14ac:dyDescent="0.25">
      <c r="A72" s="87" t="s">
        <v>134</v>
      </c>
      <c r="B72" s="105">
        <f>+B58</f>
        <v>675500</v>
      </c>
      <c r="C72" s="105">
        <f>+C58</f>
        <v>121590</v>
      </c>
      <c r="D72" s="105">
        <f>+D58</f>
        <v>121590</v>
      </c>
      <c r="E72" s="105">
        <f>+E58</f>
        <v>121590</v>
      </c>
      <c r="F72" s="105">
        <f>+F58</f>
        <v>121590</v>
      </c>
      <c r="G72" s="106">
        <f>SUM(B72:F72)</f>
        <v>1161860</v>
      </c>
    </row>
    <row r="73" spans="1:8" ht="15.75" thickBot="1" x14ac:dyDescent="0.3">
      <c r="A73" s="107" t="s">
        <v>135</v>
      </c>
      <c r="B73" s="108">
        <f>SUM(B70:B72)</f>
        <v>1961775</v>
      </c>
      <c r="C73" s="108">
        <f t="shared" ref="C73:F73" si="10">SUM(C70:C72)</f>
        <v>121590</v>
      </c>
      <c r="D73" s="108">
        <f t="shared" si="10"/>
        <v>121590</v>
      </c>
      <c r="E73" s="108">
        <f t="shared" si="10"/>
        <v>121590</v>
      </c>
      <c r="F73" s="108">
        <f t="shared" si="10"/>
        <v>121590</v>
      </c>
      <c r="G73" s="108">
        <f>SUM(B73:F73)</f>
        <v>2448135</v>
      </c>
    </row>
    <row r="74" spans="1:8" x14ac:dyDescent="0.2">
      <c r="A74" s="104" t="s">
        <v>136</v>
      </c>
      <c r="B74" s="105"/>
      <c r="C74" s="105"/>
      <c r="D74" s="105"/>
      <c r="E74" s="105"/>
      <c r="F74" s="105"/>
      <c r="G74" s="106"/>
    </row>
    <row r="75" spans="1:8" x14ac:dyDescent="0.2">
      <c r="A75" s="87" t="s">
        <v>137</v>
      </c>
      <c r="B75" s="105">
        <f>+B35</f>
        <v>152858</v>
      </c>
      <c r="C75" s="105">
        <f>+C35</f>
        <v>133853</v>
      </c>
      <c r="D75" s="105">
        <f>+D35</f>
        <v>133853</v>
      </c>
      <c r="E75" s="105">
        <f>+E35</f>
        <v>151853</v>
      </c>
      <c r="F75" s="105">
        <f>+F35</f>
        <v>151853</v>
      </c>
      <c r="G75" s="106">
        <f>SUM(B75:F75)</f>
        <v>724270</v>
      </c>
    </row>
    <row r="76" spans="1:8" x14ac:dyDescent="0.2">
      <c r="A76" s="87" t="s">
        <v>138</v>
      </c>
      <c r="B76" s="105">
        <f>+B45</f>
        <v>84958</v>
      </c>
      <c r="C76" s="105">
        <f>+C45</f>
        <v>26758</v>
      </c>
      <c r="D76" s="105">
        <f>+D45</f>
        <v>26758</v>
      </c>
      <c r="E76" s="105">
        <f>+E45</f>
        <v>26758</v>
      </c>
      <c r="F76" s="105">
        <f>+F45</f>
        <v>26758</v>
      </c>
      <c r="G76" s="106">
        <f>SUM(B76:F76)</f>
        <v>191990</v>
      </c>
    </row>
    <row r="77" spans="1:8" x14ac:dyDescent="0.2">
      <c r="A77" s="87" t="s">
        <v>139</v>
      </c>
      <c r="B77" s="105">
        <f>+B65</f>
        <v>116000</v>
      </c>
      <c r="C77" s="105">
        <f t="shared" ref="C77:F77" si="11">+C65</f>
        <v>96000</v>
      </c>
      <c r="D77" s="105">
        <f t="shared" si="11"/>
        <v>96000</v>
      </c>
      <c r="E77" s="105">
        <f t="shared" si="11"/>
        <v>96000</v>
      </c>
      <c r="F77" s="105">
        <f t="shared" si="11"/>
        <v>96000</v>
      </c>
      <c r="G77" s="106">
        <f>SUM(B77:F77)</f>
        <v>500000</v>
      </c>
    </row>
    <row r="78" spans="1:8" ht="15.75" thickBot="1" x14ac:dyDescent="0.25">
      <c r="A78" s="94" t="s">
        <v>122</v>
      </c>
      <c r="B78" s="105">
        <f>+B49</f>
        <v>382000</v>
      </c>
      <c r="C78" s="105">
        <f t="shared" ref="C78:F78" si="12">+C49</f>
        <v>389640</v>
      </c>
      <c r="D78" s="105">
        <f t="shared" si="12"/>
        <v>397432.8</v>
      </c>
      <c r="E78" s="105">
        <f t="shared" si="12"/>
        <v>405381.45600000001</v>
      </c>
      <c r="F78" s="105">
        <f t="shared" si="12"/>
        <v>413489.08512</v>
      </c>
      <c r="G78" s="106">
        <f>SUM(B78:F78)</f>
        <v>1987943.34112</v>
      </c>
    </row>
    <row r="79" spans="1:8" ht="15.75" thickBot="1" x14ac:dyDescent="0.3">
      <c r="A79" s="107" t="s">
        <v>140</v>
      </c>
      <c r="B79" s="108">
        <f>SUM(B75:B78)</f>
        <v>735816</v>
      </c>
      <c r="C79" s="108">
        <f t="shared" ref="C79:F79" si="13">SUM(C75:C78)</f>
        <v>646251</v>
      </c>
      <c r="D79" s="108">
        <f t="shared" si="13"/>
        <v>654043.80000000005</v>
      </c>
      <c r="E79" s="108">
        <f t="shared" si="13"/>
        <v>679992.45600000001</v>
      </c>
      <c r="F79" s="108">
        <f t="shared" si="13"/>
        <v>688100.08511999995</v>
      </c>
      <c r="G79" s="108">
        <f>SUM(B79:F79)</f>
        <v>3404203.34112</v>
      </c>
    </row>
    <row r="80" spans="1:8" ht="15.75" thickBot="1" x14ac:dyDescent="0.3">
      <c r="A80" s="109" t="s">
        <v>141</v>
      </c>
      <c r="B80" s="110">
        <f>+B73+B79</f>
        <v>2697591</v>
      </c>
      <c r="C80" s="110">
        <f t="shared" ref="C80:G80" si="14">+C73+C79</f>
        <v>767841</v>
      </c>
      <c r="D80" s="110">
        <f t="shared" si="14"/>
        <v>775633.8</v>
      </c>
      <c r="E80" s="110">
        <f t="shared" si="14"/>
        <v>801582.45600000001</v>
      </c>
      <c r="F80" s="110">
        <f t="shared" si="14"/>
        <v>809690.08511999995</v>
      </c>
      <c r="G80" s="110">
        <f t="shared" si="14"/>
        <v>5852338.34112</v>
      </c>
    </row>
  </sheetData>
  <pageMargins left="0.18" right="0.2" top="0.19" bottom="0.18" header="0.19" footer="0.18"/>
  <pageSetup orientation="landscape" horizontalDpi="4294967295" verticalDpi="4294967295" r:id="rId1"/>
  <headerFooter>
    <oddFooter>&amp;L&amp;"Arial,Regular"&amp;06&amp;K000000                                                             &amp;K6699CCFISERV INTERNAL USE ONLY</oddFooter>
    <evenFooter>&amp;L&amp;"Arial,Regular"&amp;06&amp;K000000                                                             &amp;K6699CCFISERV INTERNAL USE ONLY</evenFooter>
    <firstFooter>&amp;L&amp;"Arial,Regular"&amp;06&amp;K000000                                                             &amp;K6699CCFISERV INTERNAL USE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2e18ca37-8f6d-4d7d-86f2-89933f2c0e5e">Enter Choice #1</Phase>
    <Date xmlns="12c0883c-541a-49a3-aeb9-9de58d423aaf" xsi:nil="true"/>
    <SharedWithUsers xmlns="9762fe1b-dc1e-4f05-9cfd-a1a429a30e69">
      <UserInfo>
        <DisplayName>SPIRA, HERNAN (Buenos Aires)</DisplayName>
        <AccountId>2536</AccountId>
        <AccountType/>
      </UserInfo>
      <UserInfo>
        <DisplayName>Paul, Subrata (Omaha)</DisplayName>
        <AccountId>3917</AccountId>
        <AccountType/>
      </UserInfo>
      <UserInfo>
        <DisplayName>McDonald, Monica (Wilmington)</DisplayName>
        <AccountId>3926</AccountId>
        <AccountType/>
      </UserInfo>
      <UserInfo>
        <DisplayName>Moehlich, Greg (Alpharetta)</DisplayName>
        <AccountId>4423</AccountId>
        <AccountType/>
      </UserInfo>
      <UserInfo>
        <DisplayName>Tyler, Christopher (Omaha)</DisplayName>
        <AccountId>4424</AccountId>
        <AccountType/>
      </UserInfo>
      <UserInfo>
        <DisplayName>Wallace, Jonathan (Wilmington)</DisplayName>
        <AccountId>1980</AccountId>
        <AccountType/>
      </UserInfo>
      <UserInfo>
        <DisplayName>Jaddu, Venkata (Omaha)</DisplayName>
        <AccountId>3925</AccountId>
        <AccountType/>
      </UserInfo>
      <UserInfo>
        <DisplayName>Brunson, Tonya (US - Georgia)</DisplayName>
        <AccountId>165</AccountId>
        <AccountType/>
      </UserInfo>
      <UserInfo>
        <DisplayName>Reta, Felix (US - Georgia)</DisplayName>
        <AccountId>3170</AccountId>
        <AccountType/>
      </UserInfo>
    </SharedWithUsers>
  </documentManagement>
</p:properties>
</file>

<file path=customXml/item3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EF73E803857847BA4529289A924A35" ma:contentTypeVersion="23" ma:contentTypeDescription="Create a new document." ma:contentTypeScope="" ma:versionID="2624b432a02948499da899279ccdf737">
  <xsd:schema xmlns:xsd="http://www.w3.org/2001/XMLSchema" xmlns:xs="http://www.w3.org/2001/XMLSchema" xmlns:p="http://schemas.microsoft.com/office/2006/metadata/properties" xmlns:ns2="2e18ca37-8f6d-4d7d-86f2-89933f2c0e5e" xmlns:ns3="12c0883c-541a-49a3-aeb9-9de58d423aaf" xmlns:ns4="9762fe1b-dc1e-4f05-9cfd-a1a429a30e69" targetNamespace="http://schemas.microsoft.com/office/2006/metadata/properties" ma:root="true" ma:fieldsID="07f75a6abcdfad3391afb9431ee77c15" ns2:_="" ns3:_="" ns4:_="">
    <xsd:import namespace="2e18ca37-8f6d-4d7d-86f2-89933f2c0e5e"/>
    <xsd:import namespace="12c0883c-541a-49a3-aeb9-9de58d423aaf"/>
    <xsd:import namespace="9762fe1b-dc1e-4f05-9cfd-a1a429a30e69"/>
    <xsd:element name="properties">
      <xsd:complexType>
        <xsd:sequence>
          <xsd:element name="documentManagement">
            <xsd:complexType>
              <xsd:all>
                <xsd:element ref="ns2:Phas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3:Dat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8ca37-8f6d-4d7d-86f2-89933f2c0e5e" elementFormDefault="qualified">
    <xsd:import namespace="http://schemas.microsoft.com/office/2006/documentManagement/types"/>
    <xsd:import namespace="http://schemas.microsoft.com/office/infopath/2007/PartnerControls"/>
    <xsd:element name="Phase" ma:index="8" nillable="true" ma:displayName="Phase" ma:default="Enter Choice #1" ma:format="Dropdown" ma:internalName="Phas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0883c-541a-49a3-aeb9-9de58d423a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Date" ma:index="21" nillable="true" ma:displayName="Date" ma:format="DateTime" ma:internalName="Date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2fe1b-dc1e-4f05-9cfd-a1a429a30e6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6735b442-54d6-4961-9b71-6218880f13c5" ContentTypeId="0x01" PreviousValue="false"/>
</file>

<file path=customXml/itemProps1.xml><?xml version="1.0" encoding="utf-8"?>
<ds:datastoreItem xmlns:ds="http://schemas.openxmlformats.org/officeDocument/2006/customXml" ds:itemID="{8ACEE3F1-64B5-41EF-8668-30C4244D0D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D7BCB-503F-4727-93EA-25A1F0BA1212}">
  <ds:schemaRefs>
    <ds:schemaRef ds:uri="http://schemas.microsoft.com/office/2006/metadata/properties"/>
    <ds:schemaRef ds:uri="http://schemas.microsoft.com/office/infopath/2007/PartnerControls"/>
    <ds:schemaRef ds:uri="2e18ca37-8f6d-4d7d-86f2-89933f2c0e5e"/>
    <ds:schemaRef ds:uri="12c0883c-541a-49a3-aeb9-9de58d423aaf"/>
    <ds:schemaRef ds:uri="9762fe1b-dc1e-4f05-9cfd-a1a429a30e69"/>
  </ds:schemaRefs>
</ds:datastoreItem>
</file>

<file path=customXml/itemProps3.xml><?xml version="1.0" encoding="utf-8"?>
<ds:datastoreItem xmlns:ds="http://schemas.openxmlformats.org/officeDocument/2006/customXml" ds:itemID="{A90AD559-70E9-43D7-956A-ECCE9E03DB8E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560196C8-E26D-47D1-95EB-32A0085E9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8ca37-8f6d-4d7d-86f2-89933f2c0e5e"/>
    <ds:schemaRef ds:uri="12c0883c-541a-49a3-aeb9-9de58d423aaf"/>
    <ds:schemaRef ds:uri="9762fe1b-dc1e-4f05-9cfd-a1a429a30e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53FBED5-EC41-4B56-B291-FD0EDB2AD93D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Benefits</vt:lpstr>
      <vt:lpstr>HLE-FTS-Corp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Argentina A2G Business Case</dc:title>
  <dc:subject/>
  <dc:creator>SPIRA, HERNAN</dc:creator>
  <cp:keywords/>
  <dc:description>FISERV</dc:description>
  <cp:lastModifiedBy>Reta, Felix (US - Georgia)</cp:lastModifiedBy>
  <cp:revision/>
  <dcterms:created xsi:type="dcterms:W3CDTF">2020-07-20T22:18:32Z</dcterms:created>
  <dcterms:modified xsi:type="dcterms:W3CDTF">2021-12-17T19:34:45Z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5794c71e-5831-44f8-ba12-5f2d8c210758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DXyKpCxFSYbjVbH9q8qoaWO5VHY5vR82</vt:lpwstr>
  </property>
  <property fmtid="{D5CDD505-2E9C-101B-9397-08002B2CF9AE}" pid="5" name="bjClsUserRVM">
    <vt:lpwstr>[]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V_HIDDEN_GRID_QUERY_LIST_4F35BF76-6C0D-4D9B-82B2-816C12CF3733">
    <vt:lpwstr>empty_477D106A-C0D6-4607-AEBD-E2C9D60EA279</vt:lpwstr>
  </property>
  <property fmtid="{D5CDD505-2E9C-101B-9397-08002B2CF9AE}" pid="8" name="ContentTypeId">
    <vt:lpwstr>0x01010061EF73E803857847BA4529289A924A35</vt:lpwstr>
  </property>
</Properties>
</file>