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77b0a6c000fa77ef/Ambiente de Trabalho/Universidade M/LIEB/DEB/"/>
    </mc:Choice>
  </mc:AlternateContent>
  <xr:revisionPtr revIDLastSave="438" documentId="11_D2400189D5D78B4EECBDDC8AC957A005A8748C60" xr6:coauthVersionLast="47" xr6:coauthVersionMax="47" xr10:uidLastSave="{5A992FA9-EA71-45AF-82A0-D5340F7BE2AD}"/>
  <bookViews>
    <workbookView xWindow="-120" yWindow="-120" windowWidth="20730" windowHeight="11040" xr2:uid="{00000000-000D-0000-FFFF-FFFF00000000}"/>
  </bookViews>
  <sheets>
    <sheet name="co-corrente" sheetId="1" r:id="rId1"/>
    <sheet name="contra-corrente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D28" i="1"/>
  <c r="C28" i="1"/>
  <c r="B28" i="1"/>
  <c r="A28" i="1"/>
  <c r="D40" i="2"/>
  <c r="B41" i="2"/>
  <c r="C41" i="2"/>
  <c r="B42" i="2"/>
  <c r="C42" i="2"/>
  <c r="B43" i="2" s="1"/>
  <c r="B44" i="2" s="1"/>
  <c r="B45" i="2" s="1"/>
  <c r="B49" i="1"/>
  <c r="J28" i="1"/>
  <c r="I28" i="1"/>
  <c r="H21" i="1"/>
  <c r="F21" i="1"/>
  <c r="B32" i="1"/>
  <c r="C32" i="1"/>
  <c r="D44" i="1"/>
  <c r="C27" i="2"/>
  <c r="B27" i="2"/>
  <c r="D24" i="2"/>
  <c r="C24" i="2"/>
  <c r="B24" i="2"/>
  <c r="A24" i="2"/>
  <c r="I24" i="2"/>
  <c r="B39" i="1"/>
  <c r="B40" i="1" s="1"/>
  <c r="J34" i="1"/>
  <c r="I34" i="1"/>
  <c r="J33" i="1"/>
  <c r="I33" i="1"/>
  <c r="I31" i="1"/>
  <c r="J31" i="1" s="1"/>
  <c r="E28" i="1" l="1"/>
  <c r="J39" i="1" s="1"/>
  <c r="J40" i="1" s="1"/>
  <c r="A27" i="2"/>
  <c r="I32" i="1"/>
  <c r="I35" i="1" s="1"/>
  <c r="B45" i="1" s="1"/>
  <c r="B46" i="1" s="1"/>
  <c r="J30" i="1"/>
  <c r="J38" i="1" s="1"/>
  <c r="I30" i="1"/>
  <c r="I38" i="1" s="1"/>
  <c r="A32" i="1"/>
  <c r="J32" i="1"/>
  <c r="J35" i="1" s="1"/>
  <c r="C45" i="1" s="1"/>
  <c r="C46" i="1" s="1"/>
  <c r="B47" i="1" s="1"/>
  <c r="B48" i="1" s="1"/>
  <c r="I40" i="1" l="1"/>
  <c r="I30" i="2"/>
  <c r="J29" i="2"/>
  <c r="I29" i="2"/>
  <c r="J24" i="2"/>
  <c r="J30" i="2"/>
  <c r="B30" i="2"/>
  <c r="I26" i="2" s="1"/>
  <c r="I34" i="2" s="1"/>
  <c r="I27" i="2"/>
  <c r="J27" i="2" s="1"/>
  <c r="B29" i="2"/>
  <c r="E24" i="2"/>
  <c r="F14" i="2"/>
  <c r="G21" i="1"/>
  <c r="D21" i="1"/>
  <c r="I35" i="2" l="1"/>
  <c r="I36" i="2" s="1"/>
  <c r="J26" i="2"/>
  <c r="J34" i="2" s="1"/>
  <c r="J35" i="2" s="1"/>
  <c r="J36" i="2" s="1"/>
  <c r="I28" i="2"/>
  <c r="I31" i="2" s="1"/>
  <c r="J28" i="2"/>
  <c r="J31" i="2" s="1"/>
</calcChain>
</file>

<file path=xl/sharedStrings.xml><?xml version="1.0" encoding="utf-8"?>
<sst xmlns="http://schemas.openxmlformats.org/spreadsheetml/2006/main" count="187" uniqueCount="91">
  <si>
    <t>Termopar 1</t>
  </si>
  <si>
    <t>Termopar 2</t>
  </si>
  <si>
    <t>Termopar 3</t>
  </si>
  <si>
    <t>Termopar 5</t>
  </si>
  <si>
    <t>Termopar 6</t>
  </si>
  <si>
    <t>Minuto</t>
  </si>
  <si>
    <t>Medição</t>
  </si>
  <si>
    <t>Termopar 4</t>
  </si>
  <si>
    <t>SQ</t>
  </si>
  <si>
    <t>EF</t>
  </si>
  <si>
    <t>SF</t>
  </si>
  <si>
    <t>EQ</t>
  </si>
  <si>
    <t>F</t>
  </si>
  <si>
    <t>Tae</t>
  </si>
  <si>
    <t>Tas</t>
  </si>
  <si>
    <t>Tbe</t>
  </si>
  <si>
    <t>Tbs</t>
  </si>
  <si>
    <t>Tml</t>
  </si>
  <si>
    <t>L/h</t>
  </si>
  <si>
    <t>ρ</t>
  </si>
  <si>
    <t>Tmed</t>
  </si>
  <si>
    <t>Kg/s</t>
  </si>
  <si>
    <t>A</t>
  </si>
  <si>
    <t>u</t>
  </si>
  <si>
    <t>m/s</t>
  </si>
  <si>
    <t>μ</t>
  </si>
  <si>
    <t>Re</t>
  </si>
  <si>
    <t>m</t>
  </si>
  <si>
    <t>K</t>
  </si>
  <si>
    <t>Pr</t>
  </si>
  <si>
    <t>Aml</t>
  </si>
  <si>
    <t>Ae</t>
  </si>
  <si>
    <t>Ai</t>
  </si>
  <si>
    <t>q</t>
  </si>
  <si>
    <t>cp</t>
  </si>
  <si>
    <t>caudal</t>
  </si>
  <si>
    <t>Deq</t>
  </si>
  <si>
    <t>Regime turbulento</t>
  </si>
  <si>
    <t>UA</t>
  </si>
  <si>
    <t>Nu</t>
  </si>
  <si>
    <t>h</t>
  </si>
  <si>
    <t>k</t>
  </si>
  <si>
    <t>1/UA</t>
  </si>
  <si>
    <t>W/K</t>
  </si>
  <si>
    <t>K/W</t>
  </si>
  <si>
    <t>Teórico</t>
  </si>
  <si>
    <t>Distância</t>
  </si>
  <si>
    <t>Cobre</t>
  </si>
  <si>
    <t>Isolante</t>
  </si>
  <si>
    <t>M</t>
  </si>
  <si>
    <t>U</t>
  </si>
  <si>
    <t>W/(m.K)</t>
  </si>
  <si>
    <t>Kg/(m.s)</t>
  </si>
  <si>
    <t>J/(kg.K)</t>
  </si>
  <si>
    <r>
      <t>W/(K.m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</si>
  <si>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W/(m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.K)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</si>
  <si>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</si>
  <si>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r>
      <t>Kg/m</t>
    </r>
    <r>
      <rPr>
        <vertAlign val="superscript"/>
        <sz val="11"/>
        <rFont val="Calibri"/>
        <family val="2"/>
        <scheme val="minor"/>
      </rPr>
      <t>3</t>
    </r>
  </si>
  <si>
    <t>Tae (K)</t>
  </si>
  <si>
    <t>Tas (K)</t>
  </si>
  <si>
    <r>
      <t>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/s</t>
    </r>
  </si>
  <si>
    <t>Tbe (K)</t>
  </si>
  <si>
    <t>Tbs (K)</t>
  </si>
  <si>
    <t>Tml (K)</t>
  </si>
  <si>
    <t>Temperatura entrada fluido quente</t>
  </si>
  <si>
    <t>Temperatura saída fluido quente</t>
  </si>
  <si>
    <t>Temperatura entrada fluido frio</t>
  </si>
  <si>
    <t>Temperatura saída fluido frio</t>
  </si>
  <si>
    <t>Área externa</t>
  </si>
  <si>
    <t>Área interna</t>
  </si>
  <si>
    <t xml:space="preserve">Área média logaritmica </t>
  </si>
  <si>
    <t>Condutividade térmica</t>
  </si>
  <si>
    <t>Quente</t>
  </si>
  <si>
    <t>Frio</t>
  </si>
  <si>
    <t>Número de Nusselt</t>
  </si>
  <si>
    <t xml:space="preserve">Coeficiente convectivo </t>
  </si>
  <si>
    <t xml:space="preserve">Coeficiente global de transferência de calor </t>
  </si>
  <si>
    <t>Área de transferência de calor</t>
  </si>
  <si>
    <t>Temperatura média</t>
  </si>
  <si>
    <t>Caudal mássico</t>
  </si>
  <si>
    <t>Velocidade</t>
  </si>
  <si>
    <t>Viscosidade dinâmica</t>
  </si>
  <si>
    <t>Diametro equivalente</t>
  </si>
  <si>
    <t>Densidade</t>
  </si>
  <si>
    <t>Temperatura média logarítmica</t>
  </si>
  <si>
    <t>Número de Reynolds</t>
  </si>
  <si>
    <t>Número de Prandlt</t>
  </si>
  <si>
    <t>Calor específico</t>
  </si>
  <si>
    <t xml:space="preserve">Calor  </t>
  </si>
  <si>
    <t>Fria</t>
  </si>
  <si>
    <t>Fator de correção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</si>
</sst>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2" applyNumberFormat="0" applyFont="0" applyAlignment="0" applyProtection="0"/>
  </cellStyleXfs>
  <cellXfs count="26">
    <xf numFmtId="0" fontId="0" fillId="0" borderId="0" xfId="0"/>
    <xf numFmtId="0" fontId="3" fillId="4" borderId="2" xfId="2" applyFont="1" applyAlignment="1">
      <alignment horizontal="center"/>
    </xf>
    <xf numFmtId="0" fontId="3" fillId="0" borderId="0" xfId="0" applyFont="1"/>
    <xf numFmtId="11" fontId="3" fillId="4" borderId="2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2" applyFont="1" applyAlignment="1">
      <alignment horizontal="center"/>
    </xf>
    <xf numFmtId="0" fontId="4" fillId="6" borderId="1" xfId="1" applyFont="1" applyFill="1" applyAlignment="1">
      <alignment horizontal="center"/>
    </xf>
    <xf numFmtId="0" fontId="4" fillId="5" borderId="1" xfId="1" applyFont="1" applyFill="1" applyAlignment="1">
      <alignment horizontal="center"/>
    </xf>
    <xf numFmtId="0" fontId="4" fillId="7" borderId="1" xfId="1" applyFont="1" applyFill="1" applyAlignment="1">
      <alignment horizontal="center"/>
    </xf>
    <xf numFmtId="0" fontId="4" fillId="8" borderId="1" xfId="1" applyFont="1" applyFill="1" applyAlignment="1">
      <alignment horizontal="center"/>
    </xf>
    <xf numFmtId="0" fontId="4" fillId="3" borderId="1" xfId="1" applyFont="1" applyFill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4" fillId="2" borderId="1" xfId="1" applyFont="1" applyAlignment="1">
      <alignment horizontal="center"/>
    </xf>
    <xf numFmtId="0" fontId="5" fillId="0" borderId="0" xfId="0" applyFont="1" applyAlignment="1">
      <alignment horizontal="center"/>
    </xf>
    <xf numFmtId="1" fontId="3" fillId="4" borderId="2" xfId="2" applyNumberFormat="1" applyFont="1" applyAlignment="1">
      <alignment horizontal="center"/>
    </xf>
    <xf numFmtId="164" fontId="3" fillId="4" borderId="2" xfId="2" applyNumberFormat="1" applyFont="1" applyAlignment="1">
      <alignment horizontal="center"/>
    </xf>
    <xf numFmtId="165" fontId="3" fillId="4" borderId="2" xfId="2" applyNumberFormat="1" applyFont="1" applyAlignment="1">
      <alignment horizontal="center"/>
    </xf>
    <xf numFmtId="2" fontId="3" fillId="4" borderId="2" xfId="2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49" fontId="3" fillId="4" borderId="2" xfId="2" applyNumberFormat="1" applyFont="1" applyAlignment="1">
      <alignment horizontal="center"/>
    </xf>
    <xf numFmtId="0" fontId="6" fillId="4" borderId="2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2" xfId="2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3">
    <cellStyle name="Normal" xfId="0" builtinId="0"/>
    <cellStyle name="Nota" xfId="2" builtinId="10"/>
    <cellStyle name="Saída" xfId="1" builtinId="2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Co-corrente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Quente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('co-corrente'!$D$23,'co-corrente'!$F$23)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('co-corrente'!$D$22,'co-corrente'!$G$22)</c:f>
              <c:numCache>
                <c:formatCode>General</c:formatCode>
                <c:ptCount val="2"/>
                <c:pt idx="0">
                  <c:v>56</c:v>
                </c:pt>
                <c:pt idx="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78B-9A45-D852BD4F2617}"/>
            </c:ext>
          </c:extLst>
        </c:ser>
        <c:ser>
          <c:idx val="1"/>
          <c:order val="1"/>
          <c:tx>
            <c:v>Frio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('co-corrente'!$E$23,'co-corrente'!$H$23,'co-corrente'!$I$23,'co-corrente'!$F$23)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1.23</c:v>
                </c:pt>
                <c:pt idx="3">
                  <c:v>2</c:v>
                </c:pt>
              </c:numCache>
            </c:numRef>
          </c:xVal>
          <c:yVal>
            <c:numRef>
              <c:f>('co-corrente'!$E$22,'co-corrente'!$H$22,'co-corrente'!$I$22,'co-corrente'!$F$22)</c:f>
              <c:numCache>
                <c:formatCode>General</c:formatCode>
                <c:ptCount val="4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2-478B-9A45-D852BD4F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76608"/>
        <c:axId val="2012876128"/>
      </c:scatterChart>
      <c:valAx>
        <c:axId val="20128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876128"/>
        <c:crosses val="autoZero"/>
        <c:crossBetween val="midCat"/>
      </c:valAx>
      <c:valAx>
        <c:axId val="2012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8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Contra-corrente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Quente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('contra-corrente'!$H$16,'contra-corrente'!$E$16)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('contra-corrente'!$H$15,'contra-corrente'!$E$15)</c:f>
              <c:numCache>
                <c:formatCode>General</c:formatCode>
                <c:ptCount val="2"/>
                <c:pt idx="0">
                  <c:v>42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0-4598-B14F-3424F87655BA}"/>
            </c:ext>
          </c:extLst>
        </c:ser>
        <c:ser>
          <c:idx val="1"/>
          <c:order val="1"/>
          <c:tx>
            <c:v>Frio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('contra-corrente'!$F$16,'contra-corrente'!$I$16,'contra-corrente'!$J$16,'contra-corrente'!$G$16)</c:f>
              <c:numCache>
                <c:formatCode>General</c:formatCode>
                <c:ptCount val="4"/>
                <c:pt idx="0">
                  <c:v>0</c:v>
                </c:pt>
                <c:pt idx="1">
                  <c:v>0.77</c:v>
                </c:pt>
                <c:pt idx="2">
                  <c:v>1.23</c:v>
                </c:pt>
                <c:pt idx="3">
                  <c:v>2</c:v>
                </c:pt>
              </c:numCache>
            </c:numRef>
          </c:xVal>
          <c:yVal>
            <c:numRef>
              <c:f>('contra-corrente'!$F$15,'contra-corrente'!$I$15,'contra-corrente'!$J$15,'contra-corrente'!$G$15)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0-4598-B14F-3424F876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76608"/>
        <c:axId val="2012876128"/>
      </c:scatterChart>
      <c:valAx>
        <c:axId val="20128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876128"/>
        <c:crosses val="autoZero"/>
        <c:crossBetween val="midCat"/>
      </c:valAx>
      <c:valAx>
        <c:axId val="2012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8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171450</xdr:rowOff>
    </xdr:from>
    <xdr:to>
      <xdr:col>17</xdr:col>
      <xdr:colOff>314325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B0FA10-BD40-DF62-DB6E-EC22F1A1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50</xdr:row>
      <xdr:rowOff>28575</xdr:rowOff>
    </xdr:from>
    <xdr:to>
      <xdr:col>4</xdr:col>
      <xdr:colOff>628650</xdr:colOff>
      <xdr:row>57</xdr:row>
      <xdr:rowOff>28575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8BCA470-2612-06CA-29A9-BD7A984D9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98" t="6268" r="28922" b="55581"/>
        <a:stretch/>
      </xdr:blipFill>
      <xdr:spPr>
        <a:xfrm>
          <a:off x="1228725" y="9725025"/>
          <a:ext cx="2019300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51</xdr:row>
      <xdr:rowOff>95250</xdr:rowOff>
    </xdr:from>
    <xdr:to>
      <xdr:col>10</xdr:col>
      <xdr:colOff>57937</xdr:colOff>
      <xdr:row>54</xdr:row>
      <xdr:rowOff>57224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1436C61-1AA5-4513-D50E-AE62DA039F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53"/>
        <a:stretch/>
      </xdr:blipFill>
      <xdr:spPr>
        <a:xfrm>
          <a:off x="3429000" y="9982200"/>
          <a:ext cx="3848887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847724</xdr:colOff>
      <xdr:row>56</xdr:row>
      <xdr:rowOff>7284</xdr:rowOff>
    </xdr:from>
    <xdr:to>
      <xdr:col>10</xdr:col>
      <xdr:colOff>323850</xdr:colOff>
      <xdr:row>59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6120B40-EC04-82F5-1AF1-7772CBE38C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329" b="20700"/>
        <a:stretch/>
      </xdr:blipFill>
      <xdr:spPr>
        <a:xfrm>
          <a:off x="3467099" y="10846734"/>
          <a:ext cx="4076701" cy="659466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685800</xdr:colOff>
      <xdr:row>51</xdr:row>
      <xdr:rowOff>32770</xdr:rowOff>
    </xdr:from>
    <xdr:to>
      <xdr:col>13</xdr:col>
      <xdr:colOff>857250</xdr:colOff>
      <xdr:row>61</xdr:row>
      <xdr:rowOff>28202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1A804EC-7B58-9800-66CA-0E7B427BD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13" r="21326"/>
        <a:stretch/>
      </xdr:blipFill>
      <xdr:spPr>
        <a:xfrm>
          <a:off x="7905750" y="9919720"/>
          <a:ext cx="2686050" cy="190043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142876</xdr:colOff>
      <xdr:row>58</xdr:row>
      <xdr:rowOff>84472</xdr:rowOff>
    </xdr:from>
    <xdr:to>
      <xdr:col>4</xdr:col>
      <xdr:colOff>571501</xdr:colOff>
      <xdr:row>60</xdr:row>
      <xdr:rowOff>47623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505147C-222A-09B3-DFC7-DD9826E2F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94" t="38671" r="21201" b="37909"/>
        <a:stretch/>
      </xdr:blipFill>
      <xdr:spPr>
        <a:xfrm>
          <a:off x="1362076" y="11304922"/>
          <a:ext cx="1828800" cy="344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350449</xdr:colOff>
      <xdr:row>1</xdr:row>
      <xdr:rowOff>98846</xdr:rowOff>
    </xdr:from>
    <xdr:to>
      <xdr:col>16</xdr:col>
      <xdr:colOff>501411</xdr:colOff>
      <xdr:row>16</xdr:row>
      <xdr:rowOff>11504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68EA3D-4315-48C6-909B-10DF347A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50"/>
  <sheetViews>
    <sheetView tabSelected="1" workbookViewId="0">
      <selection activeCell="N50" sqref="N50"/>
    </sheetView>
  </sheetViews>
  <sheetFormatPr defaultRowHeight="15" x14ac:dyDescent="0.25"/>
  <cols>
    <col min="1" max="3" width="9.140625" style="4"/>
    <col min="4" max="4" width="11.85546875" style="4" customWidth="1"/>
    <col min="5" max="5" width="12.7109375" style="4" customWidth="1"/>
    <col min="6" max="7" width="11.42578125" style="4" customWidth="1"/>
    <col min="8" max="8" width="12.28515625" style="4" customWidth="1"/>
    <col min="9" max="9" width="11.5703125" style="4" customWidth="1"/>
    <col min="10" max="10" width="9.5703125" style="4" bestFit="1" customWidth="1"/>
    <col min="11" max="11" width="11.140625" style="4" customWidth="1"/>
    <col min="12" max="12" width="17.42578125" style="4" customWidth="1"/>
    <col min="13" max="13" width="9.140625" style="4"/>
    <col min="14" max="14" width="40.7109375" style="4" customWidth="1"/>
    <col min="15" max="16384" width="9.140625" style="4"/>
  </cols>
  <sheetData>
    <row r="3" spans="2:9" x14ac:dyDescent="0.25">
      <c r="D3" s="6" t="s">
        <v>11</v>
      </c>
      <c r="E3" s="7" t="s">
        <v>9</v>
      </c>
      <c r="F3" s="8" t="s">
        <v>10</v>
      </c>
      <c r="G3" s="9" t="s">
        <v>8</v>
      </c>
    </row>
    <row r="4" spans="2:9" x14ac:dyDescent="0.25">
      <c r="B4" s="10" t="s">
        <v>6</v>
      </c>
      <c r="C4" s="10" t="s">
        <v>5</v>
      </c>
      <c r="D4" s="10" t="s">
        <v>0</v>
      </c>
      <c r="E4" s="10" t="s">
        <v>1</v>
      </c>
      <c r="F4" s="10" t="s">
        <v>2</v>
      </c>
      <c r="G4" s="10" t="s">
        <v>7</v>
      </c>
      <c r="H4" s="10" t="s">
        <v>3</v>
      </c>
      <c r="I4" s="10" t="s">
        <v>4</v>
      </c>
    </row>
    <row r="5" spans="2:9" x14ac:dyDescent="0.25">
      <c r="B5" s="11">
        <v>1</v>
      </c>
      <c r="C5" s="11">
        <v>0</v>
      </c>
      <c r="D5" s="11">
        <v>63</v>
      </c>
      <c r="E5" s="11">
        <v>16</v>
      </c>
      <c r="F5" s="11">
        <v>32</v>
      </c>
      <c r="G5" s="11">
        <v>46</v>
      </c>
      <c r="H5" s="11">
        <v>21</v>
      </c>
      <c r="I5" s="11">
        <v>25</v>
      </c>
    </row>
    <row r="6" spans="2:9" x14ac:dyDescent="0.25">
      <c r="B6" s="10">
        <v>2</v>
      </c>
      <c r="C6" s="10">
        <v>2</v>
      </c>
      <c r="D6" s="10">
        <v>65</v>
      </c>
      <c r="E6" s="10">
        <v>16</v>
      </c>
      <c r="F6" s="10">
        <v>32</v>
      </c>
      <c r="G6" s="10">
        <v>47</v>
      </c>
      <c r="H6" s="10">
        <v>21</v>
      </c>
      <c r="I6" s="10">
        <v>28</v>
      </c>
    </row>
    <row r="7" spans="2:9" x14ac:dyDescent="0.25">
      <c r="B7" s="11">
        <v>3</v>
      </c>
      <c r="C7" s="11">
        <v>4</v>
      </c>
      <c r="D7" s="11">
        <v>66</v>
      </c>
      <c r="E7" s="11">
        <v>16</v>
      </c>
      <c r="F7" s="11">
        <v>33</v>
      </c>
      <c r="G7" s="11">
        <v>48</v>
      </c>
      <c r="H7" s="11">
        <v>22</v>
      </c>
      <c r="I7" s="11">
        <v>29</v>
      </c>
    </row>
    <row r="8" spans="2:9" x14ac:dyDescent="0.25">
      <c r="B8" s="10">
        <v>4</v>
      </c>
      <c r="C8" s="10">
        <v>6</v>
      </c>
      <c r="D8" s="10">
        <v>65</v>
      </c>
      <c r="E8" s="10">
        <v>16</v>
      </c>
      <c r="F8" s="10">
        <v>34</v>
      </c>
      <c r="G8" s="10">
        <v>47</v>
      </c>
      <c r="H8" s="10">
        <v>22</v>
      </c>
      <c r="I8" s="10">
        <v>29</v>
      </c>
    </row>
    <row r="9" spans="2:9" x14ac:dyDescent="0.25">
      <c r="B9" s="11">
        <v>5</v>
      </c>
      <c r="C9" s="11">
        <v>8</v>
      </c>
      <c r="D9" s="11">
        <v>64</v>
      </c>
      <c r="E9" s="11">
        <v>16</v>
      </c>
      <c r="F9" s="11">
        <v>32</v>
      </c>
      <c r="G9" s="11">
        <v>47</v>
      </c>
      <c r="H9" s="11">
        <v>22</v>
      </c>
      <c r="I9" s="11">
        <v>29</v>
      </c>
    </row>
    <row r="10" spans="2:9" x14ac:dyDescent="0.25">
      <c r="B10" s="10">
        <v>6</v>
      </c>
      <c r="C10" s="10">
        <v>10</v>
      </c>
      <c r="D10" s="10">
        <v>64</v>
      </c>
      <c r="E10" s="10">
        <v>16</v>
      </c>
      <c r="F10" s="10">
        <v>32</v>
      </c>
      <c r="G10" s="10">
        <v>46</v>
      </c>
      <c r="H10" s="10">
        <v>22</v>
      </c>
      <c r="I10" s="10">
        <v>29</v>
      </c>
    </row>
    <row r="11" spans="2:9" x14ac:dyDescent="0.25">
      <c r="B11" s="11">
        <v>7</v>
      </c>
      <c r="C11" s="11">
        <v>12</v>
      </c>
      <c r="D11" s="11">
        <v>63</v>
      </c>
      <c r="E11" s="11">
        <v>16</v>
      </c>
      <c r="F11" s="11">
        <v>32</v>
      </c>
      <c r="G11" s="11">
        <v>46</v>
      </c>
      <c r="H11" s="11">
        <v>22</v>
      </c>
      <c r="I11" s="11">
        <v>29</v>
      </c>
    </row>
    <row r="12" spans="2:9" x14ac:dyDescent="0.25">
      <c r="B12" s="10">
        <v>8</v>
      </c>
      <c r="C12" s="10">
        <v>14</v>
      </c>
      <c r="D12" s="10">
        <v>63</v>
      </c>
      <c r="E12" s="10">
        <v>16</v>
      </c>
      <c r="F12" s="10">
        <v>32</v>
      </c>
      <c r="G12" s="10">
        <v>45</v>
      </c>
      <c r="H12" s="10">
        <v>22</v>
      </c>
      <c r="I12" s="10">
        <v>29</v>
      </c>
    </row>
    <row r="13" spans="2:9" x14ac:dyDescent="0.25">
      <c r="B13" s="11">
        <v>9</v>
      </c>
      <c r="C13" s="11">
        <v>16</v>
      </c>
      <c r="D13" s="11">
        <v>62</v>
      </c>
      <c r="E13" s="11">
        <v>16</v>
      </c>
      <c r="F13" s="11">
        <v>32</v>
      </c>
      <c r="G13" s="11">
        <v>45</v>
      </c>
      <c r="H13" s="11">
        <v>22</v>
      </c>
      <c r="I13" s="11">
        <v>29</v>
      </c>
    </row>
    <row r="14" spans="2:9" x14ac:dyDescent="0.25">
      <c r="B14" s="10">
        <v>10</v>
      </c>
      <c r="C14" s="10">
        <v>18</v>
      </c>
      <c r="D14" s="10">
        <v>61</v>
      </c>
      <c r="E14" s="10">
        <v>16</v>
      </c>
      <c r="F14" s="10">
        <v>31</v>
      </c>
      <c r="G14" s="10">
        <v>44</v>
      </c>
      <c r="H14" s="10">
        <v>21</v>
      </c>
      <c r="I14" s="10">
        <v>28</v>
      </c>
    </row>
    <row r="15" spans="2:9" x14ac:dyDescent="0.25">
      <c r="B15" s="11">
        <v>11</v>
      </c>
      <c r="C15" s="11">
        <v>20</v>
      </c>
      <c r="D15" s="11">
        <v>60</v>
      </c>
      <c r="E15" s="11">
        <v>16</v>
      </c>
      <c r="F15" s="11">
        <v>31</v>
      </c>
      <c r="G15" s="11">
        <v>44</v>
      </c>
      <c r="H15" s="11">
        <v>21</v>
      </c>
      <c r="I15" s="11">
        <v>27</v>
      </c>
    </row>
    <row r="16" spans="2:9" x14ac:dyDescent="0.25">
      <c r="B16" s="10">
        <v>12</v>
      </c>
      <c r="C16" s="10">
        <v>22</v>
      </c>
      <c r="D16" s="10">
        <v>59</v>
      </c>
      <c r="E16" s="10">
        <v>16</v>
      </c>
      <c r="F16" s="10">
        <v>30</v>
      </c>
      <c r="G16" s="10">
        <v>43</v>
      </c>
      <c r="H16" s="10">
        <v>21</v>
      </c>
      <c r="I16" s="10">
        <v>26</v>
      </c>
    </row>
    <row r="17" spans="1:14" x14ac:dyDescent="0.25">
      <c r="B17" s="11">
        <v>13</v>
      </c>
      <c r="C17" s="11">
        <v>24</v>
      </c>
      <c r="D17" s="11">
        <v>58</v>
      </c>
      <c r="E17" s="11">
        <v>16</v>
      </c>
      <c r="F17" s="11">
        <v>30</v>
      </c>
      <c r="G17" s="11">
        <v>43</v>
      </c>
      <c r="H17" s="11">
        <v>21</v>
      </c>
      <c r="I17" s="11">
        <v>26</v>
      </c>
    </row>
    <row r="18" spans="1:14" x14ac:dyDescent="0.25">
      <c r="B18" s="10">
        <v>14</v>
      </c>
      <c r="C18" s="10">
        <v>26</v>
      </c>
      <c r="D18" s="10">
        <v>57</v>
      </c>
      <c r="E18" s="10">
        <v>16</v>
      </c>
      <c r="F18" s="10">
        <v>30</v>
      </c>
      <c r="G18" s="10">
        <v>42</v>
      </c>
      <c r="H18" s="10">
        <v>21</v>
      </c>
      <c r="I18" s="10">
        <v>26</v>
      </c>
    </row>
    <row r="19" spans="1:14" x14ac:dyDescent="0.25">
      <c r="B19" s="11">
        <v>15</v>
      </c>
      <c r="C19" s="11">
        <v>28</v>
      </c>
      <c r="D19" s="11">
        <v>56</v>
      </c>
      <c r="E19" s="11">
        <v>16</v>
      </c>
      <c r="F19" s="11">
        <v>30</v>
      </c>
      <c r="G19" s="11">
        <v>42</v>
      </c>
      <c r="H19" s="11">
        <v>21</v>
      </c>
      <c r="I19" s="11">
        <v>26</v>
      </c>
    </row>
    <row r="20" spans="1:14" x14ac:dyDescent="0.25">
      <c r="B20" s="10">
        <v>16</v>
      </c>
      <c r="C20" s="10">
        <v>30</v>
      </c>
      <c r="D20" s="10">
        <v>55</v>
      </c>
      <c r="E20" s="10">
        <v>16</v>
      </c>
      <c r="F20" s="10">
        <v>29</v>
      </c>
      <c r="G20" s="10">
        <v>40</v>
      </c>
      <c r="H20" s="10">
        <v>20</v>
      </c>
      <c r="I20" s="10">
        <v>26</v>
      </c>
    </row>
    <row r="21" spans="1:14" x14ac:dyDescent="0.25">
      <c r="D21" s="6">
        <f>AVERAGE(D18:D20)</f>
        <v>56</v>
      </c>
      <c r="E21" s="7">
        <v>16</v>
      </c>
      <c r="F21" s="8">
        <f>AVERAGE(F18:F20)</f>
        <v>29.666666666666668</v>
      </c>
      <c r="G21" s="9">
        <f>AVERAGE(G18:G20)</f>
        <v>41.333333333333336</v>
      </c>
      <c r="H21" s="12">
        <f>AVERAGE(H18:H20)</f>
        <v>20.666666666666668</v>
      </c>
      <c r="I21" s="12">
        <v>26</v>
      </c>
    </row>
    <row r="22" spans="1:14" x14ac:dyDescent="0.25">
      <c r="D22" s="6">
        <v>56</v>
      </c>
      <c r="E22" s="7">
        <v>16</v>
      </c>
      <c r="F22" s="8">
        <v>30</v>
      </c>
      <c r="G22" s="9">
        <v>41</v>
      </c>
      <c r="H22" s="12">
        <v>21</v>
      </c>
      <c r="I22" s="12">
        <v>26</v>
      </c>
    </row>
    <row r="23" spans="1:14" x14ac:dyDescent="0.25">
      <c r="D23" s="6">
        <v>0</v>
      </c>
      <c r="E23" s="7">
        <v>0</v>
      </c>
      <c r="F23" s="8">
        <v>2</v>
      </c>
      <c r="G23" s="9">
        <v>2</v>
      </c>
      <c r="H23" s="12">
        <v>0.77</v>
      </c>
      <c r="I23" s="12">
        <v>1.23</v>
      </c>
    </row>
    <row r="26" spans="1:14" x14ac:dyDescent="0.25">
      <c r="A26" s="22"/>
      <c r="B26" s="22"/>
      <c r="C26" s="22"/>
      <c r="D26" s="22"/>
      <c r="E26" s="22"/>
    </row>
    <row r="27" spans="1:14" x14ac:dyDescent="0.25">
      <c r="A27" s="5" t="s">
        <v>58</v>
      </c>
      <c r="B27" s="5" t="s">
        <v>59</v>
      </c>
      <c r="C27" s="5" t="s">
        <v>61</v>
      </c>
      <c r="D27" s="5" t="s">
        <v>62</v>
      </c>
      <c r="E27" s="5" t="s">
        <v>63</v>
      </c>
      <c r="I27" s="5" t="s">
        <v>72</v>
      </c>
      <c r="J27" s="5" t="s">
        <v>89</v>
      </c>
      <c r="K27" s="13"/>
      <c r="M27" s="22" t="s">
        <v>13</v>
      </c>
      <c r="N27" s="24" t="s">
        <v>64</v>
      </c>
    </row>
    <row r="28" spans="1:14" x14ac:dyDescent="0.25">
      <c r="A28" s="1">
        <f>56 + 273.15</f>
        <v>329.15</v>
      </c>
      <c r="B28" s="1">
        <f>41+273.15</f>
        <v>314.14999999999998</v>
      </c>
      <c r="C28" s="1">
        <f>16 + 273.15</f>
        <v>289.14999999999998</v>
      </c>
      <c r="D28" s="1">
        <f>30+273.15</f>
        <v>303.14999999999998</v>
      </c>
      <c r="E28" s="14">
        <f>((A28-D28)-(B28-C28))/LN((A28-D28)/(B28-C28))</f>
        <v>25.496731691028337</v>
      </c>
      <c r="H28" s="5" t="s">
        <v>20</v>
      </c>
      <c r="I28" s="1">
        <f>((D22+G22)/2)+273.15</f>
        <v>321.64999999999998</v>
      </c>
      <c r="J28" s="1">
        <f>((E22+F22)/2)+273.15</f>
        <v>296.14999999999998</v>
      </c>
      <c r="K28" s="1" t="s">
        <v>28</v>
      </c>
      <c r="M28" s="22" t="s">
        <v>14</v>
      </c>
      <c r="N28" s="24" t="s">
        <v>65</v>
      </c>
    </row>
    <row r="29" spans="1:14" ht="17.25" x14ac:dyDescent="0.25">
      <c r="H29" s="5" t="s">
        <v>19</v>
      </c>
      <c r="I29" s="15">
        <v>988.1</v>
      </c>
      <c r="J29" s="15">
        <v>997</v>
      </c>
      <c r="K29" s="1" t="s">
        <v>57</v>
      </c>
      <c r="M29" s="22" t="s">
        <v>15</v>
      </c>
      <c r="N29" s="24" t="s">
        <v>66</v>
      </c>
    </row>
    <row r="30" spans="1:14" x14ac:dyDescent="0.25">
      <c r="H30" s="5" t="s">
        <v>49</v>
      </c>
      <c r="I30" s="16">
        <f>B40*I29</f>
        <v>9.5516333333333356E-2</v>
      </c>
      <c r="J30" s="16">
        <f>B40*J29</f>
        <v>9.637666666666668E-2</v>
      </c>
      <c r="K30" s="1" t="s">
        <v>21</v>
      </c>
      <c r="M30" s="22" t="s">
        <v>16</v>
      </c>
      <c r="N30" s="24" t="s">
        <v>67</v>
      </c>
    </row>
    <row r="31" spans="1:14" ht="17.25" x14ac:dyDescent="0.25">
      <c r="A31" s="5" t="s">
        <v>30</v>
      </c>
      <c r="B31" s="5" t="s">
        <v>31</v>
      </c>
      <c r="C31" s="5" t="s">
        <v>32</v>
      </c>
      <c r="H31" s="5" t="s">
        <v>22</v>
      </c>
      <c r="I31" s="16">
        <f>(4*10^-3)^2*PI()</f>
        <v>5.0265482457436686E-5</v>
      </c>
      <c r="J31" s="16">
        <f>((6.5*10^-3)^2*PI())-I31</f>
        <v>8.2466807156732111E-5</v>
      </c>
      <c r="K31" s="1" t="s">
        <v>56</v>
      </c>
      <c r="M31" s="22" t="s">
        <v>17</v>
      </c>
      <c r="N31" s="24" t="s">
        <v>84</v>
      </c>
    </row>
    <row r="32" spans="1:14" ht="17.25" x14ac:dyDescent="0.25">
      <c r="A32" s="3">
        <f>(B32-C32)/(LN(B32/C32))</f>
        <v>5.6315186077971813E-2</v>
      </c>
      <c r="B32" s="3">
        <f>2*2*PI()*(5*10^-3)</f>
        <v>6.2831853071795868E-2</v>
      </c>
      <c r="C32" s="3">
        <f>2*2*PI()*(4*10^-3)</f>
        <v>5.0265482457436693E-2</v>
      </c>
      <c r="D32" s="1" t="s">
        <v>56</v>
      </c>
      <c r="H32" s="5" t="s">
        <v>23</v>
      </c>
      <c r="I32" s="17">
        <f>B40/I31</f>
        <v>1.9231222290270691</v>
      </c>
      <c r="J32" s="17">
        <f>B40/J31</f>
        <v>1.1721887872164987</v>
      </c>
      <c r="K32" s="1" t="s">
        <v>24</v>
      </c>
      <c r="M32" s="22" t="s">
        <v>31</v>
      </c>
      <c r="N32" s="24" t="s">
        <v>68</v>
      </c>
    </row>
    <row r="33" spans="1:14" x14ac:dyDescent="0.25">
      <c r="H33" s="21" t="s">
        <v>25</v>
      </c>
      <c r="I33" s="16">
        <f>0.547*10^-3</f>
        <v>5.4700000000000007E-4</v>
      </c>
      <c r="J33" s="16">
        <f>0.891*10^-3</f>
        <v>8.9100000000000008E-4</v>
      </c>
      <c r="K33" s="1" t="s">
        <v>52</v>
      </c>
      <c r="M33" s="22" t="s">
        <v>32</v>
      </c>
      <c r="N33" s="24" t="s">
        <v>69</v>
      </c>
    </row>
    <row r="34" spans="1:14" x14ac:dyDescent="0.25">
      <c r="H34" s="5" t="s">
        <v>36</v>
      </c>
      <c r="I34" s="16">
        <f>8*10^-3</f>
        <v>8.0000000000000002E-3</v>
      </c>
      <c r="J34" s="16">
        <f>2*((6.5*10^-3)^(2)-(4*10^-3)^(2))/((4*10^-3)+(6.5*10^-3))</f>
        <v>5.0000000000000018E-3</v>
      </c>
      <c r="K34" s="1" t="s">
        <v>27</v>
      </c>
      <c r="M34" s="22" t="s">
        <v>30</v>
      </c>
      <c r="N34" s="24" t="s">
        <v>70</v>
      </c>
    </row>
    <row r="35" spans="1:14" x14ac:dyDescent="0.25">
      <c r="H35" s="5" t="s">
        <v>26</v>
      </c>
      <c r="I35" s="17">
        <f>(I34*I29*I32)/I33</f>
        <v>27791.401455234321</v>
      </c>
      <c r="J35" s="17">
        <f>(J34*J29*J32)/J33</f>
        <v>6558.2055042359689</v>
      </c>
      <c r="K35" s="1"/>
      <c r="L35" s="25" t="s">
        <v>37</v>
      </c>
      <c r="M35" s="22" t="s">
        <v>41</v>
      </c>
      <c r="N35" s="24" t="s">
        <v>71</v>
      </c>
    </row>
    <row r="36" spans="1:14" x14ac:dyDescent="0.25">
      <c r="H36" s="5" t="s">
        <v>29</v>
      </c>
      <c r="I36" s="17">
        <v>3.55</v>
      </c>
      <c r="J36" s="17">
        <v>6.14</v>
      </c>
      <c r="K36" s="1"/>
      <c r="M36" s="22" t="s">
        <v>39</v>
      </c>
      <c r="N36" s="24" t="s">
        <v>74</v>
      </c>
    </row>
    <row r="37" spans="1:14" x14ac:dyDescent="0.25">
      <c r="H37" s="5" t="s">
        <v>34</v>
      </c>
      <c r="I37" s="1">
        <v>4181</v>
      </c>
      <c r="J37" s="1">
        <v>4180</v>
      </c>
      <c r="K37" s="1" t="s">
        <v>53</v>
      </c>
      <c r="M37" s="22" t="s">
        <v>40</v>
      </c>
      <c r="N37" s="24" t="s">
        <v>75</v>
      </c>
    </row>
    <row r="38" spans="1:14" ht="17.25" x14ac:dyDescent="0.25">
      <c r="H38" s="5" t="s">
        <v>33</v>
      </c>
      <c r="I38" s="17">
        <f>I30*I37*(G22-D22)</f>
        <v>-5990.3068450000019</v>
      </c>
      <c r="J38" s="17">
        <f>J37*J30*(F22-E22)</f>
        <v>5639.9625333333342</v>
      </c>
      <c r="K38" s="1" t="s">
        <v>55</v>
      </c>
      <c r="L38" s="19"/>
      <c r="M38" s="22" t="s">
        <v>50</v>
      </c>
      <c r="N38" s="24" t="s">
        <v>76</v>
      </c>
    </row>
    <row r="39" spans="1:14" x14ac:dyDescent="0.25">
      <c r="A39" s="5" t="s">
        <v>35</v>
      </c>
      <c r="B39" s="1">
        <f>(0.6*580)</f>
        <v>348</v>
      </c>
      <c r="C39" s="1" t="s">
        <v>18</v>
      </c>
      <c r="H39" s="5" t="s">
        <v>38</v>
      </c>
      <c r="I39" s="17">
        <f>I38/E28</f>
        <v>-234.94410646788276</v>
      </c>
      <c r="J39" s="17">
        <f>J38/E28</f>
        <v>221.20335271512059</v>
      </c>
      <c r="K39" s="1" t="s">
        <v>43</v>
      </c>
      <c r="M39" s="22" t="s">
        <v>22</v>
      </c>
      <c r="N39" s="24" t="s">
        <v>77</v>
      </c>
    </row>
    <row r="40" spans="1:14" ht="17.25" x14ac:dyDescent="0.25">
      <c r="A40" s="5" t="s">
        <v>35</v>
      </c>
      <c r="B40" s="1">
        <f>(B39*10^-3)/3600</f>
        <v>9.6666666666666681E-5</v>
      </c>
      <c r="C40" s="1" t="s">
        <v>60</v>
      </c>
      <c r="H40" s="5" t="s">
        <v>50</v>
      </c>
      <c r="I40" s="17">
        <f>I39/A32</f>
        <v>-4171.9493946550811</v>
      </c>
      <c r="J40" s="17">
        <f>J39/A32</f>
        <v>3927.9520875390708</v>
      </c>
      <c r="K40" s="1" t="s">
        <v>54</v>
      </c>
      <c r="L40" s="19"/>
      <c r="M40" s="22" t="s">
        <v>20</v>
      </c>
      <c r="N40" s="24" t="s">
        <v>78</v>
      </c>
    </row>
    <row r="41" spans="1:14" x14ac:dyDescent="0.25">
      <c r="H41" s="5" t="s">
        <v>12</v>
      </c>
      <c r="I41" s="1">
        <v>1</v>
      </c>
      <c r="J41" s="1">
        <v>1</v>
      </c>
      <c r="K41" s="1"/>
      <c r="M41" s="22" t="s">
        <v>19</v>
      </c>
      <c r="N41" s="24" t="s">
        <v>83</v>
      </c>
    </row>
    <row r="42" spans="1:14" x14ac:dyDescent="0.25">
      <c r="M42" s="22" t="s">
        <v>49</v>
      </c>
      <c r="N42" s="24" t="s">
        <v>79</v>
      </c>
    </row>
    <row r="43" spans="1:14" x14ac:dyDescent="0.25">
      <c r="A43" s="5" t="s">
        <v>45</v>
      </c>
      <c r="B43" s="5" t="s">
        <v>72</v>
      </c>
      <c r="C43" s="5" t="s">
        <v>73</v>
      </c>
      <c r="D43" s="5" t="s">
        <v>47</v>
      </c>
      <c r="E43" s="5" t="s">
        <v>48</v>
      </c>
      <c r="F43" s="23"/>
      <c r="M43" s="22" t="s">
        <v>23</v>
      </c>
      <c r="N43" s="24" t="s">
        <v>80</v>
      </c>
    </row>
    <row r="44" spans="1:14" x14ac:dyDescent="0.25">
      <c r="A44" s="5" t="s">
        <v>41</v>
      </c>
      <c r="B44" s="1">
        <v>0.64400000000000002</v>
      </c>
      <c r="C44" s="1">
        <v>0.60699999999999998</v>
      </c>
      <c r="D44" s="1">
        <f>395</f>
        <v>395</v>
      </c>
      <c r="E44" s="1">
        <v>4.8000000000000001E-2</v>
      </c>
      <c r="F44" s="1" t="s">
        <v>51</v>
      </c>
      <c r="M44" s="22" t="s">
        <v>25</v>
      </c>
      <c r="N44" s="24" t="s">
        <v>81</v>
      </c>
    </row>
    <row r="45" spans="1:14" x14ac:dyDescent="0.25">
      <c r="A45" s="5" t="s">
        <v>39</v>
      </c>
      <c r="B45" s="17">
        <f>0.023*(I35^0.8)*(I36^0.3)</f>
        <v>120.76044373173043</v>
      </c>
      <c r="C45" s="17">
        <f>0.023*(J35^0.8)*(J36^0.4)</f>
        <v>53.755536614092264</v>
      </c>
      <c r="D45" s="1"/>
      <c r="E45" s="1"/>
      <c r="F45" s="1"/>
      <c r="M45" s="22" t="s">
        <v>36</v>
      </c>
      <c r="N45" s="24" t="s">
        <v>82</v>
      </c>
    </row>
    <row r="46" spans="1:14" x14ac:dyDescent="0.25">
      <c r="A46" s="5" t="s">
        <v>40</v>
      </c>
      <c r="B46" s="1">
        <f>(B45*B44)/I34</f>
        <v>9721.2157204042996</v>
      </c>
      <c r="C46" s="1">
        <f>(C45*C44)/J34</f>
        <v>6525.9221449507977</v>
      </c>
      <c r="D46" s="1"/>
      <c r="E46" s="1"/>
      <c r="F46" s="1" t="s">
        <v>43</v>
      </c>
      <c r="M46" s="22" t="s">
        <v>26</v>
      </c>
      <c r="N46" s="24" t="s">
        <v>85</v>
      </c>
    </row>
    <row r="47" spans="1:14" x14ac:dyDescent="0.25">
      <c r="A47" s="5" t="s">
        <v>42</v>
      </c>
      <c r="B47" s="1">
        <f>((1/(C46*B32))+(1/(B46*C32))+(10^-3/(D44*A32)))</f>
        <v>4.5302561913310967E-3</v>
      </c>
      <c r="C47" s="1"/>
      <c r="D47" s="1"/>
      <c r="E47" s="1"/>
      <c r="F47" s="1" t="s">
        <v>44</v>
      </c>
      <c r="M47" s="22" t="s">
        <v>29</v>
      </c>
      <c r="N47" s="24" t="s">
        <v>86</v>
      </c>
    </row>
    <row r="48" spans="1:14" x14ac:dyDescent="0.25">
      <c r="A48" s="5" t="s">
        <v>38</v>
      </c>
      <c r="B48" s="1">
        <f>1/B47</f>
        <v>220.73806817229388</v>
      </c>
      <c r="C48" s="1"/>
      <c r="D48" s="1"/>
      <c r="E48" s="1"/>
      <c r="F48" s="1" t="s">
        <v>43</v>
      </c>
      <c r="M48" s="22" t="s">
        <v>34</v>
      </c>
      <c r="N48" s="24" t="s">
        <v>87</v>
      </c>
    </row>
    <row r="49" spans="1:14" ht="17.25" x14ac:dyDescent="0.25">
      <c r="A49" s="5" t="s">
        <v>50</v>
      </c>
      <c r="B49" s="17">
        <f>B48/A32</f>
        <v>3919.6899370388041</v>
      </c>
      <c r="C49" s="1"/>
      <c r="D49" s="1"/>
      <c r="E49" s="1"/>
      <c r="F49" s="1" t="s">
        <v>54</v>
      </c>
      <c r="M49" s="22" t="s">
        <v>33</v>
      </c>
      <c r="N49" s="24" t="s">
        <v>88</v>
      </c>
    </row>
    <row r="50" spans="1:14" x14ac:dyDescent="0.25">
      <c r="M50" s="22" t="s">
        <v>12</v>
      </c>
      <c r="N50" s="24" t="s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45"/>
  <sheetViews>
    <sheetView topLeftCell="A18" zoomScale="106" zoomScaleNormal="106" workbookViewId="0">
      <selection activeCell="L31" sqref="L31"/>
    </sheetView>
  </sheetViews>
  <sheetFormatPr defaultRowHeight="15" x14ac:dyDescent="0.25"/>
  <cols>
    <col min="1" max="1" width="9.140625" style="4"/>
    <col min="2" max="2" width="10.5703125" style="4" customWidth="1"/>
    <col min="3" max="4" width="9.140625" style="4"/>
    <col min="5" max="5" width="11" style="4" customWidth="1"/>
    <col min="6" max="6" width="11.7109375" style="4" customWidth="1"/>
    <col min="7" max="7" width="11.85546875" style="4" customWidth="1"/>
    <col min="8" max="8" width="11.5703125" style="4" customWidth="1"/>
    <col min="9" max="9" width="11" style="4" customWidth="1"/>
    <col min="10" max="10" width="12" style="4" customWidth="1"/>
    <col min="11" max="11" width="10.7109375" style="4" customWidth="1"/>
    <col min="12" max="12" width="18.85546875" style="4" customWidth="1"/>
    <col min="13" max="14" width="9.140625" style="4"/>
    <col min="15" max="15" width="12.7109375" style="4" customWidth="1"/>
    <col min="16" max="16" width="11.7109375" style="4" customWidth="1"/>
    <col min="17" max="16384" width="9.140625" style="4"/>
  </cols>
  <sheetData>
    <row r="3" spans="3:11" x14ac:dyDescent="0.25">
      <c r="E3" s="6" t="s">
        <v>11</v>
      </c>
      <c r="F3" s="8" t="s">
        <v>10</v>
      </c>
      <c r="G3" s="7" t="s">
        <v>9</v>
      </c>
      <c r="H3" s="9" t="s">
        <v>8</v>
      </c>
    </row>
    <row r="4" spans="3:11" x14ac:dyDescent="0.25">
      <c r="C4" s="10" t="s">
        <v>6</v>
      </c>
      <c r="D4" s="10" t="s">
        <v>5</v>
      </c>
      <c r="E4" s="10" t="s">
        <v>0</v>
      </c>
      <c r="F4" s="10" t="s">
        <v>1</v>
      </c>
      <c r="G4" s="10" t="s">
        <v>2</v>
      </c>
      <c r="H4" s="10" t="s">
        <v>7</v>
      </c>
      <c r="I4" s="10" t="s">
        <v>3</v>
      </c>
      <c r="J4" s="10" t="s">
        <v>4</v>
      </c>
    </row>
    <row r="5" spans="3:11" x14ac:dyDescent="0.25">
      <c r="C5" s="11">
        <v>1</v>
      </c>
      <c r="D5" s="11">
        <v>0</v>
      </c>
      <c r="E5" s="11">
        <v>66</v>
      </c>
      <c r="F5" s="11">
        <v>35</v>
      </c>
      <c r="G5" s="11">
        <v>15</v>
      </c>
      <c r="H5" s="11">
        <v>48</v>
      </c>
      <c r="I5" s="11">
        <v>26</v>
      </c>
      <c r="J5" s="11">
        <v>20</v>
      </c>
    </row>
    <row r="6" spans="3:11" x14ac:dyDescent="0.25">
      <c r="C6" s="10">
        <v>2</v>
      </c>
      <c r="D6" s="10">
        <v>2</v>
      </c>
      <c r="E6" s="10">
        <v>68</v>
      </c>
      <c r="F6" s="10">
        <v>36</v>
      </c>
      <c r="G6" s="10">
        <v>16</v>
      </c>
      <c r="H6" s="10">
        <v>48</v>
      </c>
      <c r="I6" s="10">
        <v>27</v>
      </c>
      <c r="J6" s="10">
        <v>20</v>
      </c>
    </row>
    <row r="7" spans="3:11" x14ac:dyDescent="0.25">
      <c r="C7" s="11">
        <v>3</v>
      </c>
      <c r="D7" s="11">
        <v>4</v>
      </c>
      <c r="E7" s="11">
        <v>68</v>
      </c>
      <c r="F7" s="11">
        <v>36</v>
      </c>
      <c r="G7" s="11">
        <v>16</v>
      </c>
      <c r="H7" s="11">
        <v>48</v>
      </c>
      <c r="I7" s="11">
        <v>27</v>
      </c>
      <c r="J7" s="11">
        <v>20</v>
      </c>
    </row>
    <row r="8" spans="3:11" x14ac:dyDescent="0.25">
      <c r="C8" s="10">
        <v>4</v>
      </c>
      <c r="D8" s="10">
        <v>6</v>
      </c>
      <c r="E8" s="10">
        <v>63</v>
      </c>
      <c r="F8" s="10">
        <v>34</v>
      </c>
      <c r="G8" s="10">
        <v>16</v>
      </c>
      <c r="H8" s="10">
        <v>44</v>
      </c>
      <c r="I8" s="10">
        <v>26</v>
      </c>
      <c r="J8" s="10">
        <v>20</v>
      </c>
    </row>
    <row r="9" spans="3:11" x14ac:dyDescent="0.25">
      <c r="C9" s="11">
        <v>5</v>
      </c>
      <c r="D9" s="11">
        <v>8</v>
      </c>
      <c r="E9" s="11">
        <v>61</v>
      </c>
      <c r="F9" s="11">
        <v>32</v>
      </c>
      <c r="G9" s="11">
        <v>16</v>
      </c>
      <c r="H9" s="11">
        <v>42</v>
      </c>
      <c r="I9" s="11">
        <v>25</v>
      </c>
      <c r="J9" s="11">
        <v>20</v>
      </c>
      <c r="K9" s="18"/>
    </row>
    <row r="10" spans="3:11" x14ac:dyDescent="0.25">
      <c r="C10" s="10">
        <v>6</v>
      </c>
      <c r="D10" s="10">
        <v>10</v>
      </c>
      <c r="E10" s="10">
        <v>60</v>
      </c>
      <c r="F10" s="10">
        <v>32</v>
      </c>
      <c r="G10" s="10">
        <v>16</v>
      </c>
      <c r="H10" s="10">
        <v>42</v>
      </c>
      <c r="I10" s="10">
        <v>25</v>
      </c>
      <c r="J10" s="10">
        <v>20</v>
      </c>
      <c r="K10" s="18"/>
    </row>
    <row r="11" spans="3:11" x14ac:dyDescent="0.25">
      <c r="C11" s="11">
        <v>7</v>
      </c>
      <c r="D11" s="11">
        <v>12</v>
      </c>
      <c r="E11" s="11">
        <v>60</v>
      </c>
      <c r="F11" s="11">
        <v>31</v>
      </c>
      <c r="G11" s="11">
        <v>16</v>
      </c>
      <c r="H11" s="11">
        <v>42</v>
      </c>
      <c r="I11" s="11">
        <v>24</v>
      </c>
      <c r="J11" s="11">
        <v>20</v>
      </c>
      <c r="K11" s="18"/>
    </row>
    <row r="12" spans="3:11" x14ac:dyDescent="0.25">
      <c r="C12" s="10">
        <v>8</v>
      </c>
      <c r="D12" s="10">
        <v>14</v>
      </c>
      <c r="E12" s="10">
        <v>60</v>
      </c>
      <c r="F12" s="10">
        <v>32</v>
      </c>
      <c r="G12" s="10">
        <v>16</v>
      </c>
      <c r="H12" s="10">
        <v>42</v>
      </c>
      <c r="I12" s="10">
        <v>24</v>
      </c>
      <c r="J12" s="10">
        <v>20</v>
      </c>
      <c r="K12" s="18"/>
    </row>
    <row r="13" spans="3:11" x14ac:dyDescent="0.25">
      <c r="C13" s="11">
        <v>9</v>
      </c>
      <c r="D13" s="11">
        <v>16</v>
      </c>
      <c r="E13" s="11">
        <v>60</v>
      </c>
      <c r="F13" s="11">
        <v>32</v>
      </c>
      <c r="G13" s="11">
        <v>16</v>
      </c>
      <c r="H13" s="11">
        <v>42</v>
      </c>
      <c r="I13" s="11">
        <v>24</v>
      </c>
      <c r="J13" s="11">
        <v>20</v>
      </c>
      <c r="K13" s="18"/>
    </row>
    <row r="14" spans="3:11" x14ac:dyDescent="0.25">
      <c r="D14" s="4" t="s">
        <v>20</v>
      </c>
      <c r="E14" s="6">
        <v>60</v>
      </c>
      <c r="F14" s="8">
        <f>AVERAGE(F11:F13)</f>
        <v>31.666666666666668</v>
      </c>
      <c r="G14" s="7">
        <v>16</v>
      </c>
      <c r="H14" s="9">
        <v>42</v>
      </c>
      <c r="I14" s="12">
        <v>24</v>
      </c>
      <c r="J14" s="12">
        <v>20</v>
      </c>
      <c r="K14" s="18"/>
    </row>
    <row r="15" spans="3:11" x14ac:dyDescent="0.25">
      <c r="D15" s="4" t="s">
        <v>20</v>
      </c>
      <c r="E15" s="6">
        <v>60</v>
      </c>
      <c r="F15" s="8">
        <v>32</v>
      </c>
      <c r="G15" s="7">
        <v>16</v>
      </c>
      <c r="H15" s="9">
        <v>42</v>
      </c>
      <c r="I15" s="12">
        <v>24</v>
      </c>
      <c r="J15" s="12">
        <v>20</v>
      </c>
      <c r="K15" s="18"/>
    </row>
    <row r="16" spans="3:11" x14ac:dyDescent="0.25">
      <c r="D16" s="4" t="s">
        <v>46</v>
      </c>
      <c r="E16" s="6">
        <v>0</v>
      </c>
      <c r="F16" s="8">
        <v>0</v>
      </c>
      <c r="G16" s="7">
        <v>2</v>
      </c>
      <c r="H16" s="9">
        <v>2</v>
      </c>
      <c r="I16" s="12">
        <v>0.77</v>
      </c>
      <c r="J16" s="12">
        <v>1.23</v>
      </c>
      <c r="K16" s="18"/>
    </row>
    <row r="17" spans="1:17" x14ac:dyDescent="0.25">
      <c r="K17" s="18"/>
    </row>
    <row r="18" spans="1:17" x14ac:dyDescent="0.25">
      <c r="K18" s="18"/>
    </row>
    <row r="19" spans="1:17" x14ac:dyDescent="0.25">
      <c r="K19" s="18"/>
    </row>
    <row r="20" spans="1:17" x14ac:dyDescent="0.25">
      <c r="K20" s="18"/>
    </row>
    <row r="23" spans="1:17" x14ac:dyDescent="0.25">
      <c r="A23" s="5" t="s">
        <v>58</v>
      </c>
      <c r="B23" s="5" t="s">
        <v>59</v>
      </c>
      <c r="C23" s="5" t="s">
        <v>61</v>
      </c>
      <c r="D23" s="5" t="s">
        <v>62</v>
      </c>
      <c r="E23" s="5" t="s">
        <v>63</v>
      </c>
      <c r="I23" s="5" t="s">
        <v>72</v>
      </c>
      <c r="J23" s="5" t="s">
        <v>89</v>
      </c>
      <c r="K23" s="13"/>
      <c r="N23" s="2"/>
      <c r="O23" s="2"/>
      <c r="P23" s="2"/>
      <c r="Q23" s="2"/>
    </row>
    <row r="24" spans="1:17" x14ac:dyDescent="0.25">
      <c r="A24" s="1">
        <f>60+273.15</f>
        <v>333.15</v>
      </c>
      <c r="B24" s="1">
        <f>42+273.15</f>
        <v>315.14999999999998</v>
      </c>
      <c r="C24" s="1">
        <f>16+273.15</f>
        <v>289.14999999999998</v>
      </c>
      <c r="D24" s="1">
        <f>32+273.15</f>
        <v>305.14999999999998</v>
      </c>
      <c r="E24" s="14">
        <f>((A24-D24)-(B24-C24))/LN((A24-D24)/(B24-C24))</f>
        <v>26.987649801716461</v>
      </c>
      <c r="H24" s="5" t="s">
        <v>20</v>
      </c>
      <c r="I24" s="17">
        <f>((E14+H14)/2)+273.15</f>
        <v>324.14999999999998</v>
      </c>
      <c r="J24" s="17">
        <f>((F15+G15)/2)+273.15</f>
        <v>297.14999999999998</v>
      </c>
      <c r="K24" s="1" t="s">
        <v>28</v>
      </c>
      <c r="N24" s="2"/>
      <c r="O24" s="2"/>
      <c r="P24" s="2"/>
      <c r="Q24" s="2"/>
    </row>
    <row r="25" spans="1:17" ht="17.25" x14ac:dyDescent="0.25">
      <c r="H25" s="5" t="s">
        <v>19</v>
      </c>
      <c r="I25" s="17">
        <v>988.1</v>
      </c>
      <c r="J25" s="17">
        <v>997</v>
      </c>
      <c r="K25" s="1" t="s">
        <v>57</v>
      </c>
      <c r="N25" s="2"/>
      <c r="O25" s="2"/>
      <c r="P25" s="2"/>
      <c r="Q25" s="2"/>
    </row>
    <row r="26" spans="1:17" x14ac:dyDescent="0.25">
      <c r="A26" s="5" t="s">
        <v>30</v>
      </c>
      <c r="B26" s="5" t="s">
        <v>31</v>
      </c>
      <c r="C26" s="5" t="s">
        <v>32</v>
      </c>
      <c r="D26" s="2"/>
      <c r="H26" s="5" t="s">
        <v>49</v>
      </c>
      <c r="I26" s="16">
        <f>B30*I25</f>
        <v>9.5516333333333356E-2</v>
      </c>
      <c r="J26" s="16">
        <f>B30*J25</f>
        <v>9.637666666666668E-2</v>
      </c>
      <c r="K26" s="1" t="s">
        <v>21</v>
      </c>
      <c r="N26" s="2"/>
      <c r="O26" s="2"/>
      <c r="P26" s="2"/>
      <c r="Q26" s="2"/>
    </row>
    <row r="27" spans="1:17" ht="17.25" x14ac:dyDescent="0.25">
      <c r="A27" s="3">
        <f>(B27-C27)/(LN(B27/C27))</f>
        <v>5.6315186077971813E-2</v>
      </c>
      <c r="B27" s="3">
        <f>2*2*PI()*(5*10^-3)</f>
        <v>6.2831853071795868E-2</v>
      </c>
      <c r="C27" s="3">
        <f>2*2*PI()*(4*10^-3)</f>
        <v>5.0265482457436693E-2</v>
      </c>
      <c r="D27" s="1" t="s">
        <v>56</v>
      </c>
      <c r="H27" s="5" t="s">
        <v>22</v>
      </c>
      <c r="I27" s="16">
        <f>(4*10^-3)^2*PI()</f>
        <v>5.0265482457436686E-5</v>
      </c>
      <c r="J27" s="16">
        <f>((6.5*10^-3)^2*PI())-I27</f>
        <v>8.2466807156732111E-5</v>
      </c>
      <c r="K27" s="1" t="s">
        <v>56</v>
      </c>
      <c r="N27" s="2"/>
      <c r="O27" s="2"/>
      <c r="P27" s="2"/>
      <c r="Q27" s="2"/>
    </row>
    <row r="28" spans="1:17" x14ac:dyDescent="0.25">
      <c r="H28" s="5" t="s">
        <v>23</v>
      </c>
      <c r="I28" s="17">
        <f>B30/I27</f>
        <v>1.9231222290270691</v>
      </c>
      <c r="J28" s="17">
        <f>B30/J27</f>
        <v>1.1721887872164987</v>
      </c>
      <c r="K28" s="1" t="s">
        <v>24</v>
      </c>
      <c r="N28" s="2"/>
      <c r="O28" s="2"/>
      <c r="P28" s="2"/>
      <c r="Q28" s="2"/>
    </row>
    <row r="29" spans="1:17" x14ac:dyDescent="0.25">
      <c r="A29" s="5" t="s">
        <v>35</v>
      </c>
      <c r="B29" s="1">
        <f>(0.6*580)</f>
        <v>348</v>
      </c>
      <c r="C29" s="1" t="s">
        <v>18</v>
      </c>
      <c r="H29" s="21" t="s">
        <v>25</v>
      </c>
      <c r="I29" s="16">
        <f>0.547*10^-3</f>
        <v>5.4700000000000007E-4</v>
      </c>
      <c r="J29" s="16">
        <f>0.891*10^-3</f>
        <v>8.9100000000000008E-4</v>
      </c>
      <c r="K29" s="1" t="s">
        <v>52</v>
      </c>
      <c r="N29" s="2"/>
      <c r="O29" s="2"/>
      <c r="P29" s="2"/>
      <c r="Q29" s="2"/>
    </row>
    <row r="30" spans="1:17" ht="17.25" x14ac:dyDescent="0.25">
      <c r="A30" s="5" t="s">
        <v>35</v>
      </c>
      <c r="B30" s="1">
        <f>(B29*10^-3)/3600</f>
        <v>9.6666666666666681E-5</v>
      </c>
      <c r="C30" s="1" t="s">
        <v>60</v>
      </c>
      <c r="H30" s="5" t="s">
        <v>36</v>
      </c>
      <c r="I30" s="3">
        <f>8*10^-3</f>
        <v>8.0000000000000002E-3</v>
      </c>
      <c r="J30" s="3">
        <f>2*((6.5*10^-3)^(2)-(4*10^-3)^(2))/((4*10^-3)+(6.5*10^-3))</f>
        <v>5.0000000000000018E-3</v>
      </c>
      <c r="K30" s="1" t="s">
        <v>27</v>
      </c>
      <c r="N30" s="2"/>
      <c r="O30" s="2"/>
      <c r="P30" s="2"/>
      <c r="Q30" s="2"/>
    </row>
    <row r="31" spans="1:17" x14ac:dyDescent="0.25">
      <c r="H31" s="5" t="s">
        <v>26</v>
      </c>
      <c r="I31" s="17">
        <f>(I30*I25*I28)/I29</f>
        <v>27791.401455234321</v>
      </c>
      <c r="J31" s="17">
        <f>(J30*J25*J28)/J29</f>
        <v>6558.2055042359689</v>
      </c>
      <c r="K31" s="1"/>
      <c r="L31" s="25" t="s">
        <v>37</v>
      </c>
      <c r="N31" s="2"/>
      <c r="O31" s="2"/>
      <c r="P31" s="2"/>
      <c r="Q31" s="2"/>
    </row>
    <row r="32" spans="1:17" x14ac:dyDescent="0.25">
      <c r="H32" s="5" t="s">
        <v>29</v>
      </c>
      <c r="I32" s="17">
        <v>3.55</v>
      </c>
      <c r="J32" s="17">
        <v>6.14</v>
      </c>
      <c r="K32" s="1"/>
      <c r="N32" s="2"/>
      <c r="O32" s="2"/>
      <c r="P32" s="2"/>
      <c r="Q32" s="2"/>
    </row>
    <row r="33" spans="1:17" x14ac:dyDescent="0.25">
      <c r="H33" s="5" t="s">
        <v>34</v>
      </c>
      <c r="I33" s="1">
        <v>4181</v>
      </c>
      <c r="J33" s="1">
        <v>4180</v>
      </c>
      <c r="K33" s="1" t="s">
        <v>53</v>
      </c>
      <c r="N33" s="2"/>
      <c r="O33" s="2"/>
      <c r="P33" s="2"/>
      <c r="Q33" s="2"/>
    </row>
    <row r="34" spans="1:17" ht="17.25" x14ac:dyDescent="0.25">
      <c r="H34" s="5" t="s">
        <v>33</v>
      </c>
      <c r="I34" s="17">
        <f>I26*I33*(H15-E15)</f>
        <v>-7188.3682140000019</v>
      </c>
      <c r="J34" s="17">
        <f>J33*J26*(F15-G15)</f>
        <v>6445.6714666666676</v>
      </c>
      <c r="K34" s="1" t="s">
        <v>55</v>
      </c>
      <c r="N34" s="2"/>
      <c r="O34" s="2"/>
      <c r="P34" s="2"/>
      <c r="Q34" s="2"/>
    </row>
    <row r="35" spans="1:17" x14ac:dyDescent="0.25">
      <c r="H35" s="5" t="s">
        <v>38</v>
      </c>
      <c r="I35" s="17">
        <f>I34/E24</f>
        <v>-266.35769571690565</v>
      </c>
      <c r="J35" s="17">
        <f>J34/E24</f>
        <v>238.83782078188636</v>
      </c>
      <c r="K35" s="1" t="s">
        <v>43</v>
      </c>
      <c r="N35" s="2"/>
      <c r="O35" s="2"/>
      <c r="P35" s="2"/>
      <c r="Q35" s="2"/>
    </row>
    <row r="36" spans="1:17" x14ac:dyDescent="0.25">
      <c r="H36" s="5" t="s">
        <v>50</v>
      </c>
      <c r="I36" s="17">
        <f>I35/A27</f>
        <v>-4729.7667692710302</v>
      </c>
      <c r="J36" s="17">
        <f>J35/A27</f>
        <v>4241.0908569351222</v>
      </c>
      <c r="K36" s="1"/>
    </row>
    <row r="39" spans="1:17" x14ac:dyDescent="0.25">
      <c r="A39" s="5" t="s">
        <v>45</v>
      </c>
      <c r="B39" s="5" t="s">
        <v>72</v>
      </c>
      <c r="C39" s="5" t="s">
        <v>73</v>
      </c>
      <c r="D39" s="5" t="s">
        <v>47</v>
      </c>
      <c r="E39" s="5" t="s">
        <v>48</v>
      </c>
      <c r="F39" s="1"/>
    </row>
    <row r="40" spans="1:17" x14ac:dyDescent="0.25">
      <c r="A40" s="5" t="s">
        <v>41</v>
      </c>
      <c r="B40" s="1">
        <v>0.64400000000000002</v>
      </c>
      <c r="C40" s="1">
        <v>0.60699999999999998</v>
      </c>
      <c r="D40" s="1">
        <f>395</f>
        <v>395</v>
      </c>
      <c r="E40" s="1">
        <v>4.8000000000000001E-2</v>
      </c>
      <c r="F40" s="1" t="s">
        <v>51</v>
      </c>
    </row>
    <row r="41" spans="1:17" x14ac:dyDescent="0.25">
      <c r="A41" s="5" t="s">
        <v>39</v>
      </c>
      <c r="B41" s="3">
        <f>0.023*(I31^0.8)*(I32^0.3)</f>
        <v>120.76044373173043</v>
      </c>
      <c r="C41" s="1">
        <f>0.023*(J31^0.8)*(J32^0.4)</f>
        <v>53.755536614092264</v>
      </c>
      <c r="D41" s="1"/>
      <c r="E41" s="1"/>
      <c r="F41" s="1"/>
    </row>
    <row r="42" spans="1:17" x14ac:dyDescent="0.25">
      <c r="A42" s="5" t="s">
        <v>40</v>
      </c>
      <c r="B42" s="3">
        <f>(B41*B40)/I30</f>
        <v>9721.2157204042996</v>
      </c>
      <c r="C42" s="1">
        <f>(C41*C40)/J30</f>
        <v>6525.9221449507977</v>
      </c>
      <c r="D42" s="1"/>
      <c r="E42" s="1"/>
      <c r="F42" s="1" t="s">
        <v>43</v>
      </c>
    </row>
    <row r="43" spans="1:17" x14ac:dyDescent="0.25">
      <c r="A43" s="5" t="s">
        <v>42</v>
      </c>
      <c r="B43" s="1">
        <f>((1/(C42*B27))+(1/(B42*C27))+(10^-3/(D40*A27)))</f>
        <v>4.5302561913310967E-3</v>
      </c>
      <c r="C43" s="1"/>
      <c r="D43" s="1"/>
      <c r="E43" s="1"/>
      <c r="F43" s="1" t="s">
        <v>44</v>
      </c>
    </row>
    <row r="44" spans="1:17" x14ac:dyDescent="0.25">
      <c r="A44" s="5" t="s">
        <v>38</v>
      </c>
      <c r="B44" s="1">
        <f>1/B43</f>
        <v>220.73806817229388</v>
      </c>
      <c r="C44" s="1"/>
      <c r="D44" s="1"/>
      <c r="E44" s="1"/>
      <c r="F44" s="1" t="s">
        <v>43</v>
      </c>
    </row>
    <row r="45" spans="1:17" ht="17.25" x14ac:dyDescent="0.25">
      <c r="A45" s="5" t="s">
        <v>50</v>
      </c>
      <c r="B45" s="17">
        <f>B44/A27</f>
        <v>3919.6899370388041</v>
      </c>
      <c r="C45" s="1"/>
      <c r="D45" s="1"/>
      <c r="E45" s="1"/>
      <c r="F45" s="20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co-corrente</vt:lpstr>
      <vt:lpstr>contra-corrente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2015-06-05T18:17:20Z</dcterms:created>
  <dcterms:modified xsi:type="dcterms:W3CDTF">2023-04-26T09:27:14Z</dcterms:modified>
</cp:coreProperties>
</file>