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77b0a6c000fa77ef/Ambiente de Trabalho/Universidade M/LIEB/DEB/TC2/"/>
    </mc:Choice>
  </mc:AlternateContent>
  <xr:revisionPtr revIDLastSave="579" documentId="13_ncr:1_{165F9F73-062E-41E5-A17D-C14B4E0DE6FE}" xr6:coauthVersionLast="47" xr6:coauthVersionMax="47" xr10:uidLastSave="{24A2C618-6813-49EE-A660-DBECFF90BDEF}"/>
  <bookViews>
    <workbookView xWindow="-120" yWindow="-120" windowWidth="20730" windowHeight="11040" firstSheet="1" activeTab="3" xr2:uid="{00000000-000D-0000-FFFF-FFFF00000000}"/>
  </bookViews>
  <sheets>
    <sheet name="tudo" sheetId="1" r:id="rId1"/>
    <sheet name="esfera metalica" sheetId="4" r:id="rId2"/>
    <sheet name="cilindro metalico" sheetId="2" r:id="rId3"/>
    <sheet name="cilindro acrilico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4" i="3" l="1"/>
  <c r="P14" i="3"/>
  <c r="S25" i="3"/>
  <c r="S31" i="3" s="1"/>
  <c r="P25" i="3"/>
  <c r="P31" i="3" s="1"/>
  <c r="S12" i="3"/>
  <c r="P12" i="3"/>
  <c r="S25" i="4"/>
  <c r="P25" i="4"/>
  <c r="S23" i="4"/>
  <c r="P23" i="4"/>
  <c r="P21" i="4"/>
  <c r="S18" i="4"/>
  <c r="P18" i="4"/>
  <c r="H18" i="3"/>
  <c r="H17" i="3"/>
  <c r="H16" i="3"/>
  <c r="S17" i="4"/>
  <c r="P17" i="4"/>
  <c r="P16" i="4"/>
  <c r="S15" i="4"/>
  <c r="S14" i="4"/>
  <c r="P14" i="4"/>
  <c r="S12" i="4"/>
  <c r="P12" i="4"/>
  <c r="K25" i="4"/>
  <c r="H25" i="4"/>
  <c r="K21" i="4"/>
  <c r="H21" i="4"/>
  <c r="H12" i="2"/>
  <c r="S21" i="4"/>
  <c r="H7" i="4"/>
  <c r="L6" i="4"/>
  <c r="L5" i="4"/>
  <c r="S23" i="2"/>
  <c r="P25" i="2"/>
  <c r="S33" i="2"/>
  <c r="S35" i="2" s="1"/>
  <c r="P33" i="2"/>
  <c r="P35" i="2"/>
  <c r="P31" i="2"/>
  <c r="P26" i="2"/>
  <c r="S25" i="2"/>
  <c r="P23" i="2"/>
  <c r="S21" i="2"/>
  <c r="P21" i="2"/>
  <c r="S18" i="2"/>
  <c r="P18" i="2"/>
  <c r="S17" i="2"/>
  <c r="P17" i="2"/>
  <c r="P16" i="2"/>
  <c r="S15" i="2"/>
  <c r="P15" i="2"/>
  <c r="S14" i="2"/>
  <c r="S16" i="2" s="1"/>
  <c r="P14" i="2"/>
  <c r="S12" i="2"/>
  <c r="P12" i="2"/>
  <c r="S31" i="2"/>
  <c r="H35" i="2"/>
  <c r="K35" i="2"/>
  <c r="K31" i="2"/>
  <c r="H31" i="2"/>
  <c r="H26" i="2"/>
  <c r="K25" i="2"/>
  <c r="H25" i="2"/>
  <c r="K23" i="2"/>
  <c r="H23" i="2"/>
  <c r="K21" i="2"/>
  <c r="H21" i="2"/>
  <c r="K18" i="2"/>
  <c r="H18" i="2"/>
  <c r="K17" i="2"/>
  <c r="H17" i="2"/>
  <c r="K15" i="2"/>
  <c r="H15" i="2"/>
  <c r="K14" i="2"/>
  <c r="H14" i="2"/>
  <c r="H16" i="2" s="1"/>
  <c r="K12" i="2"/>
  <c r="H7" i="2"/>
  <c r="L6" i="2"/>
  <c r="L5" i="2"/>
  <c r="K35" i="3"/>
  <c r="H35" i="3"/>
  <c r="K25" i="3"/>
  <c r="K26" i="3"/>
  <c r="H21" i="3"/>
  <c r="H31" i="3"/>
  <c r="S21" i="3"/>
  <c r="P21" i="3"/>
  <c r="K21" i="3"/>
  <c r="H25" i="3"/>
  <c r="K23" i="3"/>
  <c r="L6" i="3"/>
  <c r="L5" i="3"/>
  <c r="H14" i="3" s="1"/>
  <c r="H15" i="3" s="1"/>
  <c r="K12" i="3"/>
  <c r="B40" i="3"/>
  <c r="H7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P15" i="3" l="1"/>
  <c r="P16" i="3" s="1"/>
  <c r="P17" i="3" s="1"/>
  <c r="S16" i="4"/>
  <c r="H12" i="4"/>
  <c r="H23" i="4" s="1"/>
  <c r="H14" i="4"/>
  <c r="H15" i="4" s="1"/>
  <c r="H16" i="4" s="1"/>
  <c r="H17" i="4" s="1"/>
  <c r="H18" i="4" s="1"/>
  <c r="K14" i="4"/>
  <c r="K15" i="4" s="1"/>
  <c r="K16" i="4" s="1"/>
  <c r="K17" i="4" s="1"/>
  <c r="K18" i="4" s="1"/>
  <c r="K12" i="4"/>
  <c r="K23" i="4" s="1"/>
  <c r="P15" i="4"/>
  <c r="S26" i="2"/>
  <c r="K16" i="2"/>
  <c r="K26" i="2" s="1"/>
  <c r="K33" i="2"/>
  <c r="H33" i="2"/>
  <c r="K31" i="3"/>
  <c r="K33" i="3" s="1"/>
  <c r="P18" i="3"/>
  <c r="P26" i="3"/>
  <c r="H26" i="3"/>
  <c r="P23" i="3"/>
  <c r="P33" i="3" s="1"/>
  <c r="P35" i="3" s="1"/>
  <c r="S23" i="3"/>
  <c r="S33" i="3" s="1"/>
  <c r="S35" i="3" s="1"/>
  <c r="S15" i="3"/>
  <c r="S16" i="3" s="1"/>
  <c r="S17" i="3" s="1"/>
  <c r="K14" i="3"/>
  <c r="K15" i="3" s="1"/>
  <c r="K16" i="3" s="1"/>
  <c r="K17" i="3" s="1"/>
  <c r="H12" i="3"/>
  <c r="H23" i="3" s="1"/>
  <c r="H33" i="3" s="1"/>
  <c r="K18" i="3" l="1"/>
  <c r="S18" i="3"/>
  <c r="S26" i="3"/>
</calcChain>
</file>

<file path=xl/sharedStrings.xml><?xml version="1.0" encoding="utf-8"?>
<sst xmlns="http://schemas.openxmlformats.org/spreadsheetml/2006/main" count="345" uniqueCount="58">
  <si>
    <t>Tempo</t>
  </si>
  <si>
    <t>Temperatura Exterior</t>
  </si>
  <si>
    <t xml:space="preserve">Temperatura Interior </t>
  </si>
  <si>
    <t>T água</t>
  </si>
  <si>
    <t>69,8 ºC</t>
  </si>
  <si>
    <t>3.1</t>
  </si>
  <si>
    <t>Diametro</t>
  </si>
  <si>
    <t>Buraco mais fundo</t>
  </si>
  <si>
    <t>Buraco menos fundo</t>
  </si>
  <si>
    <t>Altura</t>
  </si>
  <si>
    <t>Só usar 1 minuto para comparar com teoricos</t>
  </si>
  <si>
    <t>Justificar</t>
  </si>
  <si>
    <t>69,9 ºC</t>
  </si>
  <si>
    <t>Cilindro metalico</t>
  </si>
  <si>
    <t>esfera metalica</t>
  </si>
  <si>
    <t>cilindro acrilico</t>
  </si>
  <si>
    <t>interior fica + quente pq acumula calor (baixa condutividade = calor fica preso)</t>
  </si>
  <si>
    <t>condutividade elevada = temperaturas iguais</t>
  </si>
  <si>
    <t>min</t>
  </si>
  <si>
    <t>s</t>
  </si>
  <si>
    <t>k</t>
  </si>
  <si>
    <t>W/mK</t>
  </si>
  <si>
    <t>ρ</t>
  </si>
  <si>
    <t>cp</t>
  </si>
  <si>
    <t>kg/m3</t>
  </si>
  <si>
    <t>J/kgK</t>
  </si>
  <si>
    <t>Acrilico</t>
  </si>
  <si>
    <r>
      <t>D</t>
    </r>
    <r>
      <rPr>
        <vertAlign val="subscript"/>
        <sz val="11"/>
        <color theme="1"/>
        <rFont val="Calibri"/>
        <family val="2"/>
        <scheme val="minor"/>
      </rPr>
      <t>H</t>
    </r>
  </si>
  <si>
    <t>τ</t>
  </si>
  <si>
    <t>mais profundo</t>
  </si>
  <si>
    <t>calculo do h</t>
  </si>
  <si>
    <t>menos profundo</t>
  </si>
  <si>
    <t>Gr</t>
  </si>
  <si>
    <t>água</t>
  </si>
  <si>
    <t>β</t>
  </si>
  <si>
    <t>μ</t>
  </si>
  <si>
    <t>K-1</t>
  </si>
  <si>
    <t>J/kg K</t>
  </si>
  <si>
    <t>Pr</t>
  </si>
  <si>
    <t>(70ºC)</t>
  </si>
  <si>
    <t>Ra</t>
  </si>
  <si>
    <t>Nu</t>
  </si>
  <si>
    <t>h</t>
  </si>
  <si>
    <t>W/(m2K)</t>
  </si>
  <si>
    <t>Bi</t>
  </si>
  <si>
    <t>λ1</t>
  </si>
  <si>
    <t>A1</t>
  </si>
  <si>
    <t>ξ</t>
  </si>
  <si>
    <t>J0</t>
  </si>
  <si>
    <t>θradial</t>
  </si>
  <si>
    <t>θaxial</t>
  </si>
  <si>
    <t>θtotal</t>
  </si>
  <si>
    <t>T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</si>
  <si>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</t>
    </r>
  </si>
  <si>
    <t>metal</t>
  </si>
  <si>
    <r>
      <t>D</t>
    </r>
    <r>
      <rPr>
        <vertAlign val="subscript"/>
        <sz val="11"/>
        <rFont val="Calibri"/>
        <family val="2"/>
        <scheme val="minor"/>
      </rPr>
      <t>H</t>
    </r>
  </si>
  <si>
    <r>
      <t>m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/s</t>
    </r>
  </si>
  <si>
    <t xml:space="preserve">Diametro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</si>
</sst>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Arial"/>
      <family val="2"/>
    </font>
    <font>
      <vertAlign val="sub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7" borderId="2" applyNumberFormat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3" borderId="1" xfId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4" borderId="1" xfId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6" borderId="1" xfId="1" applyFill="1" applyAlignment="1">
      <alignment horizontal="center" vertical="center"/>
    </xf>
    <xf numFmtId="0" fontId="5" fillId="7" borderId="2" xfId="2" applyFont="1" applyAlignment="1">
      <alignment horizontal="center" vertical="center"/>
    </xf>
    <xf numFmtId="164" fontId="5" fillId="7" borderId="2" xfId="2" applyNumberFormat="1" applyFont="1" applyAlignment="1">
      <alignment horizontal="center" vertical="center"/>
    </xf>
    <xf numFmtId="0" fontId="5" fillId="8" borderId="2" xfId="2" applyFont="1" applyFill="1" applyAlignment="1">
      <alignment horizontal="center" vertical="center"/>
    </xf>
    <xf numFmtId="0" fontId="5" fillId="9" borderId="2" xfId="2" applyFont="1" applyFill="1" applyAlignment="1">
      <alignment horizontal="center" vertical="center"/>
    </xf>
    <xf numFmtId="0" fontId="6" fillId="7" borderId="2" xfId="2" applyFont="1" applyAlignment="1">
      <alignment horizontal="center" vertical="center"/>
    </xf>
    <xf numFmtId="0" fontId="6" fillId="8" borderId="2" xfId="2" applyFont="1" applyFill="1" applyAlignment="1">
      <alignment horizontal="center" vertical="center"/>
    </xf>
    <xf numFmtId="0" fontId="6" fillId="9" borderId="2" xfId="2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7" borderId="2" xfId="2" applyFont="1" applyAlignment="1">
      <alignment horizontal="center"/>
    </xf>
    <xf numFmtId="0" fontId="5" fillId="7" borderId="2" xfId="2" applyFont="1" applyAlignment="1">
      <alignment horizontal="center"/>
    </xf>
    <xf numFmtId="164" fontId="5" fillId="7" borderId="2" xfId="2" applyNumberFormat="1" applyFont="1" applyAlignment="1">
      <alignment horizontal="center"/>
    </xf>
    <xf numFmtId="0" fontId="6" fillId="8" borderId="2" xfId="2" applyFont="1" applyFill="1" applyAlignment="1">
      <alignment horizontal="center"/>
    </xf>
    <xf numFmtId="0" fontId="5" fillId="8" borderId="2" xfId="2" applyFont="1" applyFill="1" applyAlignment="1">
      <alignment horizontal="center"/>
    </xf>
    <xf numFmtId="0" fontId="8" fillId="0" borderId="0" xfId="0" applyFont="1" applyAlignment="1">
      <alignment horizontal="center"/>
    </xf>
    <xf numFmtId="0" fontId="1" fillId="8" borderId="1" xfId="1" applyFill="1" applyAlignment="1">
      <alignment horizontal="center" vertical="center"/>
    </xf>
  </cellXfs>
  <cellStyles count="3">
    <cellStyle name="Entrada" xfId="2" builtinId="20"/>
    <cellStyle name="Normal" xfId="0" builtinId="0"/>
    <cellStyle name="Saí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Cilindro</a:t>
            </a:r>
            <a:r>
              <a:rPr lang="pt-PT" baseline="0"/>
              <a:t> metálico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interior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tudo!$B$4:$B$21</c:f>
              <c:numCache>
                <c:formatCode>General</c:formatCode>
                <c:ptCount val="18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</c:numCache>
            </c:numRef>
          </c:xVal>
          <c:yVal>
            <c:numRef>
              <c:f>tudo!$C$4:$C$21</c:f>
              <c:numCache>
                <c:formatCode>General</c:formatCode>
                <c:ptCount val="18"/>
                <c:pt idx="0">
                  <c:v>25.9</c:v>
                </c:pt>
                <c:pt idx="1">
                  <c:v>59.1</c:v>
                </c:pt>
                <c:pt idx="2">
                  <c:v>67</c:v>
                </c:pt>
                <c:pt idx="3">
                  <c:v>68.900000000000006</c:v>
                </c:pt>
                <c:pt idx="4">
                  <c:v>69.2</c:v>
                </c:pt>
                <c:pt idx="5">
                  <c:v>69.3</c:v>
                </c:pt>
                <c:pt idx="6">
                  <c:v>69.3</c:v>
                </c:pt>
                <c:pt idx="7">
                  <c:v>69.3</c:v>
                </c:pt>
                <c:pt idx="8">
                  <c:v>69.400000000000006</c:v>
                </c:pt>
                <c:pt idx="9">
                  <c:v>69.400000000000006</c:v>
                </c:pt>
                <c:pt idx="10">
                  <c:v>69.400000000000006</c:v>
                </c:pt>
                <c:pt idx="11">
                  <c:v>69.400000000000006</c:v>
                </c:pt>
                <c:pt idx="12">
                  <c:v>69.400000000000006</c:v>
                </c:pt>
                <c:pt idx="13">
                  <c:v>69.400000000000006</c:v>
                </c:pt>
                <c:pt idx="14">
                  <c:v>69.5</c:v>
                </c:pt>
                <c:pt idx="15">
                  <c:v>69.5</c:v>
                </c:pt>
                <c:pt idx="16">
                  <c:v>69.5</c:v>
                </c:pt>
                <c:pt idx="17">
                  <c:v>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B4-40F1-AAE6-7AD17277132E}"/>
            </c:ext>
          </c:extLst>
        </c:ser>
        <c:ser>
          <c:idx val="1"/>
          <c:order val="1"/>
          <c:tx>
            <c:v>exterior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tudo!$B$4:$B$21</c:f>
              <c:numCache>
                <c:formatCode>General</c:formatCode>
                <c:ptCount val="18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</c:numCache>
            </c:numRef>
          </c:xVal>
          <c:yVal>
            <c:numRef>
              <c:f>tudo!$D$4:$D$21</c:f>
              <c:numCache>
                <c:formatCode>General</c:formatCode>
                <c:ptCount val="18"/>
                <c:pt idx="0">
                  <c:v>26.3</c:v>
                </c:pt>
                <c:pt idx="1">
                  <c:v>59</c:v>
                </c:pt>
                <c:pt idx="2">
                  <c:v>67.2</c:v>
                </c:pt>
                <c:pt idx="3">
                  <c:v>69.099999999999994</c:v>
                </c:pt>
                <c:pt idx="4">
                  <c:v>69.599999999999994</c:v>
                </c:pt>
                <c:pt idx="5">
                  <c:v>69.8</c:v>
                </c:pt>
                <c:pt idx="6">
                  <c:v>69.8</c:v>
                </c:pt>
                <c:pt idx="7">
                  <c:v>69.8</c:v>
                </c:pt>
                <c:pt idx="8">
                  <c:v>69.8</c:v>
                </c:pt>
                <c:pt idx="9">
                  <c:v>69.900000000000006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70.099999999999994</c:v>
                </c:pt>
                <c:pt idx="14">
                  <c:v>70.099999999999994</c:v>
                </c:pt>
                <c:pt idx="15">
                  <c:v>70.2</c:v>
                </c:pt>
                <c:pt idx="16">
                  <c:v>70.2</c:v>
                </c:pt>
                <c:pt idx="17">
                  <c:v>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B4-40F1-AAE6-7AD172771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852943"/>
        <c:axId val="2093859663"/>
      </c:scatterChart>
      <c:valAx>
        <c:axId val="209385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93859663"/>
        <c:crosses val="autoZero"/>
        <c:crossBetween val="midCat"/>
      </c:valAx>
      <c:valAx>
        <c:axId val="209385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93852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interior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tudo!$J$4:$J$21</c:f>
              <c:numCache>
                <c:formatCode>General</c:formatCode>
                <c:ptCount val="18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</c:numCache>
            </c:numRef>
          </c:xVal>
          <c:yVal>
            <c:numRef>
              <c:f>tudo!$K$4:$K$21</c:f>
              <c:numCache>
                <c:formatCode>General</c:formatCode>
                <c:ptCount val="18"/>
                <c:pt idx="0">
                  <c:v>30.1</c:v>
                </c:pt>
                <c:pt idx="1">
                  <c:v>52.3</c:v>
                </c:pt>
                <c:pt idx="2">
                  <c:v>62.3</c:v>
                </c:pt>
                <c:pt idx="3">
                  <c:v>66.400000000000006</c:v>
                </c:pt>
                <c:pt idx="4">
                  <c:v>68.3</c:v>
                </c:pt>
                <c:pt idx="5">
                  <c:v>69.099999999999994</c:v>
                </c:pt>
                <c:pt idx="6">
                  <c:v>69.3</c:v>
                </c:pt>
                <c:pt idx="7">
                  <c:v>69.599999999999994</c:v>
                </c:pt>
                <c:pt idx="8">
                  <c:v>69.7</c:v>
                </c:pt>
                <c:pt idx="9">
                  <c:v>69.7</c:v>
                </c:pt>
                <c:pt idx="10">
                  <c:v>69.7</c:v>
                </c:pt>
                <c:pt idx="11">
                  <c:v>69.7</c:v>
                </c:pt>
                <c:pt idx="12">
                  <c:v>69.7</c:v>
                </c:pt>
                <c:pt idx="13">
                  <c:v>69.7</c:v>
                </c:pt>
                <c:pt idx="14">
                  <c:v>69.7</c:v>
                </c:pt>
                <c:pt idx="15">
                  <c:v>69.8</c:v>
                </c:pt>
                <c:pt idx="16">
                  <c:v>69.8</c:v>
                </c:pt>
                <c:pt idx="17">
                  <c:v>69.8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66-4E3A-B6C2-3CC1BF02D7B8}"/>
            </c:ext>
          </c:extLst>
        </c:ser>
        <c:ser>
          <c:idx val="1"/>
          <c:order val="1"/>
          <c:tx>
            <c:v>exterior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tudo!$J$4:$J$21</c:f>
              <c:numCache>
                <c:formatCode>General</c:formatCode>
                <c:ptCount val="18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</c:numCache>
            </c:numRef>
          </c:xVal>
          <c:yVal>
            <c:numRef>
              <c:f>tudo!$L$4:$L$21</c:f>
              <c:numCache>
                <c:formatCode>General</c:formatCode>
                <c:ptCount val="18"/>
                <c:pt idx="0">
                  <c:v>30.4</c:v>
                </c:pt>
                <c:pt idx="1">
                  <c:v>52.9</c:v>
                </c:pt>
                <c:pt idx="2">
                  <c:v>62.6</c:v>
                </c:pt>
                <c:pt idx="3">
                  <c:v>66.8</c:v>
                </c:pt>
                <c:pt idx="4">
                  <c:v>68.7</c:v>
                </c:pt>
                <c:pt idx="5">
                  <c:v>69.400000000000006</c:v>
                </c:pt>
                <c:pt idx="6">
                  <c:v>69.8</c:v>
                </c:pt>
                <c:pt idx="7">
                  <c:v>69.900000000000006</c:v>
                </c:pt>
                <c:pt idx="8">
                  <c:v>70</c:v>
                </c:pt>
                <c:pt idx="9">
                  <c:v>70</c:v>
                </c:pt>
                <c:pt idx="10">
                  <c:v>69.900000000000006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66-4E3A-B6C2-3CC1BF02D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847663"/>
        <c:axId val="2093854383"/>
      </c:scatterChart>
      <c:valAx>
        <c:axId val="209384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93854383"/>
        <c:crosses val="autoZero"/>
        <c:crossBetween val="midCat"/>
      </c:valAx>
      <c:valAx>
        <c:axId val="209385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93847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interior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tudo!$O$4:$O$39</c:f>
              <c:numCache>
                <c:formatCode>General</c:formatCode>
                <c:ptCount val="3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360</c:v>
                </c:pt>
                <c:pt idx="12">
                  <c:v>420</c:v>
                </c:pt>
                <c:pt idx="13">
                  <c:v>480</c:v>
                </c:pt>
                <c:pt idx="14">
                  <c:v>540</c:v>
                </c:pt>
                <c:pt idx="15">
                  <c:v>600</c:v>
                </c:pt>
                <c:pt idx="16">
                  <c:v>660</c:v>
                </c:pt>
                <c:pt idx="17">
                  <c:v>780</c:v>
                </c:pt>
                <c:pt idx="18">
                  <c:v>900</c:v>
                </c:pt>
                <c:pt idx="19">
                  <c:v>1020</c:v>
                </c:pt>
                <c:pt idx="20">
                  <c:v>1140</c:v>
                </c:pt>
                <c:pt idx="21">
                  <c:v>1260</c:v>
                </c:pt>
                <c:pt idx="22">
                  <c:v>1380</c:v>
                </c:pt>
                <c:pt idx="23">
                  <c:v>1500</c:v>
                </c:pt>
                <c:pt idx="24">
                  <c:v>1620</c:v>
                </c:pt>
                <c:pt idx="25">
                  <c:v>1740</c:v>
                </c:pt>
                <c:pt idx="26">
                  <c:v>1860</c:v>
                </c:pt>
                <c:pt idx="27">
                  <c:v>1980</c:v>
                </c:pt>
                <c:pt idx="28">
                  <c:v>2100</c:v>
                </c:pt>
                <c:pt idx="29">
                  <c:v>2220</c:v>
                </c:pt>
                <c:pt idx="30">
                  <c:v>2340</c:v>
                </c:pt>
                <c:pt idx="31">
                  <c:v>2460</c:v>
                </c:pt>
                <c:pt idx="32">
                  <c:v>2760</c:v>
                </c:pt>
                <c:pt idx="33">
                  <c:v>3060</c:v>
                </c:pt>
                <c:pt idx="34">
                  <c:v>3360</c:v>
                </c:pt>
                <c:pt idx="35">
                  <c:v>3660</c:v>
                </c:pt>
              </c:numCache>
            </c:numRef>
          </c:xVal>
          <c:yVal>
            <c:numRef>
              <c:f>tudo!$P$4:$P$39</c:f>
              <c:numCache>
                <c:formatCode>General</c:formatCode>
                <c:ptCount val="36"/>
                <c:pt idx="0">
                  <c:v>25.4</c:v>
                </c:pt>
                <c:pt idx="1">
                  <c:v>25.7</c:v>
                </c:pt>
                <c:pt idx="2">
                  <c:v>25.7</c:v>
                </c:pt>
                <c:pt idx="3">
                  <c:v>25.8</c:v>
                </c:pt>
                <c:pt idx="4">
                  <c:v>25.8</c:v>
                </c:pt>
                <c:pt idx="5">
                  <c:v>25.9</c:v>
                </c:pt>
                <c:pt idx="6">
                  <c:v>25.9</c:v>
                </c:pt>
                <c:pt idx="7">
                  <c:v>26</c:v>
                </c:pt>
                <c:pt idx="8">
                  <c:v>26.1</c:v>
                </c:pt>
                <c:pt idx="9">
                  <c:v>26.2</c:v>
                </c:pt>
                <c:pt idx="10">
                  <c:v>26.4</c:v>
                </c:pt>
                <c:pt idx="11">
                  <c:v>27</c:v>
                </c:pt>
                <c:pt idx="12">
                  <c:v>27.7</c:v>
                </c:pt>
                <c:pt idx="13">
                  <c:v>28.6</c:v>
                </c:pt>
                <c:pt idx="14">
                  <c:v>29.6</c:v>
                </c:pt>
                <c:pt idx="15">
                  <c:v>30.8</c:v>
                </c:pt>
                <c:pt idx="16">
                  <c:v>32.1</c:v>
                </c:pt>
                <c:pt idx="17">
                  <c:v>34.9</c:v>
                </c:pt>
                <c:pt idx="18">
                  <c:v>37.6</c:v>
                </c:pt>
                <c:pt idx="19">
                  <c:v>40.299999999999997</c:v>
                </c:pt>
                <c:pt idx="20">
                  <c:v>43</c:v>
                </c:pt>
                <c:pt idx="21">
                  <c:v>45.3</c:v>
                </c:pt>
                <c:pt idx="22">
                  <c:v>47.6</c:v>
                </c:pt>
                <c:pt idx="23">
                  <c:v>49.7</c:v>
                </c:pt>
                <c:pt idx="24">
                  <c:v>51.6</c:v>
                </c:pt>
                <c:pt idx="25">
                  <c:v>53.3</c:v>
                </c:pt>
                <c:pt idx="26">
                  <c:v>54.9</c:v>
                </c:pt>
                <c:pt idx="27">
                  <c:v>56.4</c:v>
                </c:pt>
                <c:pt idx="28">
                  <c:v>57.5</c:v>
                </c:pt>
                <c:pt idx="29">
                  <c:v>59.2</c:v>
                </c:pt>
                <c:pt idx="30">
                  <c:v>60.2</c:v>
                </c:pt>
                <c:pt idx="31">
                  <c:v>60.8</c:v>
                </c:pt>
                <c:pt idx="32">
                  <c:v>62.8</c:v>
                </c:pt>
                <c:pt idx="33">
                  <c:v>64.400000000000006</c:v>
                </c:pt>
                <c:pt idx="34">
                  <c:v>65.599999999999994</c:v>
                </c:pt>
                <c:pt idx="35">
                  <c:v>66.7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B4-42AD-82A0-351EDD886B38}"/>
            </c:ext>
          </c:extLst>
        </c:ser>
        <c:ser>
          <c:idx val="1"/>
          <c:order val="1"/>
          <c:tx>
            <c:v>exterior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tudo!$O$4:$O$39</c:f>
              <c:numCache>
                <c:formatCode>General</c:formatCode>
                <c:ptCount val="3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360</c:v>
                </c:pt>
                <c:pt idx="12">
                  <c:v>420</c:v>
                </c:pt>
                <c:pt idx="13">
                  <c:v>480</c:v>
                </c:pt>
                <c:pt idx="14">
                  <c:v>540</c:v>
                </c:pt>
                <c:pt idx="15">
                  <c:v>600</c:v>
                </c:pt>
                <c:pt idx="16">
                  <c:v>660</c:v>
                </c:pt>
                <c:pt idx="17">
                  <c:v>780</c:v>
                </c:pt>
                <c:pt idx="18">
                  <c:v>900</c:v>
                </c:pt>
                <c:pt idx="19">
                  <c:v>1020</c:v>
                </c:pt>
                <c:pt idx="20">
                  <c:v>1140</c:v>
                </c:pt>
                <c:pt idx="21">
                  <c:v>1260</c:v>
                </c:pt>
                <c:pt idx="22">
                  <c:v>1380</c:v>
                </c:pt>
                <c:pt idx="23">
                  <c:v>1500</c:v>
                </c:pt>
                <c:pt idx="24">
                  <c:v>1620</c:v>
                </c:pt>
                <c:pt idx="25">
                  <c:v>1740</c:v>
                </c:pt>
                <c:pt idx="26">
                  <c:v>1860</c:v>
                </c:pt>
                <c:pt idx="27">
                  <c:v>1980</c:v>
                </c:pt>
                <c:pt idx="28">
                  <c:v>2100</c:v>
                </c:pt>
                <c:pt idx="29">
                  <c:v>2220</c:v>
                </c:pt>
                <c:pt idx="30">
                  <c:v>2340</c:v>
                </c:pt>
                <c:pt idx="31">
                  <c:v>2460</c:v>
                </c:pt>
                <c:pt idx="32">
                  <c:v>2760</c:v>
                </c:pt>
                <c:pt idx="33">
                  <c:v>3060</c:v>
                </c:pt>
                <c:pt idx="34">
                  <c:v>3360</c:v>
                </c:pt>
                <c:pt idx="35">
                  <c:v>3660</c:v>
                </c:pt>
              </c:numCache>
            </c:numRef>
          </c:xVal>
          <c:yVal>
            <c:numRef>
              <c:f>tudo!$Q$4:$Q$39</c:f>
              <c:numCache>
                <c:formatCode>General</c:formatCode>
                <c:ptCount val="36"/>
                <c:pt idx="0">
                  <c:v>26.8</c:v>
                </c:pt>
                <c:pt idx="1">
                  <c:v>29</c:v>
                </c:pt>
                <c:pt idx="2">
                  <c:v>34.200000000000003</c:v>
                </c:pt>
                <c:pt idx="3">
                  <c:v>38.299999999999997</c:v>
                </c:pt>
                <c:pt idx="4">
                  <c:v>41.2</c:v>
                </c:pt>
                <c:pt idx="5">
                  <c:v>43.8</c:v>
                </c:pt>
                <c:pt idx="6">
                  <c:v>45.7</c:v>
                </c:pt>
                <c:pt idx="7">
                  <c:v>47.3</c:v>
                </c:pt>
                <c:pt idx="8">
                  <c:v>48.6</c:v>
                </c:pt>
                <c:pt idx="9">
                  <c:v>49.9</c:v>
                </c:pt>
                <c:pt idx="10">
                  <c:v>50.7</c:v>
                </c:pt>
                <c:pt idx="11">
                  <c:v>52.1</c:v>
                </c:pt>
                <c:pt idx="12">
                  <c:v>53.9</c:v>
                </c:pt>
                <c:pt idx="13">
                  <c:v>55.2</c:v>
                </c:pt>
                <c:pt idx="14">
                  <c:v>56.1</c:v>
                </c:pt>
                <c:pt idx="15">
                  <c:v>57.5</c:v>
                </c:pt>
                <c:pt idx="16">
                  <c:v>58.5</c:v>
                </c:pt>
                <c:pt idx="17">
                  <c:v>60</c:v>
                </c:pt>
                <c:pt idx="18">
                  <c:v>61.2</c:v>
                </c:pt>
                <c:pt idx="19">
                  <c:v>62.3</c:v>
                </c:pt>
                <c:pt idx="20">
                  <c:v>63</c:v>
                </c:pt>
                <c:pt idx="21">
                  <c:v>63.8</c:v>
                </c:pt>
                <c:pt idx="22">
                  <c:v>64.400000000000006</c:v>
                </c:pt>
                <c:pt idx="23">
                  <c:v>65</c:v>
                </c:pt>
                <c:pt idx="24">
                  <c:v>65.5</c:v>
                </c:pt>
                <c:pt idx="25">
                  <c:v>65.900000000000006</c:v>
                </c:pt>
                <c:pt idx="26">
                  <c:v>66.400000000000006</c:v>
                </c:pt>
                <c:pt idx="27">
                  <c:v>66.7</c:v>
                </c:pt>
                <c:pt idx="28">
                  <c:v>67</c:v>
                </c:pt>
                <c:pt idx="29">
                  <c:v>67.400000000000006</c:v>
                </c:pt>
                <c:pt idx="30">
                  <c:v>67.7</c:v>
                </c:pt>
                <c:pt idx="31">
                  <c:v>67.8</c:v>
                </c:pt>
                <c:pt idx="32">
                  <c:v>68.2</c:v>
                </c:pt>
                <c:pt idx="33">
                  <c:v>68.599999999999994</c:v>
                </c:pt>
                <c:pt idx="34">
                  <c:v>68.900000000000006</c:v>
                </c:pt>
                <c:pt idx="35">
                  <c:v>69.099999999999994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B4-42AD-82A0-351EDD886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877103"/>
        <c:axId val="1706878543"/>
      </c:scatterChart>
      <c:valAx>
        <c:axId val="170687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06878543"/>
        <c:crosses val="autoZero"/>
        <c:crossBetween val="midCat"/>
      </c:valAx>
      <c:valAx>
        <c:axId val="170687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06877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166158</xdr:colOff>
      <xdr:row>24</xdr:row>
      <xdr:rowOff>76199</xdr:rowOff>
    </xdr:from>
    <xdr:to>
      <xdr:col>5</xdr:col>
      <xdr:colOff>465667</xdr:colOff>
      <xdr:row>35</xdr:row>
      <xdr:rowOff>10582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77650AB-5E23-5087-63B8-783DA828B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28</xdr:row>
      <xdr:rowOff>4762</xdr:rowOff>
    </xdr:from>
    <xdr:to>
      <xdr:col>12</xdr:col>
      <xdr:colOff>171450</xdr:colOff>
      <xdr:row>42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D9C1691-98F3-7168-1BE7-D5851F8B3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31750</xdr:colOff>
      <xdr:row>39</xdr:row>
      <xdr:rowOff>158749</xdr:rowOff>
    </xdr:from>
    <xdr:to>
      <xdr:col>16</xdr:col>
      <xdr:colOff>1610179</xdr:colOff>
      <xdr:row>51</xdr:row>
      <xdr:rowOff>71436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6F2675A-F055-A8B7-7FBD-477431F86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topLeftCell="F16" zoomScale="90" zoomScaleNormal="90" workbookViewId="0">
      <selection activeCell="K27" sqref="K27"/>
    </sheetView>
  </sheetViews>
  <sheetFormatPr defaultRowHeight="15" x14ac:dyDescent="0.25"/>
  <cols>
    <col min="1" max="1" width="26.28515625" style="1" customWidth="1"/>
    <col min="2" max="2" width="14" style="1" customWidth="1"/>
    <col min="3" max="3" width="22.5703125" style="1" customWidth="1"/>
    <col min="4" max="4" width="21.85546875" style="1" customWidth="1"/>
    <col min="5" max="6" width="21.85546875" style="4" customWidth="1"/>
    <col min="7" max="8" width="21.85546875" style="1" customWidth="1"/>
    <col min="9" max="9" width="9.140625" style="1"/>
    <col min="10" max="10" width="20.5703125" style="1" customWidth="1"/>
    <col min="11" max="11" width="22.85546875" style="1" customWidth="1"/>
    <col min="12" max="12" width="23.7109375" style="1" customWidth="1"/>
    <col min="13" max="14" width="9.140625" style="1"/>
    <col min="15" max="15" width="18.140625" style="1" customWidth="1"/>
    <col min="16" max="16" width="21.7109375" style="1" customWidth="1"/>
    <col min="17" max="17" width="24.28515625" style="1" customWidth="1"/>
    <col min="18" max="22" width="9.140625" style="1"/>
    <col min="23" max="23" width="19.85546875" style="1" customWidth="1"/>
    <col min="24" max="16384" width="9.140625" style="1"/>
  </cols>
  <sheetData>
    <row r="1" spans="1:17" x14ac:dyDescent="0.25">
      <c r="B1" s="1" t="s">
        <v>13</v>
      </c>
      <c r="J1" s="1" t="s">
        <v>14</v>
      </c>
      <c r="O1" s="1" t="s">
        <v>15</v>
      </c>
    </row>
    <row r="2" spans="1:17" x14ac:dyDescent="0.25">
      <c r="B2" s="1" t="s">
        <v>3</v>
      </c>
      <c r="C2" s="1" t="s">
        <v>4</v>
      </c>
      <c r="J2" s="1" t="s">
        <v>3</v>
      </c>
      <c r="K2" s="1" t="s">
        <v>12</v>
      </c>
      <c r="O2" s="1" t="s">
        <v>3</v>
      </c>
      <c r="P2" s="1" t="s">
        <v>4</v>
      </c>
    </row>
    <row r="3" spans="1:17" x14ac:dyDescent="0.25">
      <c r="B3" s="2" t="s">
        <v>0</v>
      </c>
      <c r="C3" s="2" t="s">
        <v>2</v>
      </c>
      <c r="D3" s="5" t="s">
        <v>1</v>
      </c>
      <c r="G3" s="4"/>
      <c r="H3" s="4"/>
      <c r="J3" s="2" t="s">
        <v>0</v>
      </c>
      <c r="K3" s="2" t="s">
        <v>2</v>
      </c>
      <c r="L3" s="5" t="s">
        <v>1</v>
      </c>
      <c r="O3" s="2" t="s">
        <v>0</v>
      </c>
      <c r="P3" s="2" t="s">
        <v>2</v>
      </c>
      <c r="Q3" s="5" t="s">
        <v>1</v>
      </c>
    </row>
    <row r="4" spans="1:17" x14ac:dyDescent="0.25">
      <c r="B4" s="3">
        <v>0</v>
      </c>
      <c r="C4" s="3">
        <v>25.9</v>
      </c>
      <c r="D4" s="3">
        <v>26.3</v>
      </c>
      <c r="G4" s="4"/>
      <c r="H4" s="4"/>
      <c r="J4" s="3">
        <v>0</v>
      </c>
      <c r="K4" s="3">
        <v>30.1</v>
      </c>
      <c r="L4" s="3">
        <v>30.4</v>
      </c>
      <c r="O4" s="3">
        <v>0</v>
      </c>
      <c r="P4" s="3">
        <v>25.4</v>
      </c>
      <c r="Q4" s="3">
        <v>26.8</v>
      </c>
    </row>
    <row r="5" spans="1:17" x14ac:dyDescent="0.25">
      <c r="B5" s="2">
        <v>15</v>
      </c>
      <c r="C5" s="2">
        <v>59.1</v>
      </c>
      <c r="D5" s="2">
        <v>59</v>
      </c>
      <c r="G5" s="4"/>
      <c r="H5" s="4"/>
      <c r="J5" s="2">
        <v>15</v>
      </c>
      <c r="K5" s="1">
        <v>52.3</v>
      </c>
      <c r="L5" s="2">
        <v>52.9</v>
      </c>
      <c r="O5" s="2">
        <v>30</v>
      </c>
      <c r="P5" s="1">
        <v>25.7</v>
      </c>
      <c r="Q5" s="2">
        <v>29</v>
      </c>
    </row>
    <row r="6" spans="1:17" x14ac:dyDescent="0.25">
      <c r="B6" s="3">
        <v>30</v>
      </c>
      <c r="C6" s="3">
        <v>67</v>
      </c>
      <c r="D6" s="3">
        <v>67.2</v>
      </c>
      <c r="G6" s="4"/>
      <c r="H6" s="4"/>
      <c r="J6" s="3">
        <v>30</v>
      </c>
      <c r="K6" s="3">
        <v>62.3</v>
      </c>
      <c r="L6" s="3">
        <v>62.6</v>
      </c>
      <c r="O6" s="3">
        <v>60</v>
      </c>
      <c r="P6" s="3">
        <v>25.7</v>
      </c>
      <c r="Q6" s="3">
        <v>34.200000000000003</v>
      </c>
    </row>
    <row r="7" spans="1:17" x14ac:dyDescent="0.25">
      <c r="B7" s="3">
        <v>45</v>
      </c>
      <c r="C7" s="2">
        <v>68.900000000000006</v>
      </c>
      <c r="D7" s="2">
        <v>69.099999999999994</v>
      </c>
      <c r="G7" s="4"/>
      <c r="H7" s="4"/>
      <c r="J7" s="3">
        <v>45</v>
      </c>
      <c r="K7" s="2">
        <v>66.400000000000006</v>
      </c>
      <c r="L7" s="2">
        <v>66.8</v>
      </c>
      <c r="O7" s="3">
        <v>90</v>
      </c>
      <c r="P7" s="2">
        <v>25.8</v>
      </c>
      <c r="Q7" s="2">
        <v>38.299999999999997</v>
      </c>
    </row>
    <row r="8" spans="1:17" x14ac:dyDescent="0.25">
      <c r="A8" s="4"/>
      <c r="B8" s="3">
        <v>60</v>
      </c>
      <c r="C8" s="3">
        <v>69.2</v>
      </c>
      <c r="D8" s="3">
        <v>69.599999999999994</v>
      </c>
      <c r="G8" s="4"/>
      <c r="H8" s="4"/>
      <c r="J8" s="3">
        <v>60</v>
      </c>
      <c r="K8" s="3">
        <v>68.3</v>
      </c>
      <c r="L8" s="3">
        <v>68.7</v>
      </c>
      <c r="O8" s="3">
        <v>120</v>
      </c>
      <c r="P8" s="3">
        <v>25.8</v>
      </c>
      <c r="Q8" s="3">
        <v>41.2</v>
      </c>
    </row>
    <row r="9" spans="1:17" x14ac:dyDescent="0.25">
      <c r="B9" s="3">
        <v>75</v>
      </c>
      <c r="C9" s="2">
        <v>69.3</v>
      </c>
      <c r="D9" s="2">
        <v>69.8</v>
      </c>
      <c r="G9" s="4"/>
      <c r="H9" s="4"/>
      <c r="J9" s="3">
        <v>75</v>
      </c>
      <c r="K9" s="2">
        <v>69.099999999999994</v>
      </c>
      <c r="L9" s="2">
        <v>69.400000000000006</v>
      </c>
      <c r="O9" s="3">
        <v>150</v>
      </c>
      <c r="P9" s="2">
        <v>25.9</v>
      </c>
      <c r="Q9" s="2">
        <v>43.8</v>
      </c>
    </row>
    <row r="10" spans="1:17" x14ac:dyDescent="0.25">
      <c r="B10" s="3">
        <v>90</v>
      </c>
      <c r="C10" s="3">
        <v>69.3</v>
      </c>
      <c r="D10" s="3">
        <v>69.8</v>
      </c>
      <c r="G10" s="4"/>
      <c r="H10" s="4"/>
      <c r="J10" s="3">
        <v>90</v>
      </c>
      <c r="K10" s="3">
        <v>69.3</v>
      </c>
      <c r="L10" s="3">
        <v>69.8</v>
      </c>
      <c r="O10" s="3">
        <v>180</v>
      </c>
      <c r="P10" s="3">
        <v>25.9</v>
      </c>
      <c r="Q10" s="3">
        <v>45.7</v>
      </c>
    </row>
    <row r="11" spans="1:17" x14ac:dyDescent="0.25">
      <c r="B11" s="3">
        <v>105</v>
      </c>
      <c r="C11" s="2">
        <v>69.3</v>
      </c>
      <c r="D11" s="2">
        <v>69.8</v>
      </c>
      <c r="G11" s="4"/>
      <c r="H11" s="4"/>
      <c r="J11" s="3">
        <v>105</v>
      </c>
      <c r="K11" s="2">
        <v>69.599999999999994</v>
      </c>
      <c r="L11" s="2">
        <v>69.900000000000006</v>
      </c>
      <c r="O11" s="3">
        <v>210</v>
      </c>
      <c r="P11" s="2">
        <v>26</v>
      </c>
      <c r="Q11" s="2">
        <v>47.3</v>
      </c>
    </row>
    <row r="12" spans="1:17" x14ac:dyDescent="0.25">
      <c r="B12" s="3">
        <v>120</v>
      </c>
      <c r="C12" s="3">
        <v>69.400000000000006</v>
      </c>
      <c r="D12" s="3">
        <v>69.8</v>
      </c>
      <c r="G12" s="4"/>
      <c r="H12" s="4"/>
      <c r="J12" s="3">
        <v>120</v>
      </c>
      <c r="K12" s="3">
        <v>69.7</v>
      </c>
      <c r="L12" s="3">
        <v>70</v>
      </c>
      <c r="O12" s="3">
        <v>240</v>
      </c>
      <c r="P12" s="3">
        <v>26.1</v>
      </c>
      <c r="Q12" s="3">
        <v>48.6</v>
      </c>
    </row>
    <row r="13" spans="1:17" x14ac:dyDescent="0.25">
      <c r="B13" s="3">
        <v>135</v>
      </c>
      <c r="C13" s="2">
        <v>69.400000000000006</v>
      </c>
      <c r="D13" s="2">
        <v>69.900000000000006</v>
      </c>
      <c r="G13" s="4"/>
      <c r="H13" s="4"/>
      <c r="J13" s="3">
        <v>135</v>
      </c>
      <c r="K13" s="2">
        <v>69.7</v>
      </c>
      <c r="L13" s="2">
        <v>70</v>
      </c>
      <c r="O13" s="3">
        <v>270</v>
      </c>
      <c r="P13" s="2">
        <v>26.2</v>
      </c>
      <c r="Q13" s="2">
        <v>49.9</v>
      </c>
    </row>
    <row r="14" spans="1:17" x14ac:dyDescent="0.25">
      <c r="B14" s="3">
        <v>150</v>
      </c>
      <c r="C14" s="3">
        <v>69.400000000000006</v>
      </c>
      <c r="D14" s="3">
        <v>70</v>
      </c>
      <c r="G14" s="4"/>
      <c r="H14" s="4"/>
      <c r="J14" s="3">
        <v>150</v>
      </c>
      <c r="K14" s="3">
        <v>69.7</v>
      </c>
      <c r="L14" s="3">
        <v>69.900000000000006</v>
      </c>
      <c r="O14" s="3">
        <f>5*60</f>
        <v>300</v>
      </c>
      <c r="P14" s="3">
        <v>26.4</v>
      </c>
      <c r="Q14" s="3">
        <v>50.7</v>
      </c>
    </row>
    <row r="15" spans="1:17" x14ac:dyDescent="0.25">
      <c r="B15" s="3">
        <v>165</v>
      </c>
      <c r="C15" s="2">
        <v>69.400000000000006</v>
      </c>
      <c r="D15" s="2">
        <v>70</v>
      </c>
      <c r="G15" s="4"/>
      <c r="H15" s="4"/>
      <c r="J15" s="3">
        <v>165</v>
      </c>
      <c r="K15" s="2">
        <v>69.7</v>
      </c>
      <c r="L15" s="2">
        <v>70</v>
      </c>
      <c r="O15" s="3">
        <f>6*60</f>
        <v>360</v>
      </c>
      <c r="P15" s="2">
        <v>27</v>
      </c>
      <c r="Q15" s="2">
        <v>52.1</v>
      </c>
    </row>
    <row r="16" spans="1:17" x14ac:dyDescent="0.25">
      <c r="B16" s="3">
        <v>180</v>
      </c>
      <c r="C16" s="3">
        <v>69.400000000000006</v>
      </c>
      <c r="D16" s="3">
        <v>70</v>
      </c>
      <c r="G16" s="4"/>
      <c r="H16" s="4"/>
      <c r="J16" s="3">
        <v>180</v>
      </c>
      <c r="K16" s="2">
        <v>69.7</v>
      </c>
      <c r="L16" s="2">
        <v>70</v>
      </c>
      <c r="O16" s="3">
        <f>7*60</f>
        <v>420</v>
      </c>
      <c r="P16" s="2">
        <v>27.7</v>
      </c>
      <c r="Q16" s="2">
        <v>53.9</v>
      </c>
    </row>
    <row r="17" spans="1:17" x14ac:dyDescent="0.25">
      <c r="B17" s="3">
        <v>195</v>
      </c>
      <c r="C17" s="2">
        <v>69.400000000000006</v>
      </c>
      <c r="D17" s="2">
        <v>70.099999999999994</v>
      </c>
      <c r="G17" s="4"/>
      <c r="H17" s="4"/>
      <c r="J17" s="3">
        <v>195</v>
      </c>
      <c r="K17" s="2">
        <v>69.7</v>
      </c>
      <c r="L17" s="2">
        <v>70</v>
      </c>
      <c r="O17" s="3">
        <f>8*60</f>
        <v>480</v>
      </c>
      <c r="P17" s="2">
        <v>28.6</v>
      </c>
      <c r="Q17" s="2">
        <v>55.2</v>
      </c>
    </row>
    <row r="18" spans="1:17" x14ac:dyDescent="0.25">
      <c r="B18" s="3">
        <v>210</v>
      </c>
      <c r="C18" s="3">
        <v>69.5</v>
      </c>
      <c r="D18" s="3">
        <v>70.099999999999994</v>
      </c>
      <c r="G18" s="4"/>
      <c r="H18" s="4"/>
      <c r="J18" s="3">
        <v>210</v>
      </c>
      <c r="K18" s="2">
        <v>69.7</v>
      </c>
      <c r="L18" s="2">
        <v>70</v>
      </c>
      <c r="O18" s="3">
        <f>9*60</f>
        <v>540</v>
      </c>
      <c r="P18" s="2">
        <v>29.6</v>
      </c>
      <c r="Q18" s="2">
        <v>56.1</v>
      </c>
    </row>
    <row r="19" spans="1:17" x14ac:dyDescent="0.25">
      <c r="B19" s="3">
        <v>225</v>
      </c>
      <c r="C19" s="2">
        <v>69.5</v>
      </c>
      <c r="D19" s="2">
        <v>70.2</v>
      </c>
      <c r="G19" s="4"/>
      <c r="H19" s="4"/>
      <c r="J19" s="3">
        <v>225</v>
      </c>
      <c r="K19" s="2">
        <v>69.8</v>
      </c>
      <c r="L19" s="2">
        <v>70</v>
      </c>
      <c r="O19" s="3">
        <f>10*60</f>
        <v>600</v>
      </c>
      <c r="P19" s="2">
        <v>30.8</v>
      </c>
      <c r="Q19" s="2">
        <v>57.5</v>
      </c>
    </row>
    <row r="20" spans="1:17" x14ac:dyDescent="0.25">
      <c r="B20" s="3">
        <v>240</v>
      </c>
      <c r="C20" s="3">
        <v>69.5</v>
      </c>
      <c r="D20" s="3">
        <v>70.2</v>
      </c>
      <c r="G20" s="4"/>
      <c r="H20" s="4"/>
      <c r="J20" s="3">
        <v>240</v>
      </c>
      <c r="K20" s="3">
        <v>69.8</v>
      </c>
      <c r="L20" s="3">
        <v>70</v>
      </c>
      <c r="O20" s="3">
        <f>11*60</f>
        <v>660</v>
      </c>
      <c r="P20" s="3">
        <v>32.1</v>
      </c>
      <c r="Q20" s="3">
        <v>58.5</v>
      </c>
    </row>
    <row r="21" spans="1:17" x14ac:dyDescent="0.25">
      <c r="B21" s="2">
        <v>255</v>
      </c>
      <c r="C21" s="2">
        <v>69.5</v>
      </c>
      <c r="D21" s="2">
        <v>70.2</v>
      </c>
      <c r="G21" s="4"/>
      <c r="H21" s="4"/>
      <c r="J21" s="2">
        <v>255</v>
      </c>
      <c r="K21" s="2">
        <v>69.8</v>
      </c>
      <c r="L21" s="2">
        <v>70</v>
      </c>
      <c r="O21" s="2">
        <f>13*60</f>
        <v>780</v>
      </c>
      <c r="P21" s="2">
        <v>34.9</v>
      </c>
      <c r="Q21" s="2">
        <v>60</v>
      </c>
    </row>
    <row r="22" spans="1:17" x14ac:dyDescent="0.25">
      <c r="B22" s="3">
        <v>260</v>
      </c>
      <c r="C22" s="6">
        <v>69.5</v>
      </c>
      <c r="D22" s="6">
        <v>70.2</v>
      </c>
      <c r="G22" s="4"/>
      <c r="H22" s="4"/>
      <c r="J22" s="4"/>
      <c r="K22" s="4"/>
      <c r="L22" s="4"/>
      <c r="O22" s="3">
        <f>15*60</f>
        <v>900</v>
      </c>
      <c r="P22" s="6">
        <v>37.6</v>
      </c>
      <c r="Q22" s="6">
        <v>61.2</v>
      </c>
    </row>
    <row r="23" spans="1:17" x14ac:dyDescent="0.25">
      <c r="B23" s="2">
        <v>275</v>
      </c>
      <c r="C23" s="2">
        <v>69.5</v>
      </c>
      <c r="D23" s="2">
        <v>70.2</v>
      </c>
      <c r="G23" s="4"/>
      <c r="H23" s="4"/>
      <c r="J23" s="4"/>
      <c r="K23" s="4"/>
      <c r="L23" s="4"/>
      <c r="O23" s="2">
        <f>17*60</f>
        <v>1020</v>
      </c>
      <c r="P23" s="2">
        <v>40.299999999999997</v>
      </c>
      <c r="Q23" s="2">
        <v>62.3</v>
      </c>
    </row>
    <row r="24" spans="1:17" x14ac:dyDescent="0.25">
      <c r="B24" s="3">
        <v>300</v>
      </c>
      <c r="C24" s="6">
        <v>69.5</v>
      </c>
      <c r="D24" s="6">
        <v>70.2</v>
      </c>
      <c r="G24" s="4"/>
      <c r="H24" s="4"/>
      <c r="J24" s="4"/>
      <c r="K24" s="4"/>
      <c r="L24" s="4"/>
      <c r="O24" s="3">
        <f>19*60</f>
        <v>1140</v>
      </c>
      <c r="P24" s="6">
        <v>43</v>
      </c>
      <c r="Q24" s="6">
        <v>63</v>
      </c>
    </row>
    <row r="25" spans="1:17" x14ac:dyDescent="0.25">
      <c r="B25" s="4"/>
      <c r="C25" s="4"/>
      <c r="D25" s="4"/>
      <c r="G25" s="4"/>
      <c r="H25" s="4"/>
      <c r="O25" s="2">
        <f>21*60</f>
        <v>1260</v>
      </c>
      <c r="P25" s="6">
        <v>45.3</v>
      </c>
      <c r="Q25" s="6">
        <v>63.8</v>
      </c>
    </row>
    <row r="26" spans="1:17" x14ac:dyDescent="0.25">
      <c r="A26" s="1" t="s">
        <v>7</v>
      </c>
      <c r="B26" s="1" t="s">
        <v>5</v>
      </c>
      <c r="C26" s="4"/>
      <c r="D26" s="4"/>
      <c r="G26" s="4"/>
      <c r="H26" s="4"/>
      <c r="J26" s="1" t="s">
        <v>7</v>
      </c>
      <c r="K26" s="1">
        <v>3.3</v>
      </c>
      <c r="O26" s="3">
        <f>23*60</f>
        <v>1380</v>
      </c>
      <c r="P26" s="6">
        <v>47.6</v>
      </c>
      <c r="Q26" s="6">
        <v>64.400000000000006</v>
      </c>
    </row>
    <row r="27" spans="1:17" x14ac:dyDescent="0.25">
      <c r="A27" s="1" t="s">
        <v>8</v>
      </c>
      <c r="B27" s="4">
        <v>2.1</v>
      </c>
      <c r="C27" s="4"/>
      <c r="D27" s="4"/>
      <c r="G27" s="4"/>
      <c r="H27" s="4"/>
      <c r="J27" s="1" t="s">
        <v>8</v>
      </c>
      <c r="K27" s="4">
        <v>2.1</v>
      </c>
      <c r="O27" s="2">
        <f>25*60</f>
        <v>1500</v>
      </c>
      <c r="P27" s="6">
        <v>49.7</v>
      </c>
      <c r="Q27" s="6">
        <v>65</v>
      </c>
    </row>
    <row r="28" spans="1:17" x14ac:dyDescent="0.25">
      <c r="A28" s="1" t="s">
        <v>9</v>
      </c>
      <c r="B28" s="4">
        <v>9.9</v>
      </c>
      <c r="C28" s="4"/>
      <c r="D28" s="4"/>
      <c r="G28" s="4"/>
      <c r="H28" s="4"/>
      <c r="J28" s="1" t="s">
        <v>6</v>
      </c>
      <c r="K28" s="1">
        <v>6.2</v>
      </c>
      <c r="O28" s="3">
        <f>27*60</f>
        <v>1620</v>
      </c>
      <c r="P28" s="6">
        <v>51.6</v>
      </c>
      <c r="Q28" s="6">
        <v>65.5</v>
      </c>
    </row>
    <row r="29" spans="1:17" x14ac:dyDescent="0.25">
      <c r="B29" s="4"/>
      <c r="C29" s="4"/>
      <c r="D29" s="4"/>
      <c r="G29" s="4"/>
      <c r="H29" s="4"/>
      <c r="O29" s="2">
        <f>29*60</f>
        <v>1740</v>
      </c>
      <c r="P29" s="6">
        <v>53.3</v>
      </c>
      <c r="Q29" s="6">
        <v>65.900000000000006</v>
      </c>
    </row>
    <row r="30" spans="1:17" x14ac:dyDescent="0.25">
      <c r="A30" s="1" t="s">
        <v>10</v>
      </c>
      <c r="B30" s="4"/>
      <c r="C30" s="4"/>
      <c r="D30" s="4"/>
      <c r="G30" s="4"/>
      <c r="H30" s="4"/>
      <c r="O30" s="3">
        <f>31*60</f>
        <v>1860</v>
      </c>
      <c r="P30" s="6">
        <v>54.9</v>
      </c>
      <c r="Q30" s="6">
        <v>66.400000000000006</v>
      </c>
    </row>
    <row r="31" spans="1:17" x14ac:dyDescent="0.25">
      <c r="A31" s="7" t="s">
        <v>11</v>
      </c>
      <c r="B31" s="4"/>
      <c r="C31" s="4"/>
      <c r="D31" s="4"/>
      <c r="G31" s="4"/>
      <c r="H31" s="4"/>
      <c r="O31" s="2">
        <f>33*60</f>
        <v>1980</v>
      </c>
      <c r="P31" s="6">
        <v>56.4</v>
      </c>
      <c r="Q31" s="6">
        <v>66.7</v>
      </c>
    </row>
    <row r="32" spans="1:17" x14ac:dyDescent="0.25">
      <c r="B32" s="4"/>
      <c r="C32" s="4"/>
      <c r="D32" s="4"/>
      <c r="G32" s="4"/>
      <c r="H32" s="4"/>
      <c r="O32" s="3">
        <f>35*60</f>
        <v>2100</v>
      </c>
      <c r="P32" s="6">
        <v>57.5</v>
      </c>
      <c r="Q32" s="6">
        <v>67</v>
      </c>
    </row>
    <row r="33" spans="1:17" x14ac:dyDescent="0.25">
      <c r="A33" s="1" t="s">
        <v>17</v>
      </c>
      <c r="B33" s="4"/>
      <c r="C33" s="4"/>
      <c r="D33" s="4"/>
      <c r="G33" s="4"/>
      <c r="H33" s="4"/>
      <c r="O33" s="2">
        <f>37*60</f>
        <v>2220</v>
      </c>
      <c r="P33" s="6">
        <v>59.2</v>
      </c>
      <c r="Q33" s="6">
        <v>67.400000000000006</v>
      </c>
    </row>
    <row r="34" spans="1:17" x14ac:dyDescent="0.25">
      <c r="O34" s="3">
        <f>39*60</f>
        <v>2340</v>
      </c>
      <c r="P34" s="6">
        <v>60.2</v>
      </c>
      <c r="Q34" s="6">
        <v>67.7</v>
      </c>
    </row>
    <row r="35" spans="1:17" x14ac:dyDescent="0.25">
      <c r="O35" s="2">
        <f>41*60</f>
        <v>2460</v>
      </c>
      <c r="P35" s="6">
        <v>60.8</v>
      </c>
      <c r="Q35" s="6">
        <v>67.8</v>
      </c>
    </row>
    <row r="36" spans="1:17" x14ac:dyDescent="0.25">
      <c r="O36" s="3">
        <f>46*60</f>
        <v>2760</v>
      </c>
      <c r="P36" s="6">
        <v>62.8</v>
      </c>
      <c r="Q36" s="6">
        <v>68.2</v>
      </c>
    </row>
    <row r="37" spans="1:17" x14ac:dyDescent="0.25">
      <c r="O37" s="2">
        <f>51*60</f>
        <v>3060</v>
      </c>
      <c r="P37" s="6">
        <v>64.400000000000006</v>
      </c>
      <c r="Q37" s="6">
        <v>68.599999999999994</v>
      </c>
    </row>
    <row r="38" spans="1:17" x14ac:dyDescent="0.25">
      <c r="O38" s="3">
        <f>56*60</f>
        <v>3360</v>
      </c>
      <c r="P38" s="6">
        <v>65.599999999999994</v>
      </c>
      <c r="Q38" s="6">
        <v>68.900000000000006</v>
      </c>
    </row>
    <row r="39" spans="1:17" x14ac:dyDescent="0.25">
      <c r="O39" s="2">
        <f>61*60</f>
        <v>3660</v>
      </c>
      <c r="P39" s="6">
        <v>66.7</v>
      </c>
      <c r="Q39" s="6">
        <v>69.099999999999994</v>
      </c>
    </row>
    <row r="40" spans="1:17" x14ac:dyDescent="0.25">
      <c r="O40" s="4"/>
      <c r="P40" s="4"/>
      <c r="Q40" s="4"/>
    </row>
    <row r="41" spans="1:17" x14ac:dyDescent="0.25">
      <c r="O41" s="4"/>
      <c r="P41" s="4"/>
      <c r="Q41" s="4"/>
    </row>
    <row r="42" spans="1:17" x14ac:dyDescent="0.25">
      <c r="O42" s="4"/>
      <c r="P42" s="4"/>
      <c r="Q42" s="4"/>
    </row>
    <row r="43" spans="1:17" x14ac:dyDescent="0.25">
      <c r="O43" s="4"/>
      <c r="P43" s="4"/>
      <c r="Q43" s="4"/>
    </row>
    <row r="44" spans="1:17" x14ac:dyDescent="0.25">
      <c r="O44" s="4"/>
      <c r="P44" s="4"/>
      <c r="Q44" s="4"/>
    </row>
    <row r="45" spans="1:17" x14ac:dyDescent="0.25">
      <c r="O45" s="4"/>
      <c r="P45" s="4"/>
      <c r="Q45" s="4"/>
    </row>
    <row r="46" spans="1:17" x14ac:dyDescent="0.25">
      <c r="O46" s="4"/>
      <c r="P46" s="4"/>
      <c r="Q46" s="4"/>
    </row>
    <row r="47" spans="1:17" x14ac:dyDescent="0.25">
      <c r="O47" s="4"/>
      <c r="P47" s="4"/>
      <c r="Q47" s="4"/>
    </row>
    <row r="48" spans="1:17" x14ac:dyDescent="0.25">
      <c r="O48" s="4"/>
      <c r="P48" s="4"/>
      <c r="Q48" s="4"/>
    </row>
    <row r="49" spans="15:17" x14ac:dyDescent="0.25">
      <c r="O49" s="4"/>
      <c r="P49" s="4"/>
      <c r="Q49" s="4"/>
    </row>
    <row r="53" spans="15:17" x14ac:dyDescent="0.25">
      <c r="O53" s="1" t="s">
        <v>7</v>
      </c>
      <c r="P53" s="1">
        <v>3.2</v>
      </c>
    </row>
    <row r="54" spans="15:17" x14ac:dyDescent="0.25">
      <c r="O54" s="1" t="s">
        <v>8</v>
      </c>
      <c r="P54" s="4">
        <v>2.2000000000000002</v>
      </c>
    </row>
    <row r="55" spans="15:17" x14ac:dyDescent="0.25">
      <c r="O55" s="1" t="s">
        <v>6</v>
      </c>
      <c r="P55" s="1">
        <v>6.1</v>
      </c>
    </row>
    <row r="56" spans="15:17" x14ac:dyDescent="0.25">
      <c r="O56" s="1" t="s">
        <v>9</v>
      </c>
      <c r="P56" s="1">
        <v>10</v>
      </c>
    </row>
    <row r="59" spans="15:17" x14ac:dyDescent="0.25">
      <c r="O59" s="1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EE35A-6594-4C1C-92BC-F95A6BF57A91}">
  <dimension ref="A3:T35"/>
  <sheetViews>
    <sheetView topLeftCell="A9" zoomScale="90" zoomScaleNormal="90" workbookViewId="0">
      <selection activeCell="S26" sqref="S26"/>
    </sheetView>
  </sheetViews>
  <sheetFormatPr defaultRowHeight="15" x14ac:dyDescent="0.25"/>
  <cols>
    <col min="1" max="1" width="22.7109375" customWidth="1"/>
    <col min="2" max="2" width="12.85546875" customWidth="1"/>
    <col min="3" max="3" width="24" customWidth="1"/>
    <col min="4" max="4" width="22" customWidth="1"/>
    <col min="7" max="7" width="18.7109375" customWidth="1"/>
    <col min="8" max="8" width="14.5703125" customWidth="1"/>
    <col min="10" max="10" width="14.7109375" customWidth="1"/>
    <col min="11" max="11" width="12" bestFit="1" customWidth="1"/>
    <col min="15" max="15" width="14.5703125" customWidth="1"/>
    <col min="16" max="16" width="15" bestFit="1" customWidth="1"/>
    <col min="18" max="18" width="20.7109375" customWidth="1"/>
    <col min="19" max="19" width="13.28515625" bestFit="1" customWidth="1"/>
  </cols>
  <sheetData>
    <row r="3" spans="2:20" x14ac:dyDescent="0.25">
      <c r="B3" s="1" t="s">
        <v>14</v>
      </c>
      <c r="C3" s="1"/>
      <c r="D3" s="1"/>
      <c r="G3" s="17" t="s">
        <v>54</v>
      </c>
      <c r="H3" s="17"/>
      <c r="I3" s="17"/>
      <c r="J3" s="17"/>
      <c r="K3" s="17" t="s">
        <v>33</v>
      </c>
      <c r="L3" s="17" t="s">
        <v>39</v>
      </c>
      <c r="M3" s="17"/>
      <c r="N3" s="17"/>
      <c r="O3" s="1"/>
      <c r="P3" s="1"/>
      <c r="Q3" s="1"/>
      <c r="R3" s="1"/>
      <c r="S3" s="1"/>
      <c r="T3" s="1"/>
    </row>
    <row r="4" spans="2:20" x14ac:dyDescent="0.25">
      <c r="B4" s="1" t="s">
        <v>3</v>
      </c>
      <c r="C4" s="1" t="s">
        <v>12</v>
      </c>
      <c r="D4" s="1"/>
      <c r="G4" s="17" t="s">
        <v>22</v>
      </c>
      <c r="H4" s="23">
        <v>2698.9</v>
      </c>
      <c r="I4" s="17" t="s">
        <v>24</v>
      </c>
      <c r="J4" s="17"/>
      <c r="K4" s="17" t="s">
        <v>22</v>
      </c>
      <c r="L4" s="17">
        <v>977.5</v>
      </c>
      <c r="M4" s="17" t="s">
        <v>24</v>
      </c>
      <c r="N4" s="17"/>
      <c r="O4" s="1"/>
      <c r="P4" s="1"/>
      <c r="Q4" s="1"/>
      <c r="R4" s="1"/>
      <c r="S4" s="1"/>
      <c r="T4" s="1"/>
    </row>
    <row r="5" spans="2:20" x14ac:dyDescent="0.25">
      <c r="B5" s="2" t="s">
        <v>0</v>
      </c>
      <c r="C5" s="2" t="s">
        <v>2</v>
      </c>
      <c r="D5" s="5" t="s">
        <v>1</v>
      </c>
      <c r="G5" s="17" t="s">
        <v>23</v>
      </c>
      <c r="H5" s="23">
        <v>900</v>
      </c>
      <c r="I5" s="17" t="s">
        <v>25</v>
      </c>
      <c r="J5" s="17"/>
      <c r="K5" s="17" t="s">
        <v>34</v>
      </c>
      <c r="L5" s="17">
        <f>0.578*10^-3</f>
        <v>5.7799999999999995E-4</v>
      </c>
      <c r="M5" s="17" t="s">
        <v>36</v>
      </c>
      <c r="N5" s="17"/>
      <c r="O5" s="1"/>
      <c r="P5" s="1"/>
      <c r="Q5" s="1"/>
      <c r="R5" s="1"/>
      <c r="S5" s="1"/>
      <c r="T5" s="1"/>
    </row>
    <row r="6" spans="2:20" x14ac:dyDescent="0.25">
      <c r="B6" s="3">
        <v>0</v>
      </c>
      <c r="C6" s="3">
        <v>30.1</v>
      </c>
      <c r="D6" s="3">
        <v>30.4</v>
      </c>
      <c r="G6" s="17" t="s">
        <v>20</v>
      </c>
      <c r="H6" s="17">
        <v>29</v>
      </c>
      <c r="I6" s="17" t="s">
        <v>21</v>
      </c>
      <c r="J6" s="17"/>
      <c r="K6" s="17" t="s">
        <v>35</v>
      </c>
      <c r="L6" s="17">
        <f>0.404*10^-3</f>
        <v>4.0400000000000001E-4</v>
      </c>
      <c r="M6" s="17" t="s">
        <v>37</v>
      </c>
      <c r="N6" s="17"/>
      <c r="O6" s="1"/>
      <c r="P6" s="1"/>
      <c r="Q6" s="1"/>
      <c r="R6" s="1"/>
      <c r="S6" s="1"/>
      <c r="T6" s="1"/>
    </row>
    <row r="7" spans="2:20" ht="18" x14ac:dyDescent="0.25">
      <c r="B7" s="2">
        <v>15</v>
      </c>
      <c r="C7" s="1">
        <v>52.3</v>
      </c>
      <c r="D7" s="2">
        <v>52.9</v>
      </c>
      <c r="G7" s="17" t="s">
        <v>55</v>
      </c>
      <c r="H7" s="17">
        <f>H6/(H4*H5)</f>
        <v>1.1939020423958732E-5</v>
      </c>
      <c r="I7" s="17" t="s">
        <v>56</v>
      </c>
      <c r="J7" s="17"/>
      <c r="K7" s="17" t="s">
        <v>38</v>
      </c>
      <c r="L7" s="17">
        <v>2.5499999999999998</v>
      </c>
      <c r="M7" s="17"/>
      <c r="N7" s="17"/>
      <c r="O7" s="1"/>
      <c r="P7" s="1"/>
      <c r="Q7" s="1"/>
      <c r="R7" s="1"/>
      <c r="S7" s="1"/>
      <c r="T7" s="1"/>
    </row>
    <row r="8" spans="2:20" x14ac:dyDescent="0.25">
      <c r="B8" s="3">
        <v>30</v>
      </c>
      <c r="C8" s="3">
        <v>62.3</v>
      </c>
      <c r="D8" s="3">
        <v>62.6</v>
      </c>
      <c r="G8" s="17"/>
      <c r="H8" s="17"/>
      <c r="I8" s="17"/>
      <c r="J8" s="17"/>
      <c r="K8" s="17"/>
      <c r="L8" s="17"/>
      <c r="M8" s="17"/>
      <c r="N8" s="17"/>
      <c r="O8" s="1"/>
      <c r="P8" s="1"/>
      <c r="Q8" s="1"/>
      <c r="R8" s="1"/>
      <c r="S8" s="1"/>
      <c r="T8" s="1"/>
    </row>
    <row r="9" spans="2:20" x14ac:dyDescent="0.25">
      <c r="B9" s="3">
        <v>45</v>
      </c>
      <c r="C9" s="2">
        <v>66.400000000000006</v>
      </c>
      <c r="D9" s="2">
        <v>66.8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2:20" x14ac:dyDescent="0.25">
      <c r="B10" s="3">
        <v>60</v>
      </c>
      <c r="C10" s="3">
        <v>68.3</v>
      </c>
      <c r="D10" s="3">
        <v>68.7</v>
      </c>
      <c r="G10" s="18">
        <v>5</v>
      </c>
      <c r="H10" s="18" t="s">
        <v>18</v>
      </c>
      <c r="I10" s="18"/>
      <c r="J10" s="18"/>
      <c r="K10" s="18"/>
      <c r="L10" s="18"/>
      <c r="M10" s="1"/>
      <c r="N10" s="1"/>
      <c r="O10" s="13">
        <v>15</v>
      </c>
      <c r="P10" s="13" t="s">
        <v>19</v>
      </c>
      <c r="Q10" s="13"/>
      <c r="R10" s="13"/>
      <c r="S10" s="13"/>
      <c r="T10" s="13"/>
    </row>
    <row r="11" spans="2:20" x14ac:dyDescent="0.25">
      <c r="B11" s="3">
        <v>75</v>
      </c>
      <c r="C11" s="2">
        <v>69.099999999999994</v>
      </c>
      <c r="D11" s="2">
        <v>69.400000000000006</v>
      </c>
      <c r="G11" s="18" t="s">
        <v>29</v>
      </c>
      <c r="H11" s="18"/>
      <c r="I11" s="18"/>
      <c r="J11" s="18" t="s">
        <v>31</v>
      </c>
      <c r="K11" s="18"/>
      <c r="L11" s="18"/>
      <c r="M11" s="1"/>
      <c r="N11" s="1"/>
      <c r="O11" s="13" t="s">
        <v>29</v>
      </c>
      <c r="P11" s="13"/>
      <c r="Q11" s="13"/>
      <c r="R11" s="13" t="s">
        <v>31</v>
      </c>
      <c r="S11" s="13"/>
      <c r="T11" s="13"/>
    </row>
    <row r="12" spans="2:20" x14ac:dyDescent="0.25">
      <c r="B12" s="3">
        <v>90</v>
      </c>
      <c r="C12" s="3">
        <v>69.3</v>
      </c>
      <c r="D12" s="3">
        <v>69.8</v>
      </c>
      <c r="G12" s="18" t="s">
        <v>28</v>
      </c>
      <c r="H12" s="19">
        <f>(H7*B24)/(B26*10^-2)^2</f>
        <v>3.2889863426883554</v>
      </c>
      <c r="I12" s="19"/>
      <c r="J12" s="18" t="s">
        <v>28</v>
      </c>
      <c r="K12" s="19">
        <f>(H7*B24)/(B27*10^-2)^2</f>
        <v>3.7270615267300924</v>
      </c>
      <c r="L12" s="19"/>
      <c r="M12" s="1"/>
      <c r="N12" s="1"/>
      <c r="O12" s="13" t="s">
        <v>28</v>
      </c>
      <c r="P12" s="9">
        <f>(H7*B7)/(B26*10^-2)^2</f>
        <v>0.16444931713441777</v>
      </c>
      <c r="Q12" s="9"/>
      <c r="R12" s="13" t="s">
        <v>28</v>
      </c>
      <c r="S12" s="9">
        <f>(H7*B7)/(B27*10^-2)^2</f>
        <v>0.18635307633650464</v>
      </c>
      <c r="T12" s="9"/>
    </row>
    <row r="13" spans="2:20" x14ac:dyDescent="0.25">
      <c r="B13" s="3">
        <v>105</v>
      </c>
      <c r="C13" s="2">
        <v>69.599999999999994</v>
      </c>
      <c r="D13" s="2">
        <v>69.900000000000006</v>
      </c>
      <c r="G13" s="18" t="s">
        <v>30</v>
      </c>
      <c r="H13" s="18"/>
      <c r="I13" s="18"/>
      <c r="J13" s="18" t="s">
        <v>30</v>
      </c>
      <c r="K13" s="18"/>
      <c r="L13" s="18"/>
      <c r="M13" s="1"/>
      <c r="N13" s="1"/>
      <c r="O13" s="13" t="s">
        <v>30</v>
      </c>
      <c r="P13" s="13"/>
      <c r="Q13" s="13"/>
      <c r="R13" s="13" t="s">
        <v>30</v>
      </c>
      <c r="S13" s="13"/>
      <c r="T13" s="13"/>
    </row>
    <row r="14" spans="2:20" x14ac:dyDescent="0.25">
      <c r="B14" s="3">
        <v>120</v>
      </c>
      <c r="C14" s="3">
        <v>69.7</v>
      </c>
      <c r="D14" s="3">
        <v>70</v>
      </c>
      <c r="G14" s="18" t="s">
        <v>32</v>
      </c>
      <c r="H14" s="20">
        <f>(((B29*10^(-2))^3)*(L4^2)*9.8*(L5)*(C24-C6))/(L6^2)</f>
        <v>313754736.90200359</v>
      </c>
      <c r="I14" s="19"/>
      <c r="J14" s="18" t="s">
        <v>32</v>
      </c>
      <c r="K14" s="19">
        <f>(((B29*10^(-2))^3)*(L4^2)*9.8*(L5)*(D24-D6))/(L6^2)</f>
        <v>312964422.7032581</v>
      </c>
      <c r="L14" s="19"/>
      <c r="M14" s="1"/>
      <c r="N14" s="1"/>
      <c r="O14" s="13" t="s">
        <v>32</v>
      </c>
      <c r="P14" s="10">
        <f>(((B29*10^(-2))^3)*(L4^2)*9.8*(L5)*(C7-C6))/(L6^2)</f>
        <v>175449752.12152341</v>
      </c>
      <c r="Q14" s="9"/>
      <c r="R14" s="13" t="s">
        <v>32</v>
      </c>
      <c r="S14" s="9">
        <f>(((B29*10^(-2))^3)*(L4^2)*9.8*(L5)*(D7-D6))/(L6^2)</f>
        <v>177820694.71776026</v>
      </c>
      <c r="T14" s="9"/>
    </row>
    <row r="15" spans="2:20" x14ac:dyDescent="0.25">
      <c r="B15" s="3">
        <v>135</v>
      </c>
      <c r="C15" s="2">
        <v>69.7</v>
      </c>
      <c r="D15" s="2">
        <v>70</v>
      </c>
      <c r="G15" s="18" t="s">
        <v>40</v>
      </c>
      <c r="H15" s="19">
        <f>H14*L7</f>
        <v>800074579.1001091</v>
      </c>
      <c r="I15" s="19"/>
      <c r="J15" s="18" t="s">
        <v>40</v>
      </c>
      <c r="K15" s="19">
        <f>K14*L7</f>
        <v>798059277.89330804</v>
      </c>
      <c r="L15" s="19"/>
      <c r="M15" s="1"/>
      <c r="N15" s="1"/>
      <c r="O15" s="13" t="s">
        <v>40</v>
      </c>
      <c r="P15" s="9">
        <f>P14*L7</f>
        <v>447396867.90988469</v>
      </c>
      <c r="Q15" s="9"/>
      <c r="R15" s="13" t="s">
        <v>40</v>
      </c>
      <c r="S15" s="9">
        <f>S14*L7</f>
        <v>453442771.53028864</v>
      </c>
      <c r="T15" s="9"/>
    </row>
    <row r="16" spans="2:20" x14ac:dyDescent="0.25">
      <c r="B16" s="3">
        <v>150</v>
      </c>
      <c r="C16" s="3">
        <v>69.7</v>
      </c>
      <c r="D16" s="3">
        <v>69.900000000000006</v>
      </c>
      <c r="G16" s="18" t="s">
        <v>41</v>
      </c>
      <c r="H16" s="19">
        <f>(0.6+(0.387*(H15^(1/6)))/((1+(0.559/L7)^(9/16))^8/27))^2</f>
        <v>370.06575876815191</v>
      </c>
      <c r="I16" s="19"/>
      <c r="J16" s="18" t="s">
        <v>41</v>
      </c>
      <c r="K16" s="19">
        <f>(0.6+(0.387*(K15^(1/6)))/((1+(0.559/L7)^(9/16))^8/27))^2</f>
        <v>369.76447639685347</v>
      </c>
      <c r="L16" s="19"/>
      <c r="M16" s="1"/>
      <c r="N16" s="1"/>
      <c r="O16" s="13" t="s">
        <v>41</v>
      </c>
      <c r="P16" s="9">
        <f>(0.6+(0.387*(P15^(1/6)))/((1+(0.559/L7)^(9/16))^8/27))^2</f>
        <v>306.8206004476491</v>
      </c>
      <c r="Q16" s="9"/>
      <c r="R16" s="13" t="s">
        <v>41</v>
      </c>
      <c r="S16" s="9">
        <f>(0.6+(0.387*(S15^(1/6)))/((1+(0.559/L7)^(9/16))^8/27))^2</f>
        <v>308.1493153951626</v>
      </c>
      <c r="T16" s="9"/>
    </row>
    <row r="17" spans="1:20" x14ac:dyDescent="0.25">
      <c r="B17" s="3">
        <v>165</v>
      </c>
      <c r="C17" s="2">
        <v>69.7</v>
      </c>
      <c r="D17" s="2">
        <v>70</v>
      </c>
      <c r="G17" s="18" t="s">
        <v>42</v>
      </c>
      <c r="H17" s="19">
        <f>(H16*H6)/(B29*10^-2)</f>
        <v>173095.27426252264</v>
      </c>
      <c r="I17" s="18" t="s">
        <v>43</v>
      </c>
      <c r="J17" s="18" t="s">
        <v>42</v>
      </c>
      <c r="K17" s="19">
        <f>(K16*H6)/(B29*10^-2)</f>
        <v>172954.35186304434</v>
      </c>
      <c r="L17" s="18" t="s">
        <v>43</v>
      </c>
      <c r="M17" s="1"/>
      <c r="N17" s="1"/>
      <c r="O17" s="13" t="s">
        <v>42</v>
      </c>
      <c r="P17" s="9">
        <f>(P16*H6)/(B29*10^-2)</f>
        <v>143512.86149970681</v>
      </c>
      <c r="Q17" s="13" t="s">
        <v>43</v>
      </c>
      <c r="R17" s="13" t="s">
        <v>42</v>
      </c>
      <c r="S17" s="9">
        <f>(S16*H6)/(B29*10^-2)</f>
        <v>144134.35720096313</v>
      </c>
      <c r="T17" s="13" t="s">
        <v>43</v>
      </c>
    </row>
    <row r="18" spans="1:20" x14ac:dyDescent="0.25">
      <c r="B18" s="3">
        <v>180</v>
      </c>
      <c r="C18" s="2">
        <v>69.7</v>
      </c>
      <c r="D18" s="2">
        <v>70</v>
      </c>
      <c r="G18" s="21" t="s">
        <v>44</v>
      </c>
      <c r="H18" s="22">
        <f>(H17*(B26*10^-2))/H6</f>
        <v>196.9704845056292</v>
      </c>
      <c r="I18" s="22"/>
      <c r="J18" s="21" t="s">
        <v>44</v>
      </c>
      <c r="K18" s="22">
        <f>(K17*(B27*10^-2))/H6</f>
        <v>184.88223819842673</v>
      </c>
      <c r="L18" s="22"/>
      <c r="M18" s="1"/>
      <c r="N18" s="1"/>
      <c r="O18" s="14" t="s">
        <v>44</v>
      </c>
      <c r="P18" s="11">
        <f>(P17*(B26*10^-2))/H6</f>
        <v>163.30773894794223</v>
      </c>
      <c r="Q18" s="11"/>
      <c r="R18" s="14" t="s">
        <v>44</v>
      </c>
      <c r="S18" s="11">
        <f>(S17*(B27*10^-2))/H6</f>
        <v>154.0746576975813</v>
      </c>
      <c r="T18" s="11"/>
    </row>
    <row r="19" spans="1:20" x14ac:dyDescent="0.25">
      <c r="B19" s="3">
        <v>195</v>
      </c>
      <c r="C19" s="2">
        <v>69.7</v>
      </c>
      <c r="D19" s="2">
        <v>70</v>
      </c>
      <c r="G19" s="21" t="s">
        <v>45</v>
      </c>
      <c r="H19" s="22">
        <v>3.1415999999999999</v>
      </c>
      <c r="I19" s="22"/>
      <c r="J19" s="21" t="s">
        <v>45</v>
      </c>
      <c r="K19" s="22">
        <v>3.1415999999999999</v>
      </c>
      <c r="L19" s="22"/>
      <c r="M19" s="1"/>
      <c r="N19" s="1"/>
      <c r="O19" s="14" t="s">
        <v>45</v>
      </c>
      <c r="P19" s="22">
        <v>3.1415999999999999</v>
      </c>
      <c r="Q19" s="11"/>
      <c r="R19" s="14" t="s">
        <v>45</v>
      </c>
      <c r="S19" s="22">
        <v>3.1415999999999999</v>
      </c>
      <c r="T19" s="11"/>
    </row>
    <row r="20" spans="1:20" x14ac:dyDescent="0.25">
      <c r="B20" s="3">
        <v>210</v>
      </c>
      <c r="C20" s="2">
        <v>69.7</v>
      </c>
      <c r="D20" s="2">
        <v>70</v>
      </c>
      <c r="G20" s="21" t="s">
        <v>46</v>
      </c>
      <c r="H20" s="22">
        <v>2</v>
      </c>
      <c r="I20" s="22"/>
      <c r="J20" s="21" t="s">
        <v>46</v>
      </c>
      <c r="K20" s="22">
        <v>2</v>
      </c>
      <c r="L20" s="22"/>
      <c r="M20" s="1"/>
      <c r="N20" s="1"/>
      <c r="O20" s="14" t="s">
        <v>46</v>
      </c>
      <c r="P20" s="22">
        <v>2</v>
      </c>
      <c r="Q20" s="11"/>
      <c r="R20" s="14" t="s">
        <v>46</v>
      </c>
      <c r="S20" s="22">
        <v>2</v>
      </c>
      <c r="T20" s="11"/>
    </row>
    <row r="21" spans="1:20" x14ac:dyDescent="0.25">
      <c r="B21" s="3">
        <v>225</v>
      </c>
      <c r="C21" s="2">
        <v>69.8</v>
      </c>
      <c r="D21" s="2">
        <v>70</v>
      </c>
      <c r="G21" s="21" t="s">
        <v>47</v>
      </c>
      <c r="H21" s="22">
        <f>(H19*(0.2*10^-2))/(3.1*10^-2)</f>
        <v>0.20268387096774193</v>
      </c>
      <c r="I21" s="22"/>
      <c r="J21" s="21" t="s">
        <v>47</v>
      </c>
      <c r="K21" s="22">
        <f>(K19*(0.2*10^-2))/(3.1*10^-2)</f>
        <v>0.20268387096774193</v>
      </c>
      <c r="L21" s="22"/>
      <c r="M21" s="1"/>
      <c r="N21" s="1"/>
      <c r="O21" s="14" t="s">
        <v>47</v>
      </c>
      <c r="P21" s="11">
        <f>(P19*(1*10^-2))/(3.1*10^-2)</f>
        <v>1.0134193548387096</v>
      </c>
      <c r="Q21" s="11"/>
      <c r="R21" s="14" t="s">
        <v>47</v>
      </c>
      <c r="S21" s="11">
        <f>(S19*(1*10^-2))/(3.1*10^-2)</f>
        <v>1.0134193548387096</v>
      </c>
      <c r="T21" s="11"/>
    </row>
    <row r="22" spans="1:20" x14ac:dyDescent="0.25">
      <c r="B22" s="3">
        <v>240</v>
      </c>
      <c r="C22" s="3">
        <v>69.8</v>
      </c>
      <c r="D22" s="3">
        <v>70</v>
      </c>
      <c r="G22" s="21"/>
      <c r="H22" s="22"/>
      <c r="I22" s="22"/>
      <c r="J22" s="21"/>
      <c r="K22" s="22"/>
      <c r="L22" s="22"/>
      <c r="M22" s="1"/>
      <c r="N22" s="1"/>
      <c r="O22" s="14"/>
      <c r="P22" s="11"/>
      <c r="Q22" s="11"/>
      <c r="R22" s="14"/>
      <c r="S22" s="11"/>
      <c r="T22" s="11"/>
    </row>
    <row r="23" spans="1:20" x14ac:dyDescent="0.25">
      <c r="B23" s="2">
        <v>255</v>
      </c>
      <c r="C23" s="2">
        <v>69.8</v>
      </c>
      <c r="D23" s="2">
        <v>70</v>
      </c>
      <c r="G23" s="21" t="s">
        <v>49</v>
      </c>
      <c r="H23" s="22">
        <f>H20*EXP(1)^(-(H19^2)*H12)*(SIN(H21)/H21)</f>
        <v>1.5861923429484524E-14</v>
      </c>
      <c r="I23" s="22"/>
      <c r="J23" s="21" t="s">
        <v>49</v>
      </c>
      <c r="K23" s="22">
        <f>K20*EXP(1)^(-(K19^2)*K12)*(SIN(K21)/K21)</f>
        <v>2.1019334084262982E-16</v>
      </c>
      <c r="L23" s="22"/>
      <c r="M23" s="1"/>
      <c r="N23" s="1"/>
      <c r="O23" s="14" t="s">
        <v>49</v>
      </c>
      <c r="P23" s="11">
        <f>P20*EXP(1)^(-(P19^2)*P12)*(SIN(P21)/P21)</f>
        <v>0.33043214724839409</v>
      </c>
      <c r="Q23" s="11"/>
      <c r="R23" s="14" t="s">
        <v>49</v>
      </c>
      <c r="S23" s="11">
        <f>S20*EXP(1)^(-(S19^2)*S12)*(SIN(S21)/S21)</f>
        <v>0.26619227489358793</v>
      </c>
      <c r="T23" s="11"/>
    </row>
    <row r="24" spans="1:20" x14ac:dyDescent="0.25">
      <c r="B24" s="2">
        <v>300</v>
      </c>
      <c r="C24" s="2">
        <v>69.8</v>
      </c>
      <c r="D24" s="2">
        <v>70</v>
      </c>
      <c r="G24" s="13"/>
      <c r="H24" s="9"/>
      <c r="I24" s="9"/>
      <c r="J24" s="13"/>
      <c r="K24" s="9"/>
      <c r="L24" s="9"/>
      <c r="M24" s="1"/>
      <c r="N24" s="1"/>
      <c r="O24" s="13"/>
      <c r="P24" s="9"/>
      <c r="Q24" s="9"/>
      <c r="R24" s="13"/>
      <c r="S24" s="9"/>
      <c r="T24" s="9"/>
    </row>
    <row r="25" spans="1:20" x14ac:dyDescent="0.25">
      <c r="G25" s="13" t="s">
        <v>52</v>
      </c>
      <c r="H25" s="9">
        <f>69.8-(H23*(69.8-C6))</f>
        <v>69.799999999999372</v>
      </c>
      <c r="I25" s="9"/>
      <c r="J25" s="13" t="s">
        <v>52</v>
      </c>
      <c r="K25" s="9">
        <f>69.8-(K23*(69.8-D26))</f>
        <v>69.799999999999983</v>
      </c>
      <c r="L25" s="9"/>
      <c r="M25" s="1"/>
      <c r="N25" s="1"/>
      <c r="O25" s="13" t="s">
        <v>52</v>
      </c>
      <c r="P25" s="9">
        <f>69.8-(P23*(69.8-C6))</f>
        <v>56.681843754238756</v>
      </c>
      <c r="Q25" s="9"/>
      <c r="R25" s="13" t="s">
        <v>52</v>
      </c>
      <c r="S25" s="9">
        <f>69.8-(S23*(69.8-D6))</f>
        <v>59.312024369192635</v>
      </c>
      <c r="T25" s="9"/>
    </row>
    <row r="26" spans="1:20" x14ac:dyDescent="0.25">
      <c r="A26" s="1" t="s">
        <v>7</v>
      </c>
      <c r="B26" s="1">
        <v>3.3</v>
      </c>
      <c r="M26" s="1"/>
      <c r="N26" s="1"/>
    </row>
    <row r="27" spans="1:20" x14ac:dyDescent="0.25">
      <c r="A27" s="1" t="s">
        <v>8</v>
      </c>
      <c r="B27" s="4">
        <v>3.1</v>
      </c>
      <c r="M27" s="1"/>
      <c r="N27" s="1"/>
    </row>
    <row r="28" spans="1:20" x14ac:dyDescent="0.25">
      <c r="M28" s="1"/>
      <c r="N28" s="1"/>
    </row>
    <row r="29" spans="1:20" x14ac:dyDescent="0.25">
      <c r="A29" s="1" t="s">
        <v>6</v>
      </c>
      <c r="B29" s="1">
        <v>6.2</v>
      </c>
      <c r="M29" s="1"/>
      <c r="N29" s="1"/>
    </row>
    <row r="30" spans="1:20" x14ac:dyDescent="0.25">
      <c r="M30" s="1"/>
      <c r="N30" s="1"/>
    </row>
    <row r="31" spans="1:20" x14ac:dyDescent="0.25">
      <c r="M31" s="1"/>
      <c r="N31" s="1"/>
    </row>
    <row r="32" spans="1:20" x14ac:dyDescent="0.25">
      <c r="M32" s="1"/>
      <c r="N32" s="1"/>
    </row>
    <row r="33" spans="13:14" x14ac:dyDescent="0.25">
      <c r="M33" s="1"/>
      <c r="N33" s="1"/>
    </row>
    <row r="34" spans="13:14" x14ac:dyDescent="0.25">
      <c r="M34" s="1"/>
      <c r="N34" s="1"/>
    </row>
    <row r="35" spans="13:14" x14ac:dyDescent="0.25">
      <c r="M35" s="1"/>
      <c r="N3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73F63-C99A-448D-8125-80302839C35D}">
  <dimension ref="A2:T35"/>
  <sheetViews>
    <sheetView topLeftCell="B5" zoomScale="80" zoomScaleNormal="80" workbookViewId="0">
      <selection activeCell="H12" sqref="H12"/>
    </sheetView>
  </sheetViews>
  <sheetFormatPr defaultRowHeight="15" x14ac:dyDescent="0.25"/>
  <cols>
    <col min="1" max="1" width="20.85546875" style="1" customWidth="1"/>
    <col min="2" max="2" width="20.140625" style="1" customWidth="1"/>
    <col min="3" max="3" width="21.42578125" style="1" customWidth="1"/>
    <col min="4" max="4" width="20.140625" style="1" customWidth="1"/>
    <col min="5" max="6" width="9.140625" style="1"/>
    <col min="7" max="7" width="16.85546875" style="1" customWidth="1"/>
    <col min="8" max="8" width="17.28515625" style="1" customWidth="1"/>
    <col min="9" max="9" width="9.140625" style="1"/>
    <col min="10" max="10" width="22.28515625" style="1" customWidth="1"/>
    <col min="11" max="11" width="13.140625" style="1" customWidth="1"/>
    <col min="12" max="14" width="9.140625" style="1"/>
    <col min="15" max="15" width="18.140625" style="1" customWidth="1"/>
    <col min="16" max="16" width="17" style="1" customWidth="1"/>
    <col min="17" max="17" width="9.140625" style="1"/>
    <col min="18" max="18" width="16.140625" style="1" customWidth="1"/>
    <col min="19" max="19" width="11.28515625" style="1" customWidth="1"/>
    <col min="20" max="16384" width="9.140625" style="1"/>
  </cols>
  <sheetData>
    <row r="2" spans="2:20" x14ac:dyDescent="0.25">
      <c r="F2"/>
      <c r="G2" s="16"/>
      <c r="H2" s="16"/>
      <c r="I2" s="17"/>
      <c r="J2" s="17"/>
      <c r="K2" s="17"/>
      <c r="L2" s="17"/>
      <c r="M2" s="17"/>
      <c r="N2" s="17"/>
    </row>
    <row r="3" spans="2:20" x14ac:dyDescent="0.25">
      <c r="B3" s="1" t="s">
        <v>13</v>
      </c>
      <c r="F3"/>
      <c r="G3" s="17" t="s">
        <v>54</v>
      </c>
      <c r="H3" s="17"/>
      <c r="I3" s="17"/>
      <c r="J3" s="17"/>
      <c r="K3" s="17" t="s">
        <v>33</v>
      </c>
      <c r="L3" s="17" t="s">
        <v>39</v>
      </c>
      <c r="M3" s="17"/>
      <c r="N3" s="17"/>
    </row>
    <row r="4" spans="2:20" x14ac:dyDescent="0.25">
      <c r="B4" s="1" t="s">
        <v>3</v>
      </c>
      <c r="C4" s="1" t="s">
        <v>4</v>
      </c>
      <c r="F4"/>
      <c r="G4" s="17" t="s">
        <v>22</v>
      </c>
      <c r="H4" s="23">
        <v>2698.9</v>
      </c>
      <c r="I4" s="17" t="s">
        <v>24</v>
      </c>
      <c r="J4" s="17"/>
      <c r="K4" s="17" t="s">
        <v>22</v>
      </c>
      <c r="L4" s="17">
        <v>977.5</v>
      </c>
      <c r="M4" s="17" t="s">
        <v>24</v>
      </c>
      <c r="N4" s="17"/>
    </row>
    <row r="5" spans="2:20" x14ac:dyDescent="0.2">
      <c r="B5" s="2" t="s">
        <v>0</v>
      </c>
      <c r="C5" s="2" t="s">
        <v>2</v>
      </c>
      <c r="D5" s="5" t="s">
        <v>1</v>
      </c>
      <c r="G5" s="17" t="s">
        <v>23</v>
      </c>
      <c r="H5" s="23">
        <v>900</v>
      </c>
      <c r="I5" s="17" t="s">
        <v>25</v>
      </c>
      <c r="J5" s="17"/>
      <c r="K5" s="17" t="s">
        <v>34</v>
      </c>
      <c r="L5" s="17">
        <f>0.578*10^-3</f>
        <v>5.7799999999999995E-4</v>
      </c>
      <c r="M5" s="17" t="s">
        <v>36</v>
      </c>
      <c r="N5" s="17"/>
    </row>
    <row r="6" spans="2:20" x14ac:dyDescent="0.25">
      <c r="B6" s="3">
        <v>0</v>
      </c>
      <c r="C6" s="3">
        <v>25.9</v>
      </c>
      <c r="D6" s="3">
        <v>26.3</v>
      </c>
      <c r="G6" s="17" t="s">
        <v>20</v>
      </c>
      <c r="H6" s="17">
        <v>29</v>
      </c>
      <c r="I6" s="17" t="s">
        <v>21</v>
      </c>
      <c r="J6" s="17"/>
      <c r="K6" s="17" t="s">
        <v>35</v>
      </c>
      <c r="L6" s="17">
        <f>0.404*10^-3</f>
        <v>4.0400000000000001E-4</v>
      </c>
      <c r="M6" s="17" t="s">
        <v>37</v>
      </c>
      <c r="N6" s="17"/>
    </row>
    <row r="7" spans="2:20" ht="18" x14ac:dyDescent="0.25">
      <c r="B7" s="2">
        <v>15</v>
      </c>
      <c r="C7" s="2">
        <v>59.1</v>
      </c>
      <c r="D7" s="2">
        <v>59</v>
      </c>
      <c r="G7" s="17" t="s">
        <v>55</v>
      </c>
      <c r="H7" s="17">
        <f>H6/(H4*H5)</f>
        <v>1.1939020423958732E-5</v>
      </c>
      <c r="I7" s="17" t="s">
        <v>56</v>
      </c>
      <c r="J7" s="17"/>
      <c r="K7" s="17" t="s">
        <v>38</v>
      </c>
      <c r="L7" s="17">
        <v>2.5499999999999998</v>
      </c>
      <c r="M7" s="17"/>
      <c r="N7" s="17"/>
    </row>
    <row r="8" spans="2:20" x14ac:dyDescent="0.25">
      <c r="B8" s="3">
        <v>30</v>
      </c>
      <c r="C8" s="3">
        <v>67</v>
      </c>
      <c r="D8" s="3">
        <v>67.2</v>
      </c>
      <c r="G8" s="17"/>
      <c r="H8" s="17"/>
      <c r="I8" s="17"/>
      <c r="J8" s="17"/>
      <c r="K8" s="17"/>
      <c r="L8" s="17"/>
      <c r="M8" s="17"/>
      <c r="N8" s="17"/>
    </row>
    <row r="9" spans="2:20" x14ac:dyDescent="0.25">
      <c r="B9" s="8">
        <v>45</v>
      </c>
      <c r="C9" s="2">
        <v>68.900000000000006</v>
      </c>
      <c r="D9" s="2">
        <v>69.099999999999994</v>
      </c>
    </row>
    <row r="10" spans="2:20" x14ac:dyDescent="0.25">
      <c r="B10" s="3">
        <v>60</v>
      </c>
      <c r="C10" s="3">
        <v>69.2</v>
      </c>
      <c r="D10" s="3">
        <v>69.599999999999994</v>
      </c>
      <c r="G10" s="18">
        <v>5</v>
      </c>
      <c r="H10" s="18" t="s">
        <v>18</v>
      </c>
      <c r="I10" s="18"/>
      <c r="J10" s="18"/>
      <c r="K10" s="18"/>
      <c r="L10" s="18"/>
      <c r="O10" s="13">
        <v>15</v>
      </c>
      <c r="P10" s="13" t="s">
        <v>19</v>
      </c>
      <c r="Q10" s="13"/>
      <c r="R10" s="13"/>
      <c r="S10" s="13"/>
      <c r="T10" s="13"/>
    </row>
    <row r="11" spans="2:20" x14ac:dyDescent="0.25">
      <c r="B11" s="8">
        <v>75</v>
      </c>
      <c r="C11" s="2">
        <v>69.3</v>
      </c>
      <c r="D11" s="2">
        <v>69.8</v>
      </c>
      <c r="G11" s="18" t="s">
        <v>29</v>
      </c>
      <c r="H11" s="18"/>
      <c r="I11" s="18"/>
      <c r="J11" s="18" t="s">
        <v>31</v>
      </c>
      <c r="K11" s="18"/>
      <c r="L11" s="18"/>
      <c r="O11" s="13" t="s">
        <v>29</v>
      </c>
      <c r="P11" s="13"/>
      <c r="Q11" s="13"/>
      <c r="R11" s="13" t="s">
        <v>31</v>
      </c>
      <c r="S11" s="13"/>
      <c r="T11" s="13"/>
    </row>
    <row r="12" spans="2:20" x14ac:dyDescent="0.25">
      <c r="B12" s="3">
        <v>90</v>
      </c>
      <c r="C12" s="3">
        <v>69.3</v>
      </c>
      <c r="D12" s="3">
        <v>69.8</v>
      </c>
      <c r="G12" s="18" t="s">
        <v>28</v>
      </c>
      <c r="H12" s="19">
        <f>(H7*B26)/(B28*10^-2)^2</f>
        <v>3.7270615267300924</v>
      </c>
      <c r="I12" s="19"/>
      <c r="J12" s="18" t="s">
        <v>28</v>
      </c>
      <c r="K12" s="19">
        <f>(H7*B26)/(B28*10^-2)^2</f>
        <v>3.7270615267300924</v>
      </c>
      <c r="L12" s="19"/>
      <c r="O12" s="13" t="s">
        <v>28</v>
      </c>
      <c r="P12" s="9">
        <f>(H7*B7)/(B28*10^-2)^2</f>
        <v>0.18635307633650464</v>
      </c>
      <c r="Q12" s="9"/>
      <c r="R12" s="13" t="s">
        <v>28</v>
      </c>
      <c r="S12" s="9">
        <f>(H7*B7)/(B29*10^-2)^2</f>
        <v>0.4060891300666235</v>
      </c>
      <c r="T12" s="9"/>
    </row>
    <row r="13" spans="2:20" x14ac:dyDescent="0.25">
      <c r="B13" s="8">
        <v>105</v>
      </c>
      <c r="C13" s="2">
        <v>69.3</v>
      </c>
      <c r="D13" s="2">
        <v>69.8</v>
      </c>
      <c r="G13" s="18" t="s">
        <v>30</v>
      </c>
      <c r="H13" s="18"/>
      <c r="I13" s="18"/>
      <c r="J13" s="18" t="s">
        <v>30</v>
      </c>
      <c r="K13" s="18"/>
      <c r="L13" s="18"/>
      <c r="O13" s="13" t="s">
        <v>30</v>
      </c>
      <c r="P13" s="13"/>
      <c r="Q13" s="13"/>
      <c r="R13" s="13" t="s">
        <v>30</v>
      </c>
      <c r="S13" s="13"/>
      <c r="T13" s="13"/>
    </row>
    <row r="14" spans="2:20" x14ac:dyDescent="0.25">
      <c r="B14" s="3">
        <v>120</v>
      </c>
      <c r="C14" s="3">
        <v>69.400000000000006</v>
      </c>
      <c r="D14" s="3">
        <v>69.8</v>
      </c>
      <c r="G14" s="18" t="s">
        <v>32</v>
      </c>
      <c r="H14" s="20">
        <f>(((B31*10^(-2))^3)*(L4^2)*9.8*(L5)*(C26-C6))/(L6^2)</f>
        <v>328171385.29852641</v>
      </c>
      <c r="I14" s="19"/>
      <c r="J14" s="18" t="s">
        <v>32</v>
      </c>
      <c r="K14" s="19">
        <f>(((B31*10^(-2))^3)*(L4^2)*9.8*(L5)*(D26-D6))/(L6^2)</f>
        <v>330429445.28911263</v>
      </c>
      <c r="L14" s="19"/>
      <c r="O14" s="13" t="s">
        <v>32</v>
      </c>
      <c r="P14" s="10">
        <f>(((B31*10^(-2))^3)*(L4^2)*9.8*(L5)*(C7-C6))/(L6^2)</f>
        <v>249891972.29153845</v>
      </c>
      <c r="Q14" s="9"/>
      <c r="R14" s="13" t="s">
        <v>32</v>
      </c>
      <c r="S14" s="9">
        <f>(((B31*10^(-2))^3)*(L4^2)*9.8*(L5)*(D7-D6))/(L6^2)</f>
        <v>246128538.9738948</v>
      </c>
      <c r="T14" s="9"/>
    </row>
    <row r="15" spans="2:20" x14ac:dyDescent="0.25">
      <c r="B15" s="8">
        <v>135</v>
      </c>
      <c r="C15" s="2">
        <v>69.400000000000006</v>
      </c>
      <c r="D15" s="2">
        <v>69.900000000000006</v>
      </c>
      <c r="G15" s="18" t="s">
        <v>40</v>
      </c>
      <c r="H15" s="19">
        <f>H14*L7</f>
        <v>836837032.51124227</v>
      </c>
      <c r="I15" s="19"/>
      <c r="J15" s="18" t="s">
        <v>40</v>
      </c>
      <c r="K15" s="19">
        <f>K14*L7</f>
        <v>842595085.4872371</v>
      </c>
      <c r="L15" s="19"/>
      <c r="O15" s="13" t="s">
        <v>40</v>
      </c>
      <c r="P15" s="9">
        <f>P14*L7</f>
        <v>637224529.34342301</v>
      </c>
      <c r="Q15" s="9"/>
      <c r="R15" s="13" t="s">
        <v>40</v>
      </c>
      <c r="S15" s="9">
        <f>S14*L7</f>
        <v>627627774.38343167</v>
      </c>
      <c r="T15" s="9"/>
    </row>
    <row r="16" spans="2:20" x14ac:dyDescent="0.25">
      <c r="B16" s="3">
        <v>150</v>
      </c>
      <c r="C16" s="3">
        <v>69.400000000000006</v>
      </c>
      <c r="D16" s="3">
        <v>70</v>
      </c>
      <c r="G16" s="18" t="s">
        <v>41</v>
      </c>
      <c r="H16" s="19">
        <f>(0.6+(0.387*(H15^(1/6)))/((1+(0.559/L7)^(9/16))^8/27))^2</f>
        <v>375.47434481296671</v>
      </c>
      <c r="I16" s="19"/>
      <c r="J16" s="18" t="s">
        <v>41</v>
      </c>
      <c r="K16" s="19">
        <f>(0.6+(0.387*(K15^(1/6)))/((1+(0.559/L7)^(9/16))^8/27))^2</f>
        <v>376.30693721430902</v>
      </c>
      <c r="L16" s="19"/>
      <c r="O16" s="13" t="s">
        <v>41</v>
      </c>
      <c r="P16" s="9">
        <f>(0.6+(0.387*(P15^(1/6)))/((1+(0.559/L7)^(9/16))^8/27))^2</f>
        <v>343.85836238820514</v>
      </c>
      <c r="Q16" s="9"/>
      <c r="R16" s="13" t="s">
        <v>41</v>
      </c>
      <c r="S16" s="9">
        <f>(0.6+(0.387*(S15^(1/6)))/((1+(0.559/L7)^(9/16))^8/27))^2</f>
        <v>342.17949464248505</v>
      </c>
      <c r="T16" s="9"/>
    </row>
    <row r="17" spans="1:20" x14ac:dyDescent="0.25">
      <c r="B17" s="8">
        <v>165</v>
      </c>
      <c r="C17" s="2">
        <v>69.400000000000006</v>
      </c>
      <c r="D17" s="2">
        <v>70</v>
      </c>
      <c r="G17" s="18" t="s">
        <v>42</v>
      </c>
      <c r="H17" s="19">
        <f>(H16*H6)/(B31*10^-2)</f>
        <v>178504.19671436123</v>
      </c>
      <c r="I17" s="18" t="s">
        <v>43</v>
      </c>
      <c r="J17" s="18" t="s">
        <v>42</v>
      </c>
      <c r="K17" s="19">
        <f>(K16*H6)/(B31*10^-2)</f>
        <v>178900.0193313928</v>
      </c>
      <c r="L17" s="18" t="s">
        <v>43</v>
      </c>
      <c r="O17" s="13" t="s">
        <v>42</v>
      </c>
      <c r="P17" s="9">
        <f>(P16*H6)/(B31*10^-2)</f>
        <v>163473.64769275326</v>
      </c>
      <c r="Q17" s="13" t="s">
        <v>43</v>
      </c>
      <c r="R17" s="13" t="s">
        <v>42</v>
      </c>
      <c r="S17" s="9">
        <f>(S16*H6)/(B31*10^-2)</f>
        <v>162675.49745298468</v>
      </c>
      <c r="T17" s="13" t="s">
        <v>43</v>
      </c>
    </row>
    <row r="18" spans="1:20" x14ac:dyDescent="0.25">
      <c r="B18" s="3">
        <v>180</v>
      </c>
      <c r="C18" s="3">
        <v>69.400000000000006</v>
      </c>
      <c r="D18" s="3">
        <v>70</v>
      </c>
      <c r="G18" s="21" t="s">
        <v>44</v>
      </c>
      <c r="H18" s="22">
        <f>(H17*(B28*10^-2))/H6</f>
        <v>190.8148309705241</v>
      </c>
      <c r="I18" s="22"/>
      <c r="J18" s="21" t="s">
        <v>44</v>
      </c>
      <c r="K18" s="22">
        <f>(K17*(B29*10^-2))/H6</f>
        <v>129.54828986066374</v>
      </c>
      <c r="L18" s="22"/>
      <c r="O18" s="14" t="s">
        <v>44</v>
      </c>
      <c r="P18" s="11">
        <f>(P17*(B28*10^-2))/H6</f>
        <v>174.74769236121904</v>
      </c>
      <c r="Q18" s="11"/>
      <c r="R18" s="14" t="s">
        <v>44</v>
      </c>
      <c r="S18" s="11">
        <f>(S17*(B29*10^-2))/H6</f>
        <v>117.7994981556096</v>
      </c>
      <c r="T18" s="11"/>
    </row>
    <row r="19" spans="1:20" x14ac:dyDescent="0.25">
      <c r="B19" s="8">
        <v>195</v>
      </c>
      <c r="C19" s="2">
        <v>69.400000000000006</v>
      </c>
      <c r="D19" s="2">
        <v>70.099999999999994</v>
      </c>
      <c r="G19" s="21" t="s">
        <v>45</v>
      </c>
      <c r="H19" s="22">
        <v>2.4047999999999998</v>
      </c>
      <c r="I19" s="22"/>
      <c r="J19" s="21" t="s">
        <v>45</v>
      </c>
      <c r="K19" s="22">
        <v>2.4047999999999998</v>
      </c>
      <c r="L19" s="22"/>
      <c r="O19" s="14" t="s">
        <v>45</v>
      </c>
      <c r="P19" s="11">
        <v>2.4047999999999998</v>
      </c>
      <c r="Q19" s="11"/>
      <c r="R19" s="14" t="s">
        <v>45</v>
      </c>
      <c r="S19" s="11">
        <v>2.4047999999999998</v>
      </c>
      <c r="T19" s="11"/>
    </row>
    <row r="20" spans="1:20" x14ac:dyDescent="0.25">
      <c r="B20" s="3">
        <v>210</v>
      </c>
      <c r="C20" s="3">
        <v>69.5</v>
      </c>
      <c r="D20" s="3">
        <v>70.099999999999994</v>
      </c>
      <c r="G20" s="21" t="s">
        <v>46</v>
      </c>
      <c r="H20" s="22">
        <v>1.6021000000000001</v>
      </c>
      <c r="I20" s="22"/>
      <c r="J20" s="21" t="s">
        <v>46</v>
      </c>
      <c r="K20" s="22">
        <v>1.6021000000000001</v>
      </c>
      <c r="L20" s="22"/>
      <c r="O20" s="14" t="s">
        <v>46</v>
      </c>
      <c r="P20" s="11">
        <v>1.6021000000000001</v>
      </c>
      <c r="Q20" s="11"/>
      <c r="R20" s="14" t="s">
        <v>46</v>
      </c>
      <c r="S20" s="11">
        <v>1.6021000000000001</v>
      </c>
      <c r="T20" s="11"/>
    </row>
    <row r="21" spans="1:20" x14ac:dyDescent="0.25">
      <c r="B21" s="8">
        <v>225</v>
      </c>
      <c r="C21" s="2">
        <v>69.5</v>
      </c>
      <c r="D21" s="2">
        <v>70.2</v>
      </c>
      <c r="G21" s="21" t="s">
        <v>47</v>
      </c>
      <c r="H21" s="22">
        <f>(H19*(1*10^-2))/(3.1*10^-2)</f>
        <v>0.77574193548387094</v>
      </c>
      <c r="I21" s="22"/>
      <c r="J21" s="21" t="s">
        <v>47</v>
      </c>
      <c r="K21" s="22">
        <f>(K19*(1*10^-2))/(3.1*10^-2)</f>
        <v>0.77574193548387094</v>
      </c>
      <c r="L21" s="22"/>
      <c r="O21" s="14" t="s">
        <v>47</v>
      </c>
      <c r="P21" s="11">
        <f>(P19*(1*10^-2))/(3.1*10^-2)</f>
        <v>0.77574193548387094</v>
      </c>
      <c r="Q21" s="11"/>
      <c r="R21" s="14" t="s">
        <v>47</v>
      </c>
      <c r="S21" s="11">
        <f>(S19*(1*10^-2))/(3.1*10^-2)</f>
        <v>0.77574193548387094</v>
      </c>
      <c r="T21" s="11"/>
    </row>
    <row r="22" spans="1:20" x14ac:dyDescent="0.25">
      <c r="B22" s="3">
        <v>240</v>
      </c>
      <c r="C22" s="3">
        <v>69.5</v>
      </c>
      <c r="D22" s="3">
        <v>70.2</v>
      </c>
      <c r="G22" s="21" t="s">
        <v>48</v>
      </c>
      <c r="H22" s="22">
        <v>0.84630000000000005</v>
      </c>
      <c r="I22" s="22"/>
      <c r="J22" s="21" t="s">
        <v>48</v>
      </c>
      <c r="K22" s="22">
        <v>0.84630000000000005</v>
      </c>
      <c r="L22" s="22"/>
      <c r="O22" s="14" t="s">
        <v>48</v>
      </c>
      <c r="P22" s="11">
        <v>0.84630000000000005</v>
      </c>
      <c r="Q22" s="11"/>
      <c r="R22" s="14" t="s">
        <v>48</v>
      </c>
      <c r="S22" s="11">
        <v>0.84630000000000005</v>
      </c>
      <c r="T22" s="11"/>
    </row>
    <row r="23" spans="1:20" x14ac:dyDescent="0.25">
      <c r="B23" s="2">
        <v>255</v>
      </c>
      <c r="C23" s="2">
        <v>69.5</v>
      </c>
      <c r="D23" s="2">
        <v>70.2</v>
      </c>
      <c r="G23" s="21" t="s">
        <v>49</v>
      </c>
      <c r="H23" s="22">
        <f>H20*EXP(1)^(-(H19^2)*H12)*H22</f>
        <v>5.9088608500219518E-10</v>
      </c>
      <c r="I23" s="22"/>
      <c r="J23" s="21" t="s">
        <v>49</v>
      </c>
      <c r="K23" s="22">
        <f>K20*EXP(1)^(-(K19^2)*K12)*K22</f>
        <v>5.9088608500219518E-10</v>
      </c>
      <c r="L23" s="22"/>
      <c r="O23" s="14" t="s">
        <v>49</v>
      </c>
      <c r="P23" s="11">
        <f>P20*EXP(1)^(-(P19^2)*P12)*P22</f>
        <v>0.46150716865135716</v>
      </c>
      <c r="Q23" s="11"/>
      <c r="R23" s="14" t="s">
        <v>49</v>
      </c>
      <c r="S23" s="11">
        <f>S20*EXP(1)^(-(S19^2)*S12)*S22</f>
        <v>0.12950896885546415</v>
      </c>
      <c r="T23" s="11"/>
    </row>
    <row r="24" spans="1:20" x14ac:dyDescent="0.25">
      <c r="B24" s="3">
        <v>260</v>
      </c>
      <c r="C24" s="6">
        <v>69.5</v>
      </c>
      <c r="D24" s="6">
        <v>70.2</v>
      </c>
      <c r="G24" s="13"/>
      <c r="H24" s="9"/>
      <c r="I24" s="9"/>
      <c r="J24" s="13"/>
      <c r="K24" s="9"/>
      <c r="L24" s="9"/>
      <c r="O24" s="13"/>
      <c r="P24" s="9"/>
      <c r="Q24" s="9"/>
      <c r="R24" s="13"/>
      <c r="S24" s="9"/>
      <c r="T24" s="9"/>
    </row>
    <row r="25" spans="1:20" x14ac:dyDescent="0.25">
      <c r="B25" s="2">
        <v>275</v>
      </c>
      <c r="C25" s="2">
        <v>69.5</v>
      </c>
      <c r="D25" s="2">
        <v>70.2</v>
      </c>
      <c r="G25" s="15" t="s">
        <v>28</v>
      </c>
      <c r="H25" s="12">
        <f>(H7*B26)/(5*10^-2)^2</f>
        <v>1.4326824508750475</v>
      </c>
      <c r="I25" s="12"/>
      <c r="J25" s="15" t="s">
        <v>28</v>
      </c>
      <c r="K25" s="12">
        <f>(H7*B26)/(5*10^-2)^2</f>
        <v>1.4326824508750475</v>
      </c>
      <c r="L25" s="12"/>
      <c r="O25" s="15" t="s">
        <v>28</v>
      </c>
      <c r="P25" s="12">
        <f>(H7*B7)/(5*10^-2)^2</f>
        <v>7.1634122543752371E-2</v>
      </c>
      <c r="Q25" s="12"/>
      <c r="R25" s="15" t="s">
        <v>28</v>
      </c>
      <c r="S25" s="12">
        <f>(H7*B7)/(5*10^-2)^2</f>
        <v>7.1634122543752371E-2</v>
      </c>
      <c r="T25" s="12"/>
    </row>
    <row r="26" spans="1:20" x14ac:dyDescent="0.25">
      <c r="B26" s="3">
        <v>300</v>
      </c>
      <c r="C26" s="6">
        <v>69.5</v>
      </c>
      <c r="D26" s="6">
        <v>70.2</v>
      </c>
      <c r="G26" s="15" t="s">
        <v>44</v>
      </c>
      <c r="H26" s="12">
        <f>(H17*(5*10^-2))/H6</f>
        <v>307.76585640407109</v>
      </c>
      <c r="I26" s="12"/>
      <c r="J26" s="15" t="s">
        <v>44</v>
      </c>
      <c r="K26" s="12">
        <f>(K17*(5*10^-2))/H6</f>
        <v>308.44830919205657</v>
      </c>
      <c r="L26" s="12"/>
      <c r="O26" s="15" t="s">
        <v>44</v>
      </c>
      <c r="P26" s="12">
        <f>(P17*(5*10^-2))/H6</f>
        <v>281.85111671164356</v>
      </c>
      <c r="Q26" s="12"/>
      <c r="R26" s="15" t="s">
        <v>44</v>
      </c>
      <c r="S26" s="12">
        <f>(S17*(5*10^-2))/H6</f>
        <v>280.47499560859427</v>
      </c>
      <c r="T26" s="12"/>
    </row>
    <row r="27" spans="1:20" x14ac:dyDescent="0.25">
      <c r="G27" s="15" t="s">
        <v>45</v>
      </c>
      <c r="H27" s="12">
        <v>1.5708</v>
      </c>
      <c r="I27" s="12"/>
      <c r="J27" s="15" t="s">
        <v>45</v>
      </c>
      <c r="K27" s="12">
        <v>1.5708</v>
      </c>
      <c r="L27" s="12"/>
      <c r="O27" s="15" t="s">
        <v>45</v>
      </c>
      <c r="P27" s="12">
        <v>1.5708</v>
      </c>
      <c r="Q27" s="12"/>
      <c r="R27" s="15" t="s">
        <v>45</v>
      </c>
      <c r="S27" s="12">
        <v>1.5708</v>
      </c>
      <c r="T27" s="12"/>
    </row>
    <row r="28" spans="1:20" x14ac:dyDescent="0.25">
      <c r="A28" s="1" t="s">
        <v>7</v>
      </c>
      <c r="B28" s="1">
        <v>3.1</v>
      </c>
      <c r="G28" s="15" t="s">
        <v>46</v>
      </c>
      <c r="H28" s="12">
        <v>1.2732000000000001</v>
      </c>
      <c r="I28" s="12"/>
      <c r="J28" s="15" t="s">
        <v>46</v>
      </c>
      <c r="K28" s="12">
        <v>1.2732000000000001</v>
      </c>
      <c r="L28" s="12"/>
      <c r="O28" s="15" t="s">
        <v>46</v>
      </c>
      <c r="P28" s="12">
        <v>1.2732000000000001</v>
      </c>
      <c r="Q28" s="12"/>
      <c r="R28" s="15" t="s">
        <v>46</v>
      </c>
      <c r="S28" s="12">
        <v>1.2732000000000001</v>
      </c>
      <c r="T28" s="12"/>
    </row>
    <row r="29" spans="1:20" x14ac:dyDescent="0.25">
      <c r="A29" s="1" t="s">
        <v>8</v>
      </c>
      <c r="B29" s="1">
        <v>2.1</v>
      </c>
      <c r="G29" s="15"/>
      <c r="H29" s="12"/>
      <c r="I29" s="12"/>
      <c r="J29" s="15"/>
      <c r="K29" s="12"/>
      <c r="L29" s="12"/>
      <c r="O29" s="15"/>
      <c r="P29" s="12"/>
      <c r="Q29" s="12"/>
      <c r="R29" s="15"/>
      <c r="S29" s="12"/>
      <c r="T29" s="12"/>
    </row>
    <row r="30" spans="1:20" x14ac:dyDescent="0.25">
      <c r="A30" s="1" t="s">
        <v>9</v>
      </c>
      <c r="B30" s="1">
        <v>10</v>
      </c>
      <c r="G30" s="15"/>
      <c r="H30" s="12"/>
      <c r="I30" s="12"/>
      <c r="J30" s="15"/>
      <c r="K30" s="12"/>
      <c r="L30" s="12"/>
      <c r="O30" s="15"/>
      <c r="P30" s="12"/>
      <c r="Q30" s="12"/>
      <c r="R30" s="15"/>
      <c r="S30" s="12"/>
      <c r="T30" s="12"/>
    </row>
    <row r="31" spans="1:20" x14ac:dyDescent="0.25">
      <c r="A31" s="1" t="s">
        <v>57</v>
      </c>
      <c r="B31" s="1">
        <v>6.1</v>
      </c>
      <c r="G31" s="15" t="s">
        <v>50</v>
      </c>
      <c r="H31" s="12">
        <f>H28*EXP(1)^(-((H27)^2)*H25)</f>
        <v>3.7124231887605122E-2</v>
      </c>
      <c r="I31" s="12"/>
      <c r="J31" s="15" t="s">
        <v>50</v>
      </c>
      <c r="K31" s="12">
        <f>K28*EXP(1)^(-((K27)^2)*K25)</f>
        <v>3.7124231887605122E-2</v>
      </c>
      <c r="L31" s="12"/>
      <c r="O31" s="15" t="s">
        <v>50</v>
      </c>
      <c r="P31" s="12">
        <f>P28*EXP(1)^(-((P27)^2)*P25)</f>
        <v>1.066926918003327</v>
      </c>
      <c r="Q31" s="12"/>
      <c r="R31" s="15" t="s">
        <v>50</v>
      </c>
      <c r="S31" s="12">
        <f>S28*EXP(1)^(-(S27^2)*S25)</f>
        <v>1.066926918003327</v>
      </c>
      <c r="T31" s="12"/>
    </row>
    <row r="32" spans="1:20" x14ac:dyDescent="0.25">
      <c r="G32" s="13"/>
      <c r="H32" s="9"/>
      <c r="I32" s="9"/>
      <c r="J32" s="13"/>
      <c r="K32" s="9"/>
      <c r="L32" s="9"/>
      <c r="O32" s="13"/>
      <c r="P32" s="9"/>
      <c r="Q32" s="9"/>
      <c r="R32" s="13"/>
      <c r="S32" s="9"/>
      <c r="T32" s="9"/>
    </row>
    <row r="33" spans="1:20" x14ac:dyDescent="0.25">
      <c r="A33" s="7"/>
      <c r="G33" s="13" t="s">
        <v>51</v>
      </c>
      <c r="H33" s="9">
        <f>H31*H23</f>
        <v>2.1936192038780644E-11</v>
      </c>
      <c r="I33" s="9"/>
      <c r="J33" s="13" t="s">
        <v>51</v>
      </c>
      <c r="K33" s="9">
        <f>K31*K23</f>
        <v>2.1936192038780644E-11</v>
      </c>
      <c r="L33" s="9"/>
      <c r="O33" s="13" t="s">
        <v>51</v>
      </c>
      <c r="P33" s="9">
        <f>P31*P23</f>
        <v>0.49239442108563414</v>
      </c>
      <c r="Q33" s="9"/>
      <c r="R33" s="13" t="s">
        <v>51</v>
      </c>
      <c r="S33" s="9">
        <f>S31*S23</f>
        <v>0.13817660499474921</v>
      </c>
      <c r="T33" s="9"/>
    </row>
    <row r="34" spans="1:20" x14ac:dyDescent="0.25">
      <c r="G34" s="13"/>
      <c r="H34" s="9"/>
      <c r="I34" s="9"/>
      <c r="J34" s="13"/>
      <c r="K34" s="9"/>
      <c r="L34" s="9"/>
      <c r="O34" s="13"/>
      <c r="P34" s="9"/>
      <c r="Q34" s="9"/>
      <c r="R34" s="9"/>
      <c r="S34" s="9"/>
      <c r="T34" s="9"/>
    </row>
    <row r="35" spans="1:20" x14ac:dyDescent="0.25">
      <c r="G35" s="13" t="s">
        <v>52</v>
      </c>
      <c r="H35" s="9">
        <f>69.8-(H33*(69.8-C6))</f>
        <v>69.799999999036999</v>
      </c>
      <c r="I35" s="9"/>
      <c r="J35" s="13" t="s">
        <v>52</v>
      </c>
      <c r="K35" s="9">
        <f>69.8-(K33*(69.8-D26))</f>
        <v>69.800000000008765</v>
      </c>
      <c r="L35" s="9"/>
      <c r="O35" s="13" t="s">
        <v>52</v>
      </c>
      <c r="P35" s="9">
        <f>69.8-(P33*(69.8-C6))</f>
        <v>48.183884914340659</v>
      </c>
      <c r="Q35" s="9"/>
      <c r="R35" s="13" t="s">
        <v>52</v>
      </c>
      <c r="S35" s="9">
        <f>69.8-(S33*(69.8-D6))</f>
        <v>63.789317682728409</v>
      </c>
      <c r="T35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5E59-5591-490C-ADE7-3FCE3DB8A20F}">
  <dimension ref="B3:T46"/>
  <sheetViews>
    <sheetView tabSelected="1" topLeftCell="A12" zoomScale="80" zoomScaleNormal="80" workbookViewId="0">
      <selection activeCell="S15" sqref="S15"/>
    </sheetView>
  </sheetViews>
  <sheetFormatPr defaultRowHeight="15" x14ac:dyDescent="0.25"/>
  <cols>
    <col min="1" max="1" width="9.140625" style="1"/>
    <col min="2" max="2" width="19.42578125" style="1" customWidth="1"/>
    <col min="3" max="3" width="20.5703125" style="1" customWidth="1"/>
    <col min="4" max="4" width="20.7109375" style="1" customWidth="1"/>
    <col min="5" max="6" width="9.140625" style="1"/>
    <col min="7" max="8" width="15.85546875" style="1" customWidth="1"/>
    <col min="9" max="9" width="9.140625" style="1"/>
    <col min="10" max="10" width="15.7109375" style="1" customWidth="1"/>
    <col min="11" max="11" width="12" style="1" bestFit="1" customWidth="1"/>
    <col min="12" max="12" width="12.140625" style="1" customWidth="1"/>
    <col min="13" max="14" width="9.140625" style="1"/>
    <col min="15" max="15" width="16.42578125" style="1" customWidth="1"/>
    <col min="16" max="16" width="14.42578125" style="1" bestFit="1" customWidth="1"/>
    <col min="17" max="17" width="9.140625" style="1"/>
    <col min="18" max="18" width="15.85546875" style="1" customWidth="1"/>
    <col min="19" max="19" width="12.5703125" style="1" customWidth="1"/>
    <col min="20" max="16384" width="9.140625" style="1"/>
  </cols>
  <sheetData>
    <row r="3" spans="2:20" x14ac:dyDescent="0.25">
      <c r="B3" s="1" t="s">
        <v>3</v>
      </c>
      <c r="C3" s="1" t="s">
        <v>4</v>
      </c>
      <c r="G3" s="1" t="s">
        <v>26</v>
      </c>
      <c r="K3" s="1" t="s">
        <v>33</v>
      </c>
      <c r="L3" s="1" t="s">
        <v>39</v>
      </c>
    </row>
    <row r="4" spans="2:20" x14ac:dyDescent="0.25">
      <c r="B4" s="2" t="s">
        <v>0</v>
      </c>
      <c r="C4" s="2" t="s">
        <v>2</v>
      </c>
      <c r="D4" s="5" t="s">
        <v>1</v>
      </c>
      <c r="G4" s="1" t="s">
        <v>22</v>
      </c>
      <c r="H4" s="1">
        <v>1180</v>
      </c>
      <c r="I4" s="1" t="s">
        <v>24</v>
      </c>
      <c r="K4" s="1" t="s">
        <v>22</v>
      </c>
      <c r="L4" s="1">
        <v>977.5</v>
      </c>
      <c r="M4" s="1" t="s">
        <v>24</v>
      </c>
    </row>
    <row r="5" spans="2:20" x14ac:dyDescent="0.25">
      <c r="B5" s="3">
        <v>0</v>
      </c>
      <c r="C5" s="3">
        <v>25.4</v>
      </c>
      <c r="D5" s="3">
        <v>26.8</v>
      </c>
      <c r="G5" s="1" t="s">
        <v>23</v>
      </c>
      <c r="H5" s="1">
        <v>1465.38</v>
      </c>
      <c r="I5" s="1" t="s">
        <v>25</v>
      </c>
      <c r="K5" s="1" t="s">
        <v>34</v>
      </c>
      <c r="L5" s="1">
        <f>0.578*10^-3</f>
        <v>5.7799999999999995E-4</v>
      </c>
      <c r="M5" s="1" t="s">
        <v>36</v>
      </c>
    </row>
    <row r="6" spans="2:20" x14ac:dyDescent="0.25">
      <c r="B6" s="2">
        <v>30</v>
      </c>
      <c r="C6" s="1">
        <v>25.7</v>
      </c>
      <c r="D6" s="2">
        <v>29</v>
      </c>
      <c r="G6" s="1" t="s">
        <v>20</v>
      </c>
      <c r="H6" s="1">
        <v>0.20100000000000001</v>
      </c>
      <c r="I6" s="1" t="s">
        <v>21</v>
      </c>
      <c r="K6" s="1" t="s">
        <v>35</v>
      </c>
      <c r="L6" s="1">
        <f>0.404*10^-3</f>
        <v>4.0400000000000001E-4</v>
      </c>
      <c r="M6" s="1" t="s">
        <v>37</v>
      </c>
    </row>
    <row r="7" spans="2:20" ht="18" x14ac:dyDescent="0.25">
      <c r="B7" s="3">
        <v>60</v>
      </c>
      <c r="C7" s="3">
        <v>25.7</v>
      </c>
      <c r="D7" s="3">
        <v>34.200000000000003</v>
      </c>
      <c r="G7" s="1" t="s">
        <v>27</v>
      </c>
      <c r="H7" s="1">
        <f>H6/(H4*H5)</f>
        <v>1.1624219182112999E-7</v>
      </c>
      <c r="I7" s="1" t="s">
        <v>53</v>
      </c>
      <c r="K7" s="1" t="s">
        <v>38</v>
      </c>
      <c r="L7" s="1">
        <v>2.5499999999999998</v>
      </c>
    </row>
    <row r="8" spans="2:20" x14ac:dyDescent="0.25">
      <c r="B8" s="8">
        <v>90</v>
      </c>
      <c r="C8" s="2">
        <v>25.8</v>
      </c>
      <c r="D8" s="2">
        <v>38.299999999999997</v>
      </c>
    </row>
    <row r="9" spans="2:20" x14ac:dyDescent="0.25">
      <c r="B9" s="3">
        <v>120</v>
      </c>
      <c r="C9" s="3">
        <v>25.8</v>
      </c>
      <c r="D9" s="3">
        <v>41.2</v>
      </c>
      <c r="O9"/>
      <c r="P9"/>
      <c r="Q9"/>
      <c r="R9"/>
      <c r="S9"/>
      <c r="T9"/>
    </row>
    <row r="10" spans="2:20" x14ac:dyDescent="0.25">
      <c r="B10" s="8">
        <v>150</v>
      </c>
      <c r="C10" s="2">
        <v>25.9</v>
      </c>
      <c r="D10" s="2">
        <v>43.8</v>
      </c>
      <c r="G10" s="13">
        <v>61</v>
      </c>
      <c r="H10" s="13" t="s">
        <v>18</v>
      </c>
      <c r="I10" s="13"/>
      <c r="J10" s="13"/>
      <c r="K10" s="13"/>
      <c r="L10" s="13"/>
      <c r="O10" s="13">
        <v>46</v>
      </c>
      <c r="P10" s="13" t="s">
        <v>18</v>
      </c>
      <c r="Q10" s="13"/>
      <c r="R10" s="13"/>
      <c r="S10" s="13"/>
      <c r="T10" s="13"/>
    </row>
    <row r="11" spans="2:20" x14ac:dyDescent="0.25">
      <c r="B11" s="3">
        <v>180</v>
      </c>
      <c r="C11" s="3">
        <v>25.9</v>
      </c>
      <c r="D11" s="3">
        <v>45.7</v>
      </c>
      <c r="G11" s="13" t="s">
        <v>29</v>
      </c>
      <c r="H11" s="13"/>
      <c r="I11" s="13"/>
      <c r="J11" s="13" t="s">
        <v>31</v>
      </c>
      <c r="K11" s="13"/>
      <c r="L11" s="13"/>
      <c r="O11" s="13" t="s">
        <v>29</v>
      </c>
      <c r="P11" s="13"/>
      <c r="Q11" s="13"/>
      <c r="R11" s="13" t="s">
        <v>31</v>
      </c>
      <c r="S11" s="13"/>
      <c r="T11" s="13"/>
    </row>
    <row r="12" spans="2:20" x14ac:dyDescent="0.25">
      <c r="B12" s="8">
        <v>210</v>
      </c>
      <c r="C12" s="2">
        <v>26</v>
      </c>
      <c r="D12" s="2">
        <v>47.3</v>
      </c>
      <c r="G12" s="13" t="s">
        <v>28</v>
      </c>
      <c r="H12" s="9">
        <f>(H7*B40)/(C43*10^-2)^2</f>
        <v>0.41547502154817945</v>
      </c>
      <c r="I12" s="9"/>
      <c r="J12" s="13" t="s">
        <v>28</v>
      </c>
      <c r="K12" s="9">
        <f>(H7*B40)/(C44*10^-2)^2</f>
        <v>0.87902153319284226</v>
      </c>
      <c r="L12" s="9"/>
      <c r="O12" s="13" t="s">
        <v>28</v>
      </c>
      <c r="P12" s="9">
        <f>(H7*B37)/(C43*10^-2)^2</f>
        <v>0.3133090326428894</v>
      </c>
      <c r="Q12" s="9"/>
      <c r="R12" s="13" t="s">
        <v>28</v>
      </c>
      <c r="S12" s="9">
        <f>(H7*B37)/(C44*10^-2)^2</f>
        <v>0.6628686971618154</v>
      </c>
      <c r="T12" s="9"/>
    </row>
    <row r="13" spans="2:20" x14ac:dyDescent="0.25">
      <c r="B13" s="3">
        <v>240</v>
      </c>
      <c r="C13" s="3">
        <v>26.1</v>
      </c>
      <c r="D13" s="3">
        <v>48.6</v>
      </c>
      <c r="G13" s="13" t="s">
        <v>30</v>
      </c>
      <c r="H13" s="13"/>
      <c r="I13" s="13"/>
      <c r="J13" s="13" t="s">
        <v>30</v>
      </c>
      <c r="K13" s="13"/>
      <c r="L13" s="13"/>
      <c r="M13" s="7"/>
      <c r="N13" s="7"/>
      <c r="O13" s="13" t="s">
        <v>30</v>
      </c>
      <c r="P13" s="13"/>
      <c r="Q13" s="13"/>
      <c r="R13" s="13" t="s">
        <v>30</v>
      </c>
      <c r="S13" s="13"/>
      <c r="T13" s="13"/>
    </row>
    <row r="14" spans="2:20" x14ac:dyDescent="0.25">
      <c r="B14" s="8">
        <v>270</v>
      </c>
      <c r="C14" s="2">
        <v>26.2</v>
      </c>
      <c r="D14" s="2">
        <v>49.9</v>
      </c>
      <c r="G14" s="13" t="s">
        <v>32</v>
      </c>
      <c r="H14" s="10">
        <f>(((C45*10^(-2))^3)*(L4^2)*9.8*(L5)*(C40-C5))/(L6^2)</f>
        <v>310859592.03736567</v>
      </c>
      <c r="I14" s="9"/>
      <c r="J14" s="13" t="s">
        <v>32</v>
      </c>
      <c r="K14" s="9">
        <f>(((C45*10^(-2))^3)*(L4^2)*9.8*(L5)*(D40-D5))/(L6^2)</f>
        <v>318386458.6726529</v>
      </c>
      <c r="L14" s="9"/>
      <c r="O14" s="13" t="s">
        <v>32</v>
      </c>
      <c r="P14" s="10">
        <f>(((C45*10^(-2))^3)*(L4^2)*9.8*(L5)*(C37-C5))/(L6^2)</f>
        <v>281504812.1597451</v>
      </c>
      <c r="Q14" s="9"/>
      <c r="R14" s="13" t="s">
        <v>32</v>
      </c>
      <c r="S14" s="9">
        <f>(((C45*10^(-2))^3)*(L4^2)*9.8*(L5)*(D37-D5))/(L6^2)</f>
        <v>311612278.70089436</v>
      </c>
      <c r="T14" s="9"/>
    </row>
    <row r="15" spans="2:20" x14ac:dyDescent="0.25">
      <c r="B15" s="3">
        <f>5*60</f>
        <v>300</v>
      </c>
      <c r="C15" s="3">
        <v>26.4</v>
      </c>
      <c r="D15" s="3">
        <v>50.7</v>
      </c>
      <c r="G15" s="13" t="s">
        <v>40</v>
      </c>
      <c r="H15" s="9">
        <f>H14*L7</f>
        <v>792691959.69528246</v>
      </c>
      <c r="I15" s="9"/>
      <c r="J15" s="13" t="s">
        <v>40</v>
      </c>
      <c r="K15" s="9">
        <f>K14*L7</f>
        <v>811885469.61526489</v>
      </c>
      <c r="L15" s="9"/>
      <c r="O15" s="13" t="s">
        <v>40</v>
      </c>
      <c r="P15" s="9">
        <f>P14*L7</f>
        <v>717837271.00734997</v>
      </c>
      <c r="Q15" s="9"/>
      <c r="R15" s="13" t="s">
        <v>40</v>
      </c>
      <c r="S15" s="9">
        <f>S14*L7</f>
        <v>794611310.68728054</v>
      </c>
      <c r="T15" s="9"/>
    </row>
    <row r="16" spans="2:20" x14ac:dyDescent="0.25">
      <c r="B16" s="8">
        <f>6*60</f>
        <v>360</v>
      </c>
      <c r="C16" s="2">
        <v>27</v>
      </c>
      <c r="D16" s="2">
        <v>52.1</v>
      </c>
      <c r="G16" s="13" t="s">
        <v>41</v>
      </c>
      <c r="H16" s="9">
        <f>(0.6+(0.387*(H15^(1/6)))/((1+(0.559/L7)^(9/16))^8/27))^2</f>
        <v>368.95957451404882</v>
      </c>
      <c r="I16" s="9"/>
      <c r="J16" s="13" t="s">
        <v>41</v>
      </c>
      <c r="K16" s="9">
        <f>(0.6+(0.387*(K15^(1/6)))/((1+(0.559/L7)^(9/16))^8/27))^2</f>
        <v>371.82128417607549</v>
      </c>
      <c r="L16" s="9"/>
      <c r="O16" s="13" t="s">
        <v>41</v>
      </c>
      <c r="P16" s="9">
        <f>(0.6+(0.387*(P15^(1/6)))/((1+(0.559/L7)^(9/16))^8/27))^2</f>
        <v>357.33162267118968</v>
      </c>
      <c r="Q16" s="9"/>
      <c r="R16" s="13" t="s">
        <v>41</v>
      </c>
      <c r="S16" s="9">
        <f>(0.6+(0.387*(S15^(1/6)))/((1+(0.559/L7)^(9/16))^8/27))^2</f>
        <v>369.24782651973874</v>
      </c>
      <c r="T16" s="9"/>
    </row>
    <row r="17" spans="2:20" x14ac:dyDescent="0.25">
      <c r="B17" s="3">
        <f>7*60</f>
        <v>420</v>
      </c>
      <c r="C17" s="2">
        <v>27.7</v>
      </c>
      <c r="D17" s="2">
        <v>53.9</v>
      </c>
      <c r="G17" s="13" t="s">
        <v>42</v>
      </c>
      <c r="H17" s="9">
        <f>(H16*H6)/(C45*10^-2)</f>
        <v>1215.7520406118658</v>
      </c>
      <c r="I17" s="13" t="s">
        <v>43</v>
      </c>
      <c r="J17" s="13" t="s">
        <v>42</v>
      </c>
      <c r="K17" s="9">
        <f>(K16*H6)/(C45*10^-2)</f>
        <v>1225.1816085146095</v>
      </c>
      <c r="L17" s="13" t="s">
        <v>43</v>
      </c>
      <c r="O17" s="13" t="s">
        <v>42</v>
      </c>
      <c r="P17" s="9">
        <f>(P16*H6)/(C45*10^-2)</f>
        <v>1177.4369861788382</v>
      </c>
      <c r="Q17" s="13" t="s">
        <v>43</v>
      </c>
      <c r="R17" s="13" t="s">
        <v>42</v>
      </c>
      <c r="S17" s="9">
        <f>(S16*H6)/(C45*10^-2)</f>
        <v>1216.7018545978278</v>
      </c>
      <c r="T17" s="13" t="s">
        <v>43</v>
      </c>
    </row>
    <row r="18" spans="2:20" x14ac:dyDescent="0.25">
      <c r="B18" s="8">
        <f>8*60</f>
        <v>480</v>
      </c>
      <c r="C18" s="2">
        <v>28.6</v>
      </c>
      <c r="D18" s="2">
        <v>55.2</v>
      </c>
      <c r="G18" s="14" t="s">
        <v>44</v>
      </c>
      <c r="H18" s="11">
        <f>(H17*(C43*10^-2))/H6</f>
        <v>193.55256367950102</v>
      </c>
      <c r="I18" s="11"/>
      <c r="J18" s="14" t="s">
        <v>44</v>
      </c>
      <c r="K18" s="11">
        <f>(K17*(C44*10^-2))/H6</f>
        <v>134.09947953891248</v>
      </c>
      <c r="L18" s="11"/>
      <c r="O18" s="14" t="s">
        <v>44</v>
      </c>
      <c r="P18" s="11">
        <f>(P17*(C43*10^-2))/H6</f>
        <v>187.45265451603396</v>
      </c>
      <c r="Q18" s="11"/>
      <c r="R18" s="14" t="s">
        <v>44</v>
      </c>
      <c r="S18" s="11">
        <f>(S17*(C44*10^-2))/H6</f>
        <v>133.17134726941399</v>
      </c>
      <c r="T18" s="11"/>
    </row>
    <row r="19" spans="2:20" x14ac:dyDescent="0.25">
      <c r="B19" s="3">
        <f>9*60</f>
        <v>540</v>
      </c>
      <c r="C19" s="2">
        <v>29.6</v>
      </c>
      <c r="D19" s="2">
        <v>56.1</v>
      </c>
      <c r="G19" s="14" t="s">
        <v>45</v>
      </c>
      <c r="H19" s="11">
        <v>2.4047999999999998</v>
      </c>
      <c r="I19" s="11"/>
      <c r="J19" s="14" t="s">
        <v>45</v>
      </c>
      <c r="K19" s="11">
        <v>2.4047999999999998</v>
      </c>
      <c r="L19" s="11"/>
      <c r="O19" s="14" t="s">
        <v>45</v>
      </c>
      <c r="P19" s="11">
        <v>2.4047999999999998</v>
      </c>
      <c r="Q19" s="11"/>
      <c r="R19" s="14" t="s">
        <v>45</v>
      </c>
      <c r="S19" s="11">
        <v>2.4047999999999998</v>
      </c>
      <c r="T19" s="11"/>
    </row>
    <row r="20" spans="2:20" x14ac:dyDescent="0.25">
      <c r="B20" s="8">
        <f>10*60</f>
        <v>600</v>
      </c>
      <c r="C20" s="2">
        <v>30.8</v>
      </c>
      <c r="D20" s="2">
        <v>57.5</v>
      </c>
      <c r="G20" s="14" t="s">
        <v>46</v>
      </c>
      <c r="H20" s="11">
        <v>1.6021000000000001</v>
      </c>
      <c r="I20" s="11"/>
      <c r="J20" s="14" t="s">
        <v>46</v>
      </c>
      <c r="K20" s="11">
        <v>1.6021000000000001</v>
      </c>
      <c r="L20" s="11"/>
      <c r="O20" s="14" t="s">
        <v>46</v>
      </c>
      <c r="P20" s="11">
        <v>1.6021000000000001</v>
      </c>
      <c r="Q20" s="11"/>
      <c r="R20" s="14" t="s">
        <v>46</v>
      </c>
      <c r="S20" s="11">
        <v>1.6021000000000001</v>
      </c>
      <c r="T20" s="11"/>
    </row>
    <row r="21" spans="2:20" x14ac:dyDescent="0.25">
      <c r="B21" s="3">
        <f>11*60</f>
        <v>660</v>
      </c>
      <c r="C21" s="3">
        <v>32.1</v>
      </c>
      <c r="D21" s="3">
        <v>58.5</v>
      </c>
      <c r="G21" s="14" t="s">
        <v>47</v>
      </c>
      <c r="H21" s="11">
        <f>(H19*(1*10^-2))/(3.1*10^-2)</f>
        <v>0.77574193548387094</v>
      </c>
      <c r="I21" s="11"/>
      <c r="J21" s="14" t="s">
        <v>47</v>
      </c>
      <c r="K21" s="11">
        <f>(K19*(1*10^-2))/(3.1*10^-2)</f>
        <v>0.77574193548387094</v>
      </c>
      <c r="L21" s="11"/>
      <c r="O21" s="14" t="s">
        <v>47</v>
      </c>
      <c r="P21" s="11">
        <f>(P19*(1*10^-2))/(3.1*10^-2)</f>
        <v>0.77574193548387094</v>
      </c>
      <c r="Q21" s="11"/>
      <c r="R21" s="14" t="s">
        <v>47</v>
      </c>
      <c r="S21" s="11">
        <f>(S19*(1*10^-2))/(3.1*10^-2)</f>
        <v>0.77574193548387094</v>
      </c>
      <c r="T21" s="11"/>
    </row>
    <row r="22" spans="2:20" x14ac:dyDescent="0.25">
      <c r="B22" s="2">
        <f>13*60</f>
        <v>780</v>
      </c>
      <c r="C22" s="2">
        <v>34.9</v>
      </c>
      <c r="D22" s="2">
        <v>60</v>
      </c>
      <c r="G22" s="14" t="s">
        <v>48</v>
      </c>
      <c r="H22" s="11">
        <v>0.84630000000000005</v>
      </c>
      <c r="I22" s="11"/>
      <c r="J22" s="14" t="s">
        <v>48</v>
      </c>
      <c r="K22" s="11">
        <v>0.84630000000000005</v>
      </c>
      <c r="L22" s="11"/>
      <c r="O22" s="14" t="s">
        <v>48</v>
      </c>
      <c r="P22" s="11">
        <v>0.84630000000000005</v>
      </c>
      <c r="Q22" s="11"/>
      <c r="R22" s="14" t="s">
        <v>48</v>
      </c>
      <c r="S22" s="11">
        <v>0.84630000000000005</v>
      </c>
      <c r="T22" s="11"/>
    </row>
    <row r="23" spans="2:20" x14ac:dyDescent="0.25">
      <c r="B23" s="3">
        <f>15*60</f>
        <v>900</v>
      </c>
      <c r="C23" s="6">
        <v>37.6</v>
      </c>
      <c r="D23" s="6">
        <v>61.2</v>
      </c>
      <c r="G23" s="14" t="s">
        <v>49</v>
      </c>
      <c r="H23" s="11">
        <f>H20*EXP(1)^(-(H19^2)*H12)*H22</f>
        <v>0.12266670158831264</v>
      </c>
      <c r="I23" s="11"/>
      <c r="J23" s="14" t="s">
        <v>49</v>
      </c>
      <c r="K23" s="11">
        <f>K20*EXP(1)^(-(K19^2)*K12)*K22</f>
        <v>8.4043735862072127E-3</v>
      </c>
      <c r="L23" s="11"/>
      <c r="O23" s="14" t="s">
        <v>49</v>
      </c>
      <c r="P23" s="11">
        <f>P20*EXP(1)^(-(P19^2)*P12)*P22</f>
        <v>0.22147357642379301</v>
      </c>
      <c r="Q23" s="11"/>
      <c r="R23" s="14" t="s">
        <v>49</v>
      </c>
      <c r="S23" s="11">
        <f>S20*EXP(1)^(-(S19^2)*S12)*S22</f>
        <v>2.9334893515296764E-2</v>
      </c>
      <c r="T23" s="11"/>
    </row>
    <row r="24" spans="2:20" x14ac:dyDescent="0.25">
      <c r="B24" s="2">
        <f>17*60</f>
        <v>1020</v>
      </c>
      <c r="C24" s="2">
        <v>40.299999999999997</v>
      </c>
      <c r="D24" s="2">
        <v>62.3</v>
      </c>
      <c r="G24" s="13"/>
      <c r="H24" s="9"/>
      <c r="I24" s="9"/>
      <c r="J24" s="13"/>
      <c r="K24" s="9"/>
      <c r="L24" s="9"/>
      <c r="O24" s="13"/>
      <c r="P24" s="9"/>
      <c r="Q24" s="9"/>
      <c r="R24" s="13"/>
      <c r="S24" s="9"/>
      <c r="T24" s="9"/>
    </row>
    <row r="25" spans="2:20" x14ac:dyDescent="0.25">
      <c r="B25" s="3">
        <f>19*60</f>
        <v>1140</v>
      </c>
      <c r="C25" s="6">
        <v>43</v>
      </c>
      <c r="D25" s="6">
        <v>63</v>
      </c>
      <c r="G25" s="15" t="s">
        <v>28</v>
      </c>
      <c r="H25" s="12">
        <f>(H7*B40)/(5*10^-2)^2</f>
        <v>0.17017856882613427</v>
      </c>
      <c r="I25" s="12"/>
      <c r="J25" s="15" t="s">
        <v>28</v>
      </c>
      <c r="K25" s="12">
        <f>(H7*B40)/(5*10^-2)^2</f>
        <v>0.17017856882613427</v>
      </c>
      <c r="L25" s="12"/>
      <c r="O25" s="15" t="s">
        <v>28</v>
      </c>
      <c r="P25" s="12">
        <f>(H7*B37)/(5*10^-2)^2</f>
        <v>0.12833137977052747</v>
      </c>
      <c r="Q25" s="12"/>
      <c r="R25" s="15" t="s">
        <v>28</v>
      </c>
      <c r="S25" s="12">
        <f>(H7*B37)/(5*10^-2)^2</f>
        <v>0.12833137977052747</v>
      </c>
      <c r="T25" s="12"/>
    </row>
    <row r="26" spans="2:20" x14ac:dyDescent="0.25">
      <c r="B26" s="2">
        <f>21*60</f>
        <v>1260</v>
      </c>
      <c r="C26" s="6">
        <v>45.3</v>
      </c>
      <c r="D26" s="6">
        <v>63.8</v>
      </c>
      <c r="G26" s="15" t="s">
        <v>44</v>
      </c>
      <c r="H26" s="12">
        <f>(H17*(5*10^-2))/H6</f>
        <v>302.42588074922031</v>
      </c>
      <c r="I26" s="12"/>
      <c r="J26" s="15" t="s">
        <v>44</v>
      </c>
      <c r="K26" s="12">
        <f>(K17*(5*10^-2))/H6</f>
        <v>304.77154440661923</v>
      </c>
      <c r="L26" s="12"/>
      <c r="O26" s="15" t="s">
        <v>44</v>
      </c>
      <c r="P26" s="12">
        <f>(P17*(5*10^-2))/H6</f>
        <v>292.89477268130304</v>
      </c>
      <c r="Q26" s="12"/>
      <c r="R26" s="15" t="s">
        <v>44</v>
      </c>
      <c r="S26" s="12">
        <f>(S17*(5*10^-2))/H6</f>
        <v>302.66215288503179</v>
      </c>
      <c r="T26" s="12"/>
    </row>
    <row r="27" spans="2:20" x14ac:dyDescent="0.25">
      <c r="B27" s="3">
        <f>23*60</f>
        <v>1380</v>
      </c>
      <c r="C27" s="6">
        <v>47.6</v>
      </c>
      <c r="D27" s="6">
        <v>64.400000000000006</v>
      </c>
      <c r="G27" s="15" t="s">
        <v>45</v>
      </c>
      <c r="H27" s="12">
        <v>1.5708</v>
      </c>
      <c r="I27" s="12"/>
      <c r="J27" s="15" t="s">
        <v>45</v>
      </c>
      <c r="K27" s="12">
        <v>1.5708</v>
      </c>
      <c r="L27" s="12"/>
      <c r="O27" s="15" t="s">
        <v>45</v>
      </c>
      <c r="P27" s="12">
        <v>1.5708</v>
      </c>
      <c r="Q27" s="12"/>
      <c r="R27" s="15" t="s">
        <v>45</v>
      </c>
      <c r="S27" s="12">
        <v>1.5708</v>
      </c>
      <c r="T27" s="12"/>
    </row>
    <row r="28" spans="2:20" x14ac:dyDescent="0.25">
      <c r="B28" s="2">
        <f>25*60</f>
        <v>1500</v>
      </c>
      <c r="C28" s="6">
        <v>49.7</v>
      </c>
      <c r="D28" s="6">
        <v>65</v>
      </c>
      <c r="G28" s="15" t="s">
        <v>46</v>
      </c>
      <c r="H28" s="12">
        <v>1.2732000000000001</v>
      </c>
      <c r="I28" s="12"/>
      <c r="J28" s="15" t="s">
        <v>46</v>
      </c>
      <c r="K28" s="12">
        <v>1.2732000000000001</v>
      </c>
      <c r="L28" s="12"/>
      <c r="O28" s="15" t="s">
        <v>46</v>
      </c>
      <c r="P28" s="12">
        <v>1.2732000000000001</v>
      </c>
      <c r="Q28" s="12"/>
      <c r="R28" s="15" t="s">
        <v>46</v>
      </c>
      <c r="S28" s="12">
        <v>1.2732000000000001</v>
      </c>
      <c r="T28" s="12"/>
    </row>
    <row r="29" spans="2:20" x14ac:dyDescent="0.25">
      <c r="B29" s="3">
        <f>27*60</f>
        <v>1620</v>
      </c>
      <c r="C29" s="6">
        <v>51.6</v>
      </c>
      <c r="D29" s="6">
        <v>65.5</v>
      </c>
      <c r="G29" s="15"/>
      <c r="H29" s="12"/>
      <c r="I29" s="12"/>
      <c r="J29" s="15"/>
      <c r="K29" s="12"/>
      <c r="L29" s="12"/>
      <c r="O29" s="15"/>
      <c r="P29" s="12"/>
      <c r="Q29" s="12"/>
      <c r="R29" s="15"/>
      <c r="S29" s="12"/>
      <c r="T29" s="12"/>
    </row>
    <row r="30" spans="2:20" x14ac:dyDescent="0.25">
      <c r="B30" s="2">
        <f>29*60</f>
        <v>1740</v>
      </c>
      <c r="C30" s="6">
        <v>53.3</v>
      </c>
      <c r="D30" s="6">
        <v>65.900000000000006</v>
      </c>
      <c r="G30" s="15"/>
      <c r="H30" s="12"/>
      <c r="I30" s="12"/>
      <c r="J30" s="15"/>
      <c r="K30" s="12"/>
      <c r="L30" s="12"/>
      <c r="O30" s="15"/>
      <c r="P30" s="12"/>
      <c r="Q30" s="12"/>
      <c r="R30" s="15"/>
      <c r="S30" s="12"/>
      <c r="T30" s="12"/>
    </row>
    <row r="31" spans="2:20" x14ac:dyDescent="0.25">
      <c r="B31" s="3">
        <f>31*60</f>
        <v>1860</v>
      </c>
      <c r="C31" s="6">
        <v>54.9</v>
      </c>
      <c r="D31" s="6">
        <v>66.400000000000006</v>
      </c>
      <c r="G31" s="15" t="s">
        <v>50</v>
      </c>
      <c r="H31" s="12">
        <f>H28*EXP(1)^(-((H27)^2)*H25)</f>
        <v>0.83663504140787714</v>
      </c>
      <c r="I31" s="12"/>
      <c r="J31" s="15" t="s">
        <v>50</v>
      </c>
      <c r="K31" s="12">
        <f>K28*EXP(1)^(-((K27)^2)*K25)</f>
        <v>0.83663504140787714</v>
      </c>
      <c r="L31" s="12"/>
      <c r="O31" s="15" t="s">
        <v>50</v>
      </c>
      <c r="P31" s="12">
        <f>P28*EXP(1)^(-((P27)^2)*P25)</f>
        <v>0.92763860888101346</v>
      </c>
      <c r="Q31" s="12"/>
      <c r="R31" s="15" t="s">
        <v>50</v>
      </c>
      <c r="S31" s="12">
        <f>S28*EXP(1)^(-(S27^2)*S25)</f>
        <v>0.92763860888101346</v>
      </c>
      <c r="T31" s="12"/>
    </row>
    <row r="32" spans="2:20" x14ac:dyDescent="0.25">
      <c r="B32" s="2">
        <f>33*60</f>
        <v>1980</v>
      </c>
      <c r="C32" s="6">
        <v>56.4</v>
      </c>
      <c r="D32" s="6">
        <v>66.7</v>
      </c>
      <c r="G32" s="13"/>
      <c r="H32" s="9"/>
      <c r="I32" s="9"/>
      <c r="J32" s="13"/>
      <c r="K32" s="9"/>
      <c r="L32" s="9"/>
      <c r="O32" s="13"/>
      <c r="P32" s="9"/>
      <c r="Q32" s="9"/>
      <c r="R32" s="13"/>
      <c r="S32" s="9"/>
      <c r="T32" s="9"/>
    </row>
    <row r="33" spans="2:20" x14ac:dyDescent="0.25">
      <c r="B33" s="3">
        <f>35*60</f>
        <v>2100</v>
      </c>
      <c r="C33" s="6">
        <v>57.5</v>
      </c>
      <c r="D33" s="6">
        <v>67</v>
      </c>
      <c r="G33" s="13" t="s">
        <v>51</v>
      </c>
      <c r="H33" s="9">
        <f>H31*H23</f>
        <v>0.10262726096270565</v>
      </c>
      <c r="I33" s="9"/>
      <c r="J33" s="13" t="s">
        <v>51</v>
      </c>
      <c r="K33" s="9">
        <f>K31*K23</f>
        <v>7.0313934433037404E-3</v>
      </c>
      <c r="L33" s="9"/>
      <c r="O33" s="13" t="s">
        <v>51</v>
      </c>
      <c r="P33" s="9">
        <f>P31*P23</f>
        <v>0.20544744033767015</v>
      </c>
      <c r="Q33" s="9"/>
      <c r="R33" s="13" t="s">
        <v>51</v>
      </c>
      <c r="S33" s="9">
        <f>S31*S23</f>
        <v>2.7212179812202555E-2</v>
      </c>
      <c r="T33" s="9"/>
    </row>
    <row r="34" spans="2:20" x14ac:dyDescent="0.25">
      <c r="B34" s="2">
        <f>37*60</f>
        <v>2220</v>
      </c>
      <c r="C34" s="6">
        <v>59.2</v>
      </c>
      <c r="D34" s="6">
        <v>67.400000000000006</v>
      </c>
      <c r="G34" s="13"/>
      <c r="H34" s="9"/>
      <c r="I34" s="9"/>
      <c r="J34" s="13"/>
      <c r="K34" s="9"/>
      <c r="L34" s="9"/>
      <c r="O34" s="13"/>
      <c r="P34" s="9"/>
      <c r="Q34" s="9"/>
      <c r="R34" s="9"/>
      <c r="S34" s="9"/>
      <c r="T34" s="9"/>
    </row>
    <row r="35" spans="2:20" x14ac:dyDescent="0.25">
      <c r="B35" s="3">
        <f>39*60</f>
        <v>2340</v>
      </c>
      <c r="C35" s="6">
        <v>60.2</v>
      </c>
      <c r="D35" s="6">
        <v>67.7</v>
      </c>
      <c r="G35" s="13" t="s">
        <v>52</v>
      </c>
      <c r="H35" s="9">
        <f>69.8-(H33*(69.8-C5))</f>
        <v>65.243349613255873</v>
      </c>
      <c r="I35" s="9"/>
      <c r="J35" s="13" t="s">
        <v>52</v>
      </c>
      <c r="K35" s="9">
        <f>69.8-(K33*(69.8-D5))</f>
        <v>69.497650081937934</v>
      </c>
      <c r="L35" s="9"/>
      <c r="O35" s="13" t="s">
        <v>52</v>
      </c>
      <c r="P35" s="9">
        <f>69.8-(P33*(69.8-C5))</f>
        <v>60.678133649007442</v>
      </c>
      <c r="Q35" s="9"/>
      <c r="R35" s="13" t="s">
        <v>52</v>
      </c>
      <c r="S35" s="9">
        <f>69.8-(S33*(69.8-D5))</f>
        <v>68.629876268075293</v>
      </c>
      <c r="T35" s="9"/>
    </row>
    <row r="36" spans="2:20" x14ac:dyDescent="0.25">
      <c r="B36" s="6">
        <f>41*60</f>
        <v>2460</v>
      </c>
      <c r="C36" s="6">
        <v>60.8</v>
      </c>
      <c r="D36" s="6">
        <v>67.8</v>
      </c>
      <c r="O36"/>
      <c r="P36"/>
      <c r="Q36"/>
      <c r="R36"/>
      <c r="S36"/>
      <c r="T36"/>
    </row>
    <row r="37" spans="2:20" x14ac:dyDescent="0.25">
      <c r="B37" s="24">
        <f>46*60</f>
        <v>2760</v>
      </c>
      <c r="C37" s="24">
        <v>62.8</v>
      </c>
      <c r="D37" s="24">
        <v>68.2</v>
      </c>
    </row>
    <row r="38" spans="2:20" x14ac:dyDescent="0.25">
      <c r="B38" s="2">
        <f>51*60</f>
        <v>3060</v>
      </c>
      <c r="C38" s="6">
        <v>64.400000000000006</v>
      </c>
      <c r="D38" s="6">
        <v>68.599999999999994</v>
      </c>
    </row>
    <row r="39" spans="2:20" x14ac:dyDescent="0.25">
      <c r="B39" s="3">
        <f>56*60</f>
        <v>3360</v>
      </c>
      <c r="C39" s="6">
        <v>65.599999999999994</v>
      </c>
      <c r="D39" s="6">
        <v>68.900000000000006</v>
      </c>
    </row>
    <row r="40" spans="2:20" x14ac:dyDescent="0.25">
      <c r="B40" s="2">
        <f>61*60</f>
        <v>3660</v>
      </c>
      <c r="C40" s="6">
        <v>66.7</v>
      </c>
      <c r="D40" s="6">
        <v>69.099999999999994</v>
      </c>
    </row>
    <row r="43" spans="2:20" x14ac:dyDescent="0.25">
      <c r="B43" s="1" t="s">
        <v>7</v>
      </c>
      <c r="C43" s="1">
        <v>3.2</v>
      </c>
    </row>
    <row r="44" spans="2:20" x14ac:dyDescent="0.25">
      <c r="B44" s="1" t="s">
        <v>8</v>
      </c>
      <c r="C44" s="1">
        <v>2.2000000000000002</v>
      </c>
    </row>
    <row r="45" spans="2:20" x14ac:dyDescent="0.25">
      <c r="B45" s="1" t="s">
        <v>6</v>
      </c>
      <c r="C45" s="1">
        <v>6.1</v>
      </c>
    </row>
    <row r="46" spans="2:20" x14ac:dyDescent="0.25">
      <c r="B46" s="1" t="s">
        <v>9</v>
      </c>
      <c r="C46" s="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tudo</vt:lpstr>
      <vt:lpstr>esfera metalica</vt:lpstr>
      <vt:lpstr>cilindro metalico</vt:lpstr>
      <vt:lpstr>cilindro acrilico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Costa</dc:creator>
  <cp:lastModifiedBy>Mariana Costa</cp:lastModifiedBy>
  <dcterms:created xsi:type="dcterms:W3CDTF">2015-06-05T18:17:20Z</dcterms:created>
  <dcterms:modified xsi:type="dcterms:W3CDTF">2023-05-10T19:25:59Z</dcterms:modified>
</cp:coreProperties>
</file>