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77b0a6c000fa77ef/Ambiente de Trabalho/Universidade M/LIEB/DEB/TM/"/>
    </mc:Choice>
  </mc:AlternateContent>
  <xr:revisionPtr revIDLastSave="1026" documentId="13_ncr:1_{67AD5C4E-BA69-4D33-A912-B20C607891B0}" xr6:coauthVersionLast="47" xr6:coauthVersionMax="47" xr10:uidLastSave="{61E46BD1-C409-40B5-B520-4B17D96336A9}"/>
  <bookViews>
    <workbookView xWindow="-120" yWindow="-120" windowWidth="20730" windowHeight="11040" activeTab="1" xr2:uid="{00000000-000D-0000-FFFF-FFFF00000000}"/>
  </bookViews>
  <sheets>
    <sheet name="TMb" sheetId="2" r:id="rId1"/>
    <sheet name="TMa" sheetId="1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TMa!$H$3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2" l="1"/>
  <c r="S23" i="2"/>
  <c r="S24" i="2"/>
  <c r="B43" i="2"/>
  <c r="B41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2" i="2"/>
  <c r="D42" i="2"/>
  <c r="H6" i="1"/>
  <c r="D41" i="2"/>
  <c r="S21" i="2"/>
  <c r="S19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H8" i="1"/>
  <c r="H7" i="1"/>
  <c r="H5" i="1"/>
  <c r="H4" i="1"/>
  <c r="H3" i="1"/>
  <c r="S28" i="2" l="1"/>
  <c r="S22" i="2"/>
  <c r="A43" i="2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C24" i="2" l="1"/>
  <c r="D8" i="1"/>
  <c r="E8" i="1" s="1"/>
  <c r="D5" i="1"/>
  <c r="E5" i="1" s="1"/>
  <c r="D4" i="1"/>
  <c r="E4" i="1" s="1"/>
  <c r="D3" i="1"/>
  <c r="E3" i="1" s="1"/>
  <c r="A10" i="1"/>
  <c r="B4" i="1" s="1"/>
  <c r="B5" i="1" s="1"/>
  <c r="B6" i="1" s="1"/>
  <c r="B7" i="1" s="1"/>
  <c r="D7" i="1" s="1"/>
  <c r="E7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E2" i="2" s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I2" i="2" s="1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M2" i="2" s="1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D6" i="1" l="1"/>
  <c r="E6" i="1" s="1"/>
</calcChain>
</file>

<file path=xl/sharedStrings.xml><?xml version="1.0" encoding="utf-8"?>
<sst xmlns="http://schemas.openxmlformats.org/spreadsheetml/2006/main" count="45" uniqueCount="34">
  <si>
    <t>Massa</t>
  </si>
  <si>
    <t>Concentração (M)</t>
  </si>
  <si>
    <t>V a transf. (L)</t>
  </si>
  <si>
    <t>V a transf. (mL)</t>
  </si>
  <si>
    <t>Tempo (s)</t>
  </si>
  <si>
    <t>Tempo (min)</t>
  </si>
  <si>
    <t>intervalo</t>
  </si>
  <si>
    <t>Condutividade da água destilada</t>
  </si>
  <si>
    <t>1344  (μS/cm)</t>
  </si>
  <si>
    <t>Condutividade 1  (mS/cm)</t>
  </si>
  <si>
    <t>Condutividade 2 (mS/cm)</t>
  </si>
  <si>
    <t>Concentração</t>
  </si>
  <si>
    <t>Tempo</t>
  </si>
  <si>
    <t>kmol/s</t>
  </si>
  <si>
    <t>Prático</t>
  </si>
  <si>
    <t>declive:</t>
  </si>
  <si>
    <t>volume:</t>
  </si>
  <si>
    <t>mol/s</t>
  </si>
  <si>
    <t>área:</t>
  </si>
  <si>
    <t>y:</t>
  </si>
  <si>
    <t>m</t>
  </si>
  <si>
    <t>(cf-ci):</t>
  </si>
  <si>
    <t>Média (S/m)</t>
  </si>
  <si>
    <t>Condutividade (S/m)</t>
  </si>
  <si>
    <t>D(tabelado):</t>
  </si>
  <si>
    <r>
      <t>Condutividade (</t>
    </r>
    <r>
      <rPr>
        <b/>
        <sz val="11"/>
        <color rgb="FF3F3F3F"/>
        <rFont val="Calibri"/>
        <family val="2"/>
      </rPr>
      <t>S</t>
    </r>
    <r>
      <rPr>
        <b/>
        <sz val="11"/>
        <color rgb="FF3F3F3F"/>
        <rFont val="Calibri"/>
        <family val="2"/>
        <scheme val="minor"/>
      </rPr>
      <t>/m)</t>
    </r>
  </si>
  <si>
    <t>mol/L</t>
  </si>
  <si>
    <t>Intervalo de temperatura</t>
  </si>
  <si>
    <r>
      <t xml:space="preserve">(23,5;23,8) </t>
    </r>
    <r>
      <rPr>
        <sz val="11"/>
        <color theme="1"/>
        <rFont val="Calibri"/>
        <family val="2"/>
      </rPr>
      <t>°</t>
    </r>
    <r>
      <rPr>
        <sz val="9.9"/>
        <color theme="1"/>
        <rFont val="Calibri"/>
        <family val="2"/>
      </rPr>
      <t>C</t>
    </r>
  </si>
  <si>
    <r>
      <t>L (dm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)</t>
    </r>
  </si>
  <si>
    <r>
      <t>m</t>
    </r>
    <r>
      <rPr>
        <vertAlign val="superscript"/>
        <sz val="11"/>
        <rFont val="Calibri"/>
        <family val="2"/>
        <scheme val="minor"/>
      </rPr>
      <t>2</t>
    </r>
  </si>
  <si>
    <r>
      <t>|J</t>
    </r>
    <r>
      <rPr>
        <vertAlign val="subscript"/>
        <sz val="11"/>
        <rFont val="Calibri"/>
        <family val="2"/>
        <scheme val="minor"/>
      </rPr>
      <t>A</t>
    </r>
    <r>
      <rPr>
        <sz val="11"/>
        <rFont val="Calibri"/>
        <family val="2"/>
        <scheme val="minor"/>
      </rPr>
      <t>|</t>
    </r>
  </si>
  <si>
    <r>
      <t>D</t>
    </r>
    <r>
      <rPr>
        <vertAlign val="subscript"/>
        <sz val="11"/>
        <rFont val="Calibri"/>
        <family val="2"/>
        <scheme val="minor"/>
      </rPr>
      <t>AB</t>
    </r>
  </si>
  <si>
    <r>
      <t>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/s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</si>
</sst>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E+00"/>
  </numFmts>
  <fonts count="1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3F"/>
      <name val="Calibri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6" borderId="2" applyNumberFormat="0" applyAlignment="0" applyProtection="0"/>
    <xf numFmtId="0" fontId="3" fillId="7" borderId="3" applyNumberFormat="0" applyFont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0" fontId="1" fillId="3" borderId="1" xfId="1" applyFill="1" applyAlignment="1">
      <alignment horizontal="center"/>
    </xf>
    <xf numFmtId="0" fontId="1" fillId="4" borderId="1" xfId="1" applyFill="1" applyAlignment="1">
      <alignment horizontal="center"/>
    </xf>
    <xf numFmtId="0" fontId="1" fillId="5" borderId="1" xfId="1" applyFill="1" applyAlignment="1">
      <alignment horizontal="center"/>
    </xf>
    <xf numFmtId="0" fontId="1" fillId="2" borderId="1" xfId="1" applyNumberFormat="1" applyAlignment="1">
      <alignment horizontal="center"/>
    </xf>
    <xf numFmtId="0" fontId="0" fillId="7" borderId="3" xfId="3" applyFont="1" applyAlignment="1">
      <alignment horizontal="center"/>
    </xf>
    <xf numFmtId="0" fontId="1" fillId="7" borderId="3" xfId="3" applyFont="1" applyAlignment="1">
      <alignment horizontal="center"/>
    </xf>
    <xf numFmtId="0" fontId="6" fillId="6" borderId="2" xfId="2" applyFont="1" applyAlignment="1">
      <alignment horizontal="center"/>
    </xf>
    <xf numFmtId="164" fontId="0" fillId="7" borderId="3" xfId="3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6" fillId="6" borderId="2" xfId="2" applyFont="1" applyAlignment="1">
      <alignment horizontal="center" vertical="center"/>
    </xf>
    <xf numFmtId="0" fontId="6" fillId="6" borderId="2" xfId="2" applyFont="1" applyAlignment="1"/>
    <xf numFmtId="164" fontId="6" fillId="6" borderId="2" xfId="2" applyNumberFormat="1" applyFont="1" applyAlignment="1">
      <alignment horizontal="center"/>
    </xf>
    <xf numFmtId="0" fontId="6" fillId="6" borderId="2" xfId="2" applyFont="1"/>
    <xf numFmtId="165" fontId="6" fillId="6" borderId="2" xfId="2" applyNumberFormat="1" applyFont="1" applyAlignment="1">
      <alignment horizontal="center" vertical="center"/>
    </xf>
    <xf numFmtId="0" fontId="7" fillId="6" borderId="4" xfId="2" applyFont="1" applyBorder="1" applyAlignment="1">
      <alignment horizontal="center" vertical="center"/>
    </xf>
    <xf numFmtId="0" fontId="6" fillId="6" borderId="5" xfId="2" applyFont="1" applyBorder="1" applyAlignment="1">
      <alignment horizontal="center" vertical="center"/>
    </xf>
    <xf numFmtId="0" fontId="6" fillId="6" borderId="6" xfId="2" applyFont="1" applyBorder="1" applyAlignment="1">
      <alignment horizontal="center" vertical="center"/>
    </xf>
  </cellXfs>
  <cellStyles count="4">
    <cellStyle name="Entrada" xfId="2" builtinId="20"/>
    <cellStyle name="Normal" xfId="0" builtinId="0"/>
    <cellStyle name="Nota" xfId="3" builtinId="10"/>
    <cellStyle name="Saí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Condutividade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(TMb!$A$24,TMb!$A$2:$A$21,TMb!$E$2:$E$21,TMb!$I$2:$I$21,TMb!$M$2:$M$18,TMb!$M$19,TMb!$M$20,TMb!$M$21,TMb!$M$22,TMb!$M$23)</c:f>
              <c:numCache>
                <c:formatCode>General</c:formatCode>
                <c:ptCount val="8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</c:numCache>
            </c:numRef>
          </c:xVal>
          <c:yVal>
            <c:numRef>
              <c:f>(TMb!$C$24,TMb!$C$2:$C$21,TMb!$G$2:$G$21,TMb!$K$2:$K$21,TMb!$O$2:$O$21,TMb!$O$22,TMb!$O$23)</c:f>
              <c:numCache>
                <c:formatCode>General</c:formatCode>
                <c:ptCount val="83"/>
                <c:pt idx="0">
                  <c:v>1.5999999999999999E-6</c:v>
                </c:pt>
                <c:pt idx="1">
                  <c:v>9.9900000000000006E-3</c:v>
                </c:pt>
                <c:pt idx="2">
                  <c:v>1.1349999999999999E-2</c:v>
                </c:pt>
                <c:pt idx="3">
                  <c:v>1.154E-2</c:v>
                </c:pt>
                <c:pt idx="4">
                  <c:v>1.2290000000000001E-2</c:v>
                </c:pt>
                <c:pt idx="5">
                  <c:v>1.319E-2</c:v>
                </c:pt>
                <c:pt idx="6">
                  <c:v>1.4109999999999999E-2</c:v>
                </c:pt>
                <c:pt idx="7">
                  <c:v>1.4409999999999997E-2</c:v>
                </c:pt>
                <c:pt idx="8">
                  <c:v>1.4829999999999999E-2</c:v>
                </c:pt>
                <c:pt idx="9">
                  <c:v>1.5259999999999999E-2</c:v>
                </c:pt>
                <c:pt idx="10">
                  <c:v>1.5749999999999997E-2</c:v>
                </c:pt>
                <c:pt idx="11">
                  <c:v>1.6130000000000002E-2</c:v>
                </c:pt>
                <c:pt idx="12">
                  <c:v>1.6579999999999998E-2</c:v>
                </c:pt>
                <c:pt idx="13">
                  <c:v>1.6789999999999999E-2</c:v>
                </c:pt>
                <c:pt idx="14">
                  <c:v>1.7349999999999997E-2</c:v>
                </c:pt>
                <c:pt idx="15">
                  <c:v>1.7499999999999998E-2</c:v>
                </c:pt>
                <c:pt idx="16">
                  <c:v>1.7940000000000001E-2</c:v>
                </c:pt>
                <c:pt idx="17">
                  <c:v>1.8239999999999999E-2</c:v>
                </c:pt>
                <c:pt idx="18">
                  <c:v>1.8619999999999998E-2</c:v>
                </c:pt>
                <c:pt idx="19">
                  <c:v>1.8769999999999998E-2</c:v>
                </c:pt>
                <c:pt idx="20">
                  <c:v>1.9089999999999999E-2</c:v>
                </c:pt>
                <c:pt idx="21">
                  <c:v>1.9309999999999997E-2</c:v>
                </c:pt>
                <c:pt idx="22">
                  <c:v>1.9659999999999997E-2</c:v>
                </c:pt>
                <c:pt idx="23">
                  <c:v>1.9780000000000002E-2</c:v>
                </c:pt>
                <c:pt idx="24">
                  <c:v>1.9999999999999997E-2</c:v>
                </c:pt>
                <c:pt idx="25">
                  <c:v>2.0199999999999999E-2</c:v>
                </c:pt>
                <c:pt idx="26">
                  <c:v>2.0500000000000001E-2</c:v>
                </c:pt>
                <c:pt idx="27">
                  <c:v>2.06E-2</c:v>
                </c:pt>
                <c:pt idx="28">
                  <c:v>2.0799999999999999E-2</c:v>
                </c:pt>
                <c:pt idx="29">
                  <c:v>2.1099999999999997E-2</c:v>
                </c:pt>
                <c:pt idx="30">
                  <c:v>2.1299999999999999E-2</c:v>
                </c:pt>
                <c:pt idx="31">
                  <c:v>2.1499999999999998E-2</c:v>
                </c:pt>
                <c:pt idx="32">
                  <c:v>2.1599999999999998E-2</c:v>
                </c:pt>
                <c:pt idx="33">
                  <c:v>2.18E-2</c:v>
                </c:pt>
                <c:pt idx="34">
                  <c:v>2.1999999999999999E-2</c:v>
                </c:pt>
                <c:pt idx="35">
                  <c:v>2.1999999999999999E-2</c:v>
                </c:pt>
                <c:pt idx="36">
                  <c:v>2.23E-2</c:v>
                </c:pt>
                <c:pt idx="37">
                  <c:v>2.24E-2</c:v>
                </c:pt>
                <c:pt idx="38">
                  <c:v>2.2499999999999999E-2</c:v>
                </c:pt>
                <c:pt idx="39">
                  <c:v>2.2699999999999998E-2</c:v>
                </c:pt>
                <c:pt idx="40">
                  <c:v>2.2899999999999997E-2</c:v>
                </c:pt>
                <c:pt idx="41">
                  <c:v>2.3E-2</c:v>
                </c:pt>
                <c:pt idx="42">
                  <c:v>2.3199999999999998E-2</c:v>
                </c:pt>
                <c:pt idx="43">
                  <c:v>2.3400000000000001E-2</c:v>
                </c:pt>
                <c:pt idx="44">
                  <c:v>2.35E-2</c:v>
                </c:pt>
                <c:pt idx="45">
                  <c:v>2.3799999999999998E-2</c:v>
                </c:pt>
                <c:pt idx="46">
                  <c:v>2.3699999999999999E-2</c:v>
                </c:pt>
                <c:pt idx="47">
                  <c:v>2.3899999999999998E-2</c:v>
                </c:pt>
                <c:pt idx="48">
                  <c:v>2.3999999999999997E-2</c:v>
                </c:pt>
                <c:pt idx="49">
                  <c:v>2.4099999999999996E-2</c:v>
                </c:pt>
                <c:pt idx="50">
                  <c:v>2.4399999999999998E-2</c:v>
                </c:pt>
                <c:pt idx="51">
                  <c:v>2.4500000000000001E-2</c:v>
                </c:pt>
                <c:pt idx="52">
                  <c:v>2.4599999999999997E-2</c:v>
                </c:pt>
                <c:pt idx="53">
                  <c:v>2.47E-2</c:v>
                </c:pt>
                <c:pt idx="54">
                  <c:v>2.47E-2</c:v>
                </c:pt>
                <c:pt idx="55">
                  <c:v>2.5000000000000001E-2</c:v>
                </c:pt>
                <c:pt idx="56">
                  <c:v>2.5000000000000001E-2</c:v>
                </c:pt>
                <c:pt idx="57">
                  <c:v>2.5099999999999997E-2</c:v>
                </c:pt>
                <c:pt idx="58">
                  <c:v>2.52E-2</c:v>
                </c:pt>
                <c:pt idx="59">
                  <c:v>2.5399999999999999E-2</c:v>
                </c:pt>
                <c:pt idx="60">
                  <c:v>2.5499999999999995E-2</c:v>
                </c:pt>
                <c:pt idx="61">
                  <c:v>2.5599999999999998E-2</c:v>
                </c:pt>
                <c:pt idx="62">
                  <c:v>2.5700000000000001E-2</c:v>
                </c:pt>
                <c:pt idx="63">
                  <c:v>2.5799999999999997E-2</c:v>
                </c:pt>
                <c:pt idx="64">
                  <c:v>2.5899999999999999E-2</c:v>
                </c:pt>
                <c:pt idx="65">
                  <c:v>2.5999999999999999E-2</c:v>
                </c:pt>
                <c:pt idx="66">
                  <c:v>2.6199999999999998E-2</c:v>
                </c:pt>
                <c:pt idx="67">
                  <c:v>2.6199999999999998E-2</c:v>
                </c:pt>
                <c:pt idx="68">
                  <c:v>2.6399999999999996E-2</c:v>
                </c:pt>
                <c:pt idx="69">
                  <c:v>2.6499999999999999E-2</c:v>
                </c:pt>
                <c:pt idx="70">
                  <c:v>2.6600000000000002E-2</c:v>
                </c:pt>
                <c:pt idx="71">
                  <c:v>2.6699999999999998E-2</c:v>
                </c:pt>
                <c:pt idx="72">
                  <c:v>2.6800000000000001E-2</c:v>
                </c:pt>
                <c:pt idx="73">
                  <c:v>2.6899999999999997E-2</c:v>
                </c:pt>
                <c:pt idx="74">
                  <c:v>2.7E-2</c:v>
                </c:pt>
                <c:pt idx="75">
                  <c:v>2.7099999999999999E-2</c:v>
                </c:pt>
                <c:pt idx="76">
                  <c:v>2.7199999999999998E-2</c:v>
                </c:pt>
                <c:pt idx="77">
                  <c:v>2.7199999999999998E-2</c:v>
                </c:pt>
                <c:pt idx="78">
                  <c:v>2.7400000000000001E-2</c:v>
                </c:pt>
                <c:pt idx="79">
                  <c:v>2.7400000000000001E-2</c:v>
                </c:pt>
                <c:pt idx="80">
                  <c:v>2.7499999999999997E-2</c:v>
                </c:pt>
                <c:pt idx="81">
                  <c:v>2.7700000000000002E-2</c:v>
                </c:pt>
                <c:pt idx="82">
                  <c:v>2.7700000000000002E-2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8C-4F51-8193-DD07EC83C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039039"/>
        <c:axId val="2042036159"/>
      </c:scatterChart>
      <c:valAx>
        <c:axId val="204203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2036159"/>
        <c:crosses val="autoZero"/>
        <c:crossBetween val="midCat"/>
      </c:valAx>
      <c:valAx>
        <c:axId val="20420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Condutividade (S/m)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203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concentração // tempo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901169662874721E-3"/>
                  <c:y val="-9.1234176819763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TMb!$A$41:$A$123</c:f>
              <c:numCache>
                <c:formatCode>General</c:formatCode>
                <c:ptCount val="8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</c:numCache>
            </c:numRef>
          </c:xVal>
          <c:yVal>
            <c:numRef>
              <c:f>TMb!$B$41:$B$123</c:f>
              <c:numCache>
                <c:formatCode>0.0000E+00</c:formatCode>
                <c:ptCount val="83"/>
                <c:pt idx="0" formatCode="General">
                  <c:v>1.2628255722178375E-7</c:v>
                </c:pt>
                <c:pt idx="1">
                  <c:v>7.8847671665351234E-4</c:v>
                </c:pt>
                <c:pt idx="2">
                  <c:v>8.9581689029202827E-4</c:v>
                </c:pt>
                <c:pt idx="3">
                  <c:v>9.1074106226817148E-4</c:v>
                </c:pt>
                <c:pt idx="4">
                  <c:v>9.7000789265982632E-4</c:v>
                </c:pt>
                <c:pt idx="5">
                  <c:v>1.0410418310970798E-3</c:v>
                </c:pt>
                <c:pt idx="6">
                  <c:v>1.1136543014996054E-3</c:v>
                </c:pt>
                <c:pt idx="7">
                  <c:v>1.1373322809786895E-3</c:v>
                </c:pt>
                <c:pt idx="8">
                  <c:v>1.170481452249408E-3</c:v>
                </c:pt>
                <c:pt idx="9">
                  <c:v>1.2044198895027624E-3</c:v>
                </c:pt>
                <c:pt idx="10">
                  <c:v>1.2430939226519334E-3</c:v>
                </c:pt>
                <c:pt idx="11">
                  <c:v>1.2730860299921074E-3</c:v>
                </c:pt>
                <c:pt idx="12">
                  <c:v>1.3086029992107338E-3</c:v>
                </c:pt>
                <c:pt idx="13">
                  <c:v>1.3251775848460931E-3</c:v>
                </c:pt>
                <c:pt idx="14">
                  <c:v>1.3693764798737172E-3</c:v>
                </c:pt>
                <c:pt idx="15">
                  <c:v>1.3812154696132594E-3</c:v>
                </c:pt>
                <c:pt idx="16">
                  <c:v>1.4159431728492503E-3</c:v>
                </c:pt>
                <c:pt idx="17">
                  <c:v>1.4396211523283345E-3</c:v>
                </c:pt>
                <c:pt idx="18">
                  <c:v>1.4696132596685081E-3</c:v>
                </c:pt>
                <c:pt idx="19">
                  <c:v>1.4814522494080505E-3</c:v>
                </c:pt>
                <c:pt idx="20">
                  <c:v>1.5067087608524072E-3</c:v>
                </c:pt>
                <c:pt idx="21">
                  <c:v>1.5240726124704021E-3</c:v>
                </c:pt>
                <c:pt idx="22">
                  <c:v>1.5516969218626676E-3</c:v>
                </c:pt>
                <c:pt idx="23">
                  <c:v>1.5611681136543016E-3</c:v>
                </c:pt>
                <c:pt idx="24">
                  <c:v>1.5785319652722965E-3</c:v>
                </c:pt>
                <c:pt idx="25">
                  <c:v>1.5943172849250196E-3</c:v>
                </c:pt>
                <c:pt idx="26">
                  <c:v>1.6179952644041044E-3</c:v>
                </c:pt>
                <c:pt idx="27">
                  <c:v>1.6258879242304655E-3</c:v>
                </c:pt>
                <c:pt idx="28">
                  <c:v>1.6416732438831886E-3</c:v>
                </c:pt>
                <c:pt idx="29">
                  <c:v>1.6653512233622727E-3</c:v>
                </c:pt>
                <c:pt idx="30">
                  <c:v>1.681136543014996E-3</c:v>
                </c:pt>
                <c:pt idx="31">
                  <c:v>1.6969218626677188E-3</c:v>
                </c:pt>
                <c:pt idx="32">
                  <c:v>1.7048145224940804E-3</c:v>
                </c:pt>
                <c:pt idx="33">
                  <c:v>1.7205998421468034E-3</c:v>
                </c:pt>
                <c:pt idx="34">
                  <c:v>1.7363851617995263E-3</c:v>
                </c:pt>
                <c:pt idx="35">
                  <c:v>1.7363851617995263E-3</c:v>
                </c:pt>
                <c:pt idx="36">
                  <c:v>1.7600631412786109E-3</c:v>
                </c:pt>
                <c:pt idx="37">
                  <c:v>1.7679558011049724E-3</c:v>
                </c:pt>
                <c:pt idx="38">
                  <c:v>1.7758484609313339E-3</c:v>
                </c:pt>
                <c:pt idx="39">
                  <c:v>1.7916337805840565E-3</c:v>
                </c:pt>
                <c:pt idx="40">
                  <c:v>1.8074191002367796E-3</c:v>
                </c:pt>
                <c:pt idx="41">
                  <c:v>1.8153117600631411E-3</c:v>
                </c:pt>
                <c:pt idx="42">
                  <c:v>1.8310970797158642E-3</c:v>
                </c:pt>
                <c:pt idx="43">
                  <c:v>1.846882399368587E-3</c:v>
                </c:pt>
                <c:pt idx="44">
                  <c:v>1.8547750591949486E-3</c:v>
                </c:pt>
                <c:pt idx="45">
                  <c:v>1.8784530386740329E-3</c:v>
                </c:pt>
                <c:pt idx="46">
                  <c:v>1.8705603788476716E-3</c:v>
                </c:pt>
                <c:pt idx="47">
                  <c:v>1.8863456985003942E-3</c:v>
                </c:pt>
                <c:pt idx="48">
                  <c:v>1.8942383583267558E-3</c:v>
                </c:pt>
                <c:pt idx="49">
                  <c:v>1.9021310181531173E-3</c:v>
                </c:pt>
                <c:pt idx="50">
                  <c:v>1.9258089976322019E-3</c:v>
                </c:pt>
                <c:pt idx="51">
                  <c:v>1.9337016574585636E-3</c:v>
                </c:pt>
                <c:pt idx="52">
                  <c:v>1.9415943172849245E-3</c:v>
                </c:pt>
                <c:pt idx="53">
                  <c:v>1.9494869771112865E-3</c:v>
                </c:pt>
                <c:pt idx="54">
                  <c:v>1.9494869771112865E-3</c:v>
                </c:pt>
                <c:pt idx="55">
                  <c:v>1.9731649565903711E-3</c:v>
                </c:pt>
                <c:pt idx="56">
                  <c:v>1.9731649565903711E-3</c:v>
                </c:pt>
                <c:pt idx="57">
                  <c:v>1.9810576164167319E-3</c:v>
                </c:pt>
                <c:pt idx="58">
                  <c:v>1.9889502762430937E-3</c:v>
                </c:pt>
                <c:pt idx="59">
                  <c:v>2.0047355958958167E-3</c:v>
                </c:pt>
                <c:pt idx="60">
                  <c:v>2.0126282557221776E-3</c:v>
                </c:pt>
                <c:pt idx="61">
                  <c:v>2.0205209155485398E-3</c:v>
                </c:pt>
                <c:pt idx="62">
                  <c:v>2.0284135753749015E-3</c:v>
                </c:pt>
                <c:pt idx="63">
                  <c:v>2.0363062352012624E-3</c:v>
                </c:pt>
                <c:pt idx="64">
                  <c:v>2.0441988950276242E-3</c:v>
                </c:pt>
                <c:pt idx="65">
                  <c:v>2.0520915548539855E-3</c:v>
                </c:pt>
                <c:pt idx="66">
                  <c:v>2.0678768745067085E-3</c:v>
                </c:pt>
                <c:pt idx="67">
                  <c:v>2.0678768745067085E-3</c:v>
                </c:pt>
                <c:pt idx="68">
                  <c:v>2.0836621941594312E-3</c:v>
                </c:pt>
                <c:pt idx="69">
                  <c:v>2.0915548539857933E-3</c:v>
                </c:pt>
                <c:pt idx="70">
                  <c:v>2.0994475138121547E-3</c:v>
                </c:pt>
                <c:pt idx="71">
                  <c:v>2.107340173638516E-3</c:v>
                </c:pt>
                <c:pt idx="72">
                  <c:v>2.1152328334648777E-3</c:v>
                </c:pt>
                <c:pt idx="73">
                  <c:v>2.123125493291239E-3</c:v>
                </c:pt>
                <c:pt idx="74">
                  <c:v>2.1310181531176008E-3</c:v>
                </c:pt>
                <c:pt idx="75">
                  <c:v>2.1389108129439621E-3</c:v>
                </c:pt>
                <c:pt idx="76">
                  <c:v>2.1468034727703234E-3</c:v>
                </c:pt>
                <c:pt idx="77">
                  <c:v>2.1468034727703234E-3</c:v>
                </c:pt>
                <c:pt idx="78">
                  <c:v>2.1625887924230469E-3</c:v>
                </c:pt>
                <c:pt idx="79">
                  <c:v>2.1625887924230469E-3</c:v>
                </c:pt>
                <c:pt idx="80">
                  <c:v>2.1704814522494078E-3</c:v>
                </c:pt>
                <c:pt idx="81">
                  <c:v>2.1862667719021313E-3</c:v>
                </c:pt>
                <c:pt idx="82" formatCode="General">
                  <c:v>2.1862667719021313E-3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1-4B11-A7A6-DE6DC758A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96831"/>
        <c:axId val="756301631"/>
      </c:scatterChart>
      <c:valAx>
        <c:axId val="75629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6301631"/>
        <c:crosses val="autoZero"/>
        <c:crossBetween val="midCat"/>
      </c:valAx>
      <c:valAx>
        <c:axId val="7563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Concentração (mol/L)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629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Condutância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TMa!$B$3:$B$8</c:f>
              <c:numCache>
                <c:formatCode>General</c:formatCode>
                <c:ptCount val="6"/>
                <c:pt idx="0">
                  <c:v>0.1</c:v>
                </c:pt>
                <c:pt idx="1">
                  <c:v>8.2000000000000003E-2</c:v>
                </c:pt>
                <c:pt idx="2">
                  <c:v>6.4000000000000001E-2</c:v>
                </c:pt>
                <c:pt idx="3">
                  <c:v>4.5999999999999999E-2</c:v>
                </c:pt>
                <c:pt idx="4">
                  <c:v>2.7999999999999997E-2</c:v>
                </c:pt>
                <c:pt idx="5">
                  <c:v>0.01</c:v>
                </c:pt>
              </c:numCache>
            </c:numRef>
          </c:xVal>
          <c:yVal>
            <c:numRef>
              <c:f>TMa!$H$3:$H$8</c:f>
              <c:numCache>
                <c:formatCode>General</c:formatCode>
                <c:ptCount val="6"/>
                <c:pt idx="0">
                  <c:v>1.27</c:v>
                </c:pt>
                <c:pt idx="1">
                  <c:v>1.0665</c:v>
                </c:pt>
                <c:pt idx="2">
                  <c:v>0.84399999999999997</c:v>
                </c:pt>
                <c:pt idx="3">
                  <c:v>0.61899999999999999</c:v>
                </c:pt>
                <c:pt idx="4">
                  <c:v>0.37350000000000005</c:v>
                </c:pt>
                <c:pt idx="5">
                  <c:v>0.1343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0-40BD-9877-8217B89DD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560703"/>
        <c:axId val="1722562143"/>
      </c:scatterChart>
      <c:valAx>
        <c:axId val="172256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Concentração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22562143"/>
        <c:crosses val="autoZero"/>
        <c:crossBetween val="midCat"/>
      </c:valAx>
      <c:valAx>
        <c:axId val="172256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Condutividade (S/m)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2256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7145</xdr:colOff>
      <xdr:row>24</xdr:row>
      <xdr:rowOff>8824</xdr:rowOff>
    </xdr:from>
    <xdr:to>
      <xdr:col>13</xdr:col>
      <xdr:colOff>618566</xdr:colOff>
      <xdr:row>38</xdr:row>
      <xdr:rowOff>85024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684B65-CF16-D481-2C34-4301D39DA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648138</xdr:colOff>
      <xdr:row>39</xdr:row>
      <xdr:rowOff>161159</xdr:rowOff>
    </xdr:from>
    <xdr:to>
      <xdr:col>14</xdr:col>
      <xdr:colOff>0</xdr:colOff>
      <xdr:row>56</xdr:row>
      <xdr:rowOff>43792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80E8B2-EA36-CF13-7D65-748DB8419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4762</xdr:rowOff>
    </xdr:from>
    <xdr:to>
      <xdr:col>7</xdr:col>
      <xdr:colOff>247650</xdr:colOff>
      <xdr:row>23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2DCC1F-CCCE-3DBD-454E-E99192E08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F64B-0558-4FC4-8ADF-368CE1A60A3B}">
  <dimension ref="A1:T123"/>
  <sheetViews>
    <sheetView topLeftCell="A39" zoomScale="90" zoomScaleNormal="90" workbookViewId="0">
      <selection activeCell="D51" sqref="D51"/>
    </sheetView>
  </sheetViews>
  <sheetFormatPr defaultRowHeight="15" x14ac:dyDescent="0.25"/>
  <cols>
    <col min="1" max="1" width="14.140625" style="1" customWidth="1"/>
    <col min="2" max="2" width="14" customWidth="1"/>
    <col min="3" max="3" width="20.28515625" style="1" customWidth="1"/>
    <col min="4" max="4" width="13" style="1" customWidth="1"/>
    <col min="5" max="5" width="10.140625" style="1" customWidth="1"/>
    <col min="6" max="6" width="14" style="1" customWidth="1"/>
    <col min="7" max="7" width="20.140625" style="1" customWidth="1"/>
    <col min="8" max="8" width="9.140625" style="1"/>
    <col min="9" max="9" width="10.5703125" style="1" customWidth="1"/>
    <col min="10" max="10" width="13.7109375" style="1" customWidth="1"/>
    <col min="11" max="11" width="20" style="1" customWidth="1"/>
    <col min="12" max="12" width="9.140625" style="1"/>
    <col min="13" max="13" width="11.85546875" style="1" customWidth="1"/>
    <col min="14" max="14" width="14.42578125" style="1" customWidth="1"/>
    <col min="15" max="15" width="22.140625" style="1" customWidth="1"/>
    <col min="16" max="17" width="9.140625" style="1"/>
    <col min="18" max="18" width="16.140625" style="1" customWidth="1"/>
    <col min="19" max="19" width="12.5703125" style="1" customWidth="1"/>
    <col min="20" max="20" width="12.140625" style="1" customWidth="1"/>
    <col min="21" max="16384" width="9.140625" style="1"/>
  </cols>
  <sheetData>
    <row r="1" spans="1:20" x14ac:dyDescent="0.25">
      <c r="A1" s="4" t="s">
        <v>4</v>
      </c>
      <c r="B1" s="4" t="s">
        <v>5</v>
      </c>
      <c r="C1" s="4" t="s">
        <v>25</v>
      </c>
      <c r="E1" s="4" t="s">
        <v>4</v>
      </c>
      <c r="F1" s="4" t="s">
        <v>5</v>
      </c>
      <c r="G1" s="4" t="s">
        <v>23</v>
      </c>
      <c r="I1" s="4" t="s">
        <v>4</v>
      </c>
      <c r="J1" s="4" t="s">
        <v>5</v>
      </c>
      <c r="K1" s="4" t="s">
        <v>23</v>
      </c>
      <c r="M1" s="4" t="s">
        <v>4</v>
      </c>
      <c r="N1" s="4" t="s">
        <v>5</v>
      </c>
      <c r="O1" s="4" t="s">
        <v>23</v>
      </c>
    </row>
    <row r="2" spans="1:20" x14ac:dyDescent="0.25">
      <c r="A2" s="2">
        <v>15</v>
      </c>
      <c r="B2" s="2"/>
      <c r="C2" s="2">
        <f>99.9*10^-6*10^2</f>
        <v>9.9900000000000006E-3</v>
      </c>
      <c r="E2" s="2">
        <f>A21+15</f>
        <v>315</v>
      </c>
      <c r="F2" s="2"/>
      <c r="G2" s="2">
        <f>10^-6*193.1*10^2</f>
        <v>1.9309999999999997E-2</v>
      </c>
      <c r="I2" s="2">
        <f>E21+15</f>
        <v>615</v>
      </c>
      <c r="J2" s="2"/>
      <c r="K2" s="2">
        <f>10^-6*230*10^2</f>
        <v>2.3E-2</v>
      </c>
      <c r="M2" s="2">
        <f>I21+15</f>
        <v>915</v>
      </c>
      <c r="N2" s="2"/>
      <c r="O2" s="2">
        <f>10^-6*256*10^2</f>
        <v>2.5599999999999998E-2</v>
      </c>
      <c r="R2"/>
      <c r="S2"/>
      <c r="T2"/>
    </row>
    <row r="3" spans="1:20" x14ac:dyDescent="0.25">
      <c r="A3" s="4">
        <f>A2+15</f>
        <v>30</v>
      </c>
      <c r="B3" s="4"/>
      <c r="C3" s="4">
        <f>113.5*10^-6*10^2</f>
        <v>1.1349999999999999E-2</v>
      </c>
      <c r="E3" s="4">
        <f t="shared" ref="E3:E21" si="0">E2+15</f>
        <v>330</v>
      </c>
      <c r="F3" s="4">
        <v>5.5</v>
      </c>
      <c r="G3" s="4">
        <f>10^-6*196.6*10^2</f>
        <v>1.9659999999999997E-2</v>
      </c>
      <c r="I3" s="4">
        <f t="shared" ref="I3:I21" si="1">I2+15</f>
        <v>630</v>
      </c>
      <c r="J3" s="4">
        <v>10.5</v>
      </c>
      <c r="K3" s="4">
        <f>10^-6*232*10^2</f>
        <v>2.3199999999999998E-2</v>
      </c>
      <c r="M3" s="4">
        <f t="shared" ref="M3:M23" si="2">M2+15</f>
        <v>930</v>
      </c>
      <c r="N3" s="4">
        <v>15.5</v>
      </c>
      <c r="O3" s="4">
        <f>10^-6*257*10^2</f>
        <v>2.5700000000000001E-2</v>
      </c>
      <c r="R3"/>
      <c r="S3"/>
      <c r="T3"/>
    </row>
    <row r="4" spans="1:20" x14ac:dyDescent="0.25">
      <c r="A4" s="2">
        <f t="shared" ref="A4:A21" si="3">A3+15</f>
        <v>45</v>
      </c>
      <c r="B4" s="2"/>
      <c r="C4" s="2">
        <f>115.4*10^-6*10^2</f>
        <v>1.154E-2</v>
      </c>
      <c r="E4" s="6">
        <f t="shared" si="0"/>
        <v>345</v>
      </c>
      <c r="F4" s="2"/>
      <c r="G4" s="2">
        <f>10^-6*197.8*10^2</f>
        <v>1.9780000000000002E-2</v>
      </c>
      <c r="I4" s="2">
        <f t="shared" si="1"/>
        <v>645</v>
      </c>
      <c r="J4" s="2"/>
      <c r="K4" s="2">
        <f>10^-6*234*10^2</f>
        <v>2.3400000000000001E-2</v>
      </c>
      <c r="M4" s="2">
        <f t="shared" si="2"/>
        <v>945</v>
      </c>
      <c r="N4" s="2"/>
      <c r="O4" s="2">
        <f>10^-6*258*10^2</f>
        <v>2.5799999999999997E-2</v>
      </c>
      <c r="R4"/>
      <c r="S4"/>
      <c r="T4"/>
    </row>
    <row r="5" spans="1:20" x14ac:dyDescent="0.25">
      <c r="A5" s="4">
        <f t="shared" si="3"/>
        <v>60</v>
      </c>
      <c r="B5" s="4">
        <v>1</v>
      </c>
      <c r="C5" s="4">
        <f>122.9*10^-6*10^2</f>
        <v>1.2290000000000001E-2</v>
      </c>
      <c r="E5" s="4">
        <f t="shared" si="0"/>
        <v>360</v>
      </c>
      <c r="F5" s="4">
        <v>6</v>
      </c>
      <c r="G5" s="4">
        <f>10^-6*200*10^2</f>
        <v>1.9999999999999997E-2</v>
      </c>
      <c r="I5" s="4">
        <f t="shared" si="1"/>
        <v>660</v>
      </c>
      <c r="J5" s="4">
        <v>11</v>
      </c>
      <c r="K5" s="4">
        <f>10^-6*235*10^2</f>
        <v>2.35E-2</v>
      </c>
      <c r="M5" s="4">
        <f t="shared" si="2"/>
        <v>960</v>
      </c>
      <c r="N5" s="4">
        <v>16</v>
      </c>
      <c r="O5" s="4">
        <f>10^-6*259*10^2</f>
        <v>2.5899999999999999E-2</v>
      </c>
      <c r="R5"/>
      <c r="S5"/>
      <c r="T5"/>
    </row>
    <row r="6" spans="1:20" x14ac:dyDescent="0.25">
      <c r="A6" s="2">
        <f t="shared" si="3"/>
        <v>75</v>
      </c>
      <c r="B6" s="2"/>
      <c r="C6" s="2">
        <f>131.9*10^-6*10^2</f>
        <v>1.319E-2</v>
      </c>
      <c r="E6" s="2">
        <f t="shared" si="0"/>
        <v>375</v>
      </c>
      <c r="F6" s="2"/>
      <c r="G6" s="2">
        <f>10^-6*202*10^2</f>
        <v>2.0199999999999999E-2</v>
      </c>
      <c r="I6" s="2">
        <f t="shared" si="1"/>
        <v>675</v>
      </c>
      <c r="J6" s="2"/>
      <c r="K6" s="2">
        <f>10^-6*238*10^2</f>
        <v>2.3799999999999998E-2</v>
      </c>
      <c r="M6" s="2">
        <f t="shared" si="2"/>
        <v>975</v>
      </c>
      <c r="N6" s="2"/>
      <c r="O6" s="2">
        <f>10^-6*260*10^2</f>
        <v>2.5999999999999999E-2</v>
      </c>
      <c r="R6"/>
      <c r="S6"/>
      <c r="T6"/>
    </row>
    <row r="7" spans="1:20" x14ac:dyDescent="0.25">
      <c r="A7" s="4">
        <f t="shared" si="3"/>
        <v>90</v>
      </c>
      <c r="B7" s="4">
        <v>1.5</v>
      </c>
      <c r="C7" s="4">
        <f>141.1*10^-6*10^2</f>
        <v>1.4109999999999999E-2</v>
      </c>
      <c r="E7" s="4">
        <f t="shared" si="0"/>
        <v>390</v>
      </c>
      <c r="F7" s="4">
        <v>6.5</v>
      </c>
      <c r="G7" s="4">
        <f>10^-6*205*10^2</f>
        <v>2.0500000000000001E-2</v>
      </c>
      <c r="I7" s="4">
        <f t="shared" si="1"/>
        <v>690</v>
      </c>
      <c r="J7" s="4">
        <v>11.5</v>
      </c>
      <c r="K7" s="4">
        <f>10^-6*237*10^2</f>
        <v>2.3699999999999999E-2</v>
      </c>
      <c r="M7" s="4">
        <f t="shared" si="2"/>
        <v>990</v>
      </c>
      <c r="N7" s="4">
        <v>16.5</v>
      </c>
      <c r="O7" s="4">
        <f>10^-6*262*10^2</f>
        <v>2.6199999999999998E-2</v>
      </c>
      <c r="R7"/>
      <c r="S7"/>
      <c r="T7"/>
    </row>
    <row r="8" spans="1:20" x14ac:dyDescent="0.25">
      <c r="A8" s="2">
        <f t="shared" si="3"/>
        <v>105</v>
      </c>
      <c r="B8" s="2"/>
      <c r="C8" s="2">
        <f>144.1*10^-6*10^2</f>
        <v>1.4409999999999997E-2</v>
      </c>
      <c r="E8" s="2">
        <f t="shared" si="0"/>
        <v>405</v>
      </c>
      <c r="F8" s="2"/>
      <c r="G8" s="2">
        <f>10^-6*206*10^2</f>
        <v>2.06E-2</v>
      </c>
      <c r="I8" s="2">
        <f t="shared" si="1"/>
        <v>705</v>
      </c>
      <c r="J8" s="2"/>
      <c r="K8" s="2">
        <f>10^-6*239*10^2</f>
        <v>2.3899999999999998E-2</v>
      </c>
      <c r="M8" s="2">
        <f t="shared" si="2"/>
        <v>1005</v>
      </c>
      <c r="N8" s="2"/>
      <c r="O8" s="2">
        <f>10^-6*262*10^2</f>
        <v>2.6199999999999998E-2</v>
      </c>
      <c r="R8"/>
      <c r="S8"/>
      <c r="T8"/>
    </row>
    <row r="9" spans="1:20" x14ac:dyDescent="0.25">
      <c r="A9" s="4">
        <f t="shared" si="3"/>
        <v>120</v>
      </c>
      <c r="B9" s="4">
        <v>2</v>
      </c>
      <c r="C9" s="4">
        <f>10^-6*148.3*10^2</f>
        <v>1.4829999999999999E-2</v>
      </c>
      <c r="E9" s="4">
        <f t="shared" si="0"/>
        <v>420</v>
      </c>
      <c r="F9" s="4">
        <v>7</v>
      </c>
      <c r="G9" s="4">
        <f>10^-6*208*10^2</f>
        <v>2.0799999999999999E-2</v>
      </c>
      <c r="I9" s="4">
        <f t="shared" si="1"/>
        <v>720</v>
      </c>
      <c r="J9" s="4">
        <v>12</v>
      </c>
      <c r="K9" s="4">
        <f>10^-6*240*10^2</f>
        <v>2.3999999999999997E-2</v>
      </c>
      <c r="M9" s="4">
        <f t="shared" si="2"/>
        <v>1020</v>
      </c>
      <c r="N9" s="4">
        <v>17</v>
      </c>
      <c r="O9" s="4">
        <f>10^-6*264*10^2</f>
        <v>2.6399999999999996E-2</v>
      </c>
      <c r="R9"/>
      <c r="S9"/>
      <c r="T9"/>
    </row>
    <row r="10" spans="1:20" x14ac:dyDescent="0.25">
      <c r="A10" s="2">
        <f t="shared" si="3"/>
        <v>135</v>
      </c>
      <c r="B10" s="2"/>
      <c r="C10" s="2">
        <f>10^-6*152.6*10^2</f>
        <v>1.5259999999999999E-2</v>
      </c>
      <c r="E10" s="2">
        <f t="shared" si="0"/>
        <v>435</v>
      </c>
      <c r="F10" s="2"/>
      <c r="G10" s="2">
        <f>10^-6*211*10^2</f>
        <v>2.1099999999999997E-2</v>
      </c>
      <c r="I10" s="2">
        <f t="shared" si="1"/>
        <v>735</v>
      </c>
      <c r="J10" s="2"/>
      <c r="K10" s="2">
        <f>10^-6*241*10^2</f>
        <v>2.4099999999999996E-2</v>
      </c>
      <c r="M10" s="2">
        <f t="shared" si="2"/>
        <v>1035</v>
      </c>
      <c r="N10" s="2"/>
      <c r="O10" s="2">
        <f>10^-6*265*10^2</f>
        <v>2.6499999999999999E-2</v>
      </c>
      <c r="R10" t="s">
        <v>27</v>
      </c>
      <c r="S10"/>
      <c r="T10"/>
    </row>
    <row r="11" spans="1:20" x14ac:dyDescent="0.25">
      <c r="A11" s="4">
        <f t="shared" si="3"/>
        <v>150</v>
      </c>
      <c r="B11" s="4">
        <v>2.5</v>
      </c>
      <c r="C11" s="4">
        <f>10^-6*157.5*10^2</f>
        <v>1.5749999999999997E-2</v>
      </c>
      <c r="E11" s="4">
        <f t="shared" si="0"/>
        <v>450</v>
      </c>
      <c r="F11" s="4">
        <v>7.5</v>
      </c>
      <c r="G11" s="4">
        <f>10^-6*213*10^2</f>
        <v>2.1299999999999999E-2</v>
      </c>
      <c r="I11" s="4">
        <f t="shared" si="1"/>
        <v>750</v>
      </c>
      <c r="J11" s="4">
        <v>12.5</v>
      </c>
      <c r="K11" s="4">
        <f>10^-6*244*10^2</f>
        <v>2.4399999999999998E-2</v>
      </c>
      <c r="M11" s="4">
        <f t="shared" si="2"/>
        <v>1050</v>
      </c>
      <c r="N11" s="4">
        <v>17.5</v>
      </c>
      <c r="O11" s="4">
        <f>10^-6*266*10^2</f>
        <v>2.6600000000000002E-2</v>
      </c>
      <c r="R11" t="s">
        <v>28</v>
      </c>
      <c r="S11"/>
      <c r="T11"/>
    </row>
    <row r="12" spans="1:20" x14ac:dyDescent="0.25">
      <c r="A12" s="2">
        <f t="shared" si="3"/>
        <v>165</v>
      </c>
      <c r="B12" s="2"/>
      <c r="C12" s="2">
        <f>10^-6*161.3*10^2</f>
        <v>1.6130000000000002E-2</v>
      </c>
      <c r="E12" s="2">
        <f t="shared" si="0"/>
        <v>465</v>
      </c>
      <c r="F12" s="2"/>
      <c r="G12" s="2">
        <f>10^-6*215*10^2</f>
        <v>2.1499999999999998E-2</v>
      </c>
      <c r="I12" s="2">
        <f t="shared" si="1"/>
        <v>765</v>
      </c>
      <c r="J12" s="2"/>
      <c r="K12" s="2">
        <f>10^-6*245*10^2</f>
        <v>2.4500000000000001E-2</v>
      </c>
      <c r="M12" s="2">
        <f t="shared" si="2"/>
        <v>1065</v>
      </c>
      <c r="N12" s="2"/>
      <c r="O12" s="2">
        <f>10^-6*267*10^2</f>
        <v>2.6699999999999998E-2</v>
      </c>
      <c r="R12"/>
      <c r="S12"/>
      <c r="T12"/>
    </row>
    <row r="13" spans="1:20" x14ac:dyDescent="0.25">
      <c r="A13" s="4">
        <f t="shared" si="3"/>
        <v>180</v>
      </c>
      <c r="B13" s="4">
        <v>3</v>
      </c>
      <c r="C13" s="4">
        <f>10^-6*165.8*10^2</f>
        <v>1.6579999999999998E-2</v>
      </c>
      <c r="E13" s="4">
        <f t="shared" si="0"/>
        <v>480</v>
      </c>
      <c r="F13" s="4">
        <v>8</v>
      </c>
      <c r="G13" s="4">
        <f>10^-6*216*10^2</f>
        <v>2.1599999999999998E-2</v>
      </c>
      <c r="I13" s="4">
        <f t="shared" si="1"/>
        <v>780</v>
      </c>
      <c r="J13" s="4">
        <v>13</v>
      </c>
      <c r="K13" s="4">
        <f>10^-6*246*10^2</f>
        <v>2.4599999999999997E-2</v>
      </c>
      <c r="M13" s="4">
        <f t="shared" si="2"/>
        <v>1080</v>
      </c>
      <c r="N13" s="4">
        <v>18</v>
      </c>
      <c r="O13" s="4">
        <f>10^-6*268*10^2</f>
        <v>2.6800000000000001E-2</v>
      </c>
      <c r="R13"/>
      <c r="S13"/>
      <c r="T13"/>
    </row>
    <row r="14" spans="1:20" x14ac:dyDescent="0.25">
      <c r="A14" s="2">
        <f t="shared" si="3"/>
        <v>195</v>
      </c>
      <c r="B14" s="2"/>
      <c r="C14" s="2">
        <f>10^-6*167.9*10^2</f>
        <v>1.6789999999999999E-2</v>
      </c>
      <c r="E14" s="2">
        <f t="shared" si="0"/>
        <v>495</v>
      </c>
      <c r="F14" s="2"/>
      <c r="G14" s="2">
        <f>10^-6*218*10^2</f>
        <v>2.18E-2</v>
      </c>
      <c r="I14" s="2">
        <f t="shared" si="1"/>
        <v>795</v>
      </c>
      <c r="J14" s="2"/>
      <c r="K14" s="2">
        <f>10^-6*247*10^2</f>
        <v>2.47E-2</v>
      </c>
      <c r="M14" s="2">
        <f t="shared" si="2"/>
        <v>1095</v>
      </c>
      <c r="N14" s="2"/>
      <c r="O14" s="2">
        <f>10^-6*269*10^2</f>
        <v>2.6899999999999997E-2</v>
      </c>
    </row>
    <row r="15" spans="1:20" x14ac:dyDescent="0.25">
      <c r="A15" s="4">
        <f t="shared" si="3"/>
        <v>210</v>
      </c>
      <c r="B15" s="4">
        <v>3.5</v>
      </c>
      <c r="C15" s="4">
        <f>10^-6*173.5*10^2</f>
        <v>1.7349999999999997E-2</v>
      </c>
      <c r="E15" s="4">
        <f t="shared" si="0"/>
        <v>510</v>
      </c>
      <c r="F15" s="4">
        <v>8.5</v>
      </c>
      <c r="G15" s="4">
        <f>10^-6*220*10^2</f>
        <v>2.1999999999999999E-2</v>
      </c>
      <c r="I15" s="4">
        <f t="shared" si="1"/>
        <v>810</v>
      </c>
      <c r="J15" s="4">
        <v>13.5</v>
      </c>
      <c r="K15" s="4">
        <f>10^-6*247*10^2</f>
        <v>2.47E-2</v>
      </c>
      <c r="M15" s="4">
        <f t="shared" si="2"/>
        <v>1110</v>
      </c>
      <c r="N15" s="4">
        <v>18.5</v>
      </c>
      <c r="O15" s="4">
        <f>10^-6*270*10^2</f>
        <v>2.7E-2</v>
      </c>
    </row>
    <row r="16" spans="1:20" x14ac:dyDescent="0.25">
      <c r="A16" s="2">
        <f t="shared" si="3"/>
        <v>225</v>
      </c>
      <c r="B16" s="2"/>
      <c r="C16" s="2">
        <f>10^-6*175*10^2</f>
        <v>1.7499999999999998E-2</v>
      </c>
      <c r="E16" s="2">
        <f t="shared" si="0"/>
        <v>525</v>
      </c>
      <c r="F16" s="2"/>
      <c r="G16" s="2">
        <f>10^-6*220*10^2</f>
        <v>2.1999999999999999E-2</v>
      </c>
      <c r="I16" s="2">
        <f t="shared" si="1"/>
        <v>825</v>
      </c>
      <c r="J16" s="2"/>
      <c r="K16" s="2">
        <f>10^-6*250*10^2</f>
        <v>2.5000000000000001E-2</v>
      </c>
      <c r="M16" s="2">
        <f t="shared" si="2"/>
        <v>1125</v>
      </c>
      <c r="N16" s="2"/>
      <c r="O16" s="2">
        <f>10^-6*271*10^2</f>
        <v>2.7099999999999999E-2</v>
      </c>
    </row>
    <row r="17" spans="1:20" x14ac:dyDescent="0.25">
      <c r="A17" s="4">
        <f t="shared" si="3"/>
        <v>240</v>
      </c>
      <c r="B17" s="4">
        <v>4</v>
      </c>
      <c r="C17" s="4">
        <f>10^-6*179.4*10^2</f>
        <v>1.7940000000000001E-2</v>
      </c>
      <c r="E17" s="4">
        <f t="shared" si="0"/>
        <v>540</v>
      </c>
      <c r="F17" s="4">
        <v>9</v>
      </c>
      <c r="G17" s="4">
        <f>10^-6*223*10^2</f>
        <v>2.23E-2</v>
      </c>
      <c r="I17" s="4">
        <f t="shared" si="1"/>
        <v>840</v>
      </c>
      <c r="J17" s="4">
        <v>14</v>
      </c>
      <c r="K17" s="4">
        <f>10^-6*250*10^2</f>
        <v>2.5000000000000001E-2</v>
      </c>
      <c r="M17" s="4">
        <f t="shared" si="2"/>
        <v>1140</v>
      </c>
      <c r="N17" s="4">
        <v>19</v>
      </c>
      <c r="O17" s="4">
        <f>10^-6*272*10^2</f>
        <v>2.7199999999999998E-2</v>
      </c>
      <c r="R17"/>
      <c r="S17"/>
      <c r="T17"/>
    </row>
    <row r="18" spans="1:20" x14ac:dyDescent="0.25">
      <c r="A18" s="2">
        <f t="shared" si="3"/>
        <v>255</v>
      </c>
      <c r="B18" s="2"/>
      <c r="C18" s="2">
        <f>10^-6*182.4*10^2</f>
        <v>1.8239999999999999E-2</v>
      </c>
      <c r="E18" s="2">
        <f t="shared" si="0"/>
        <v>555</v>
      </c>
      <c r="F18" s="2"/>
      <c r="G18" s="2">
        <f>10^-6*224*10^2</f>
        <v>2.24E-2</v>
      </c>
      <c r="I18" s="2">
        <f t="shared" si="1"/>
        <v>855</v>
      </c>
      <c r="J18" s="2"/>
      <c r="K18" s="2">
        <f>10^-6*251*10^2</f>
        <v>2.5099999999999997E-2</v>
      </c>
      <c r="M18" s="2">
        <f t="shared" si="2"/>
        <v>1155</v>
      </c>
      <c r="N18" s="2"/>
      <c r="O18" s="2">
        <f>10^-6*272*10^2</f>
        <v>2.7199999999999998E-2</v>
      </c>
      <c r="R18" s="17" t="s">
        <v>14</v>
      </c>
      <c r="S18" s="18"/>
      <c r="T18" s="19"/>
    </row>
    <row r="19" spans="1:20" x14ac:dyDescent="0.25">
      <c r="A19" s="4">
        <f t="shared" si="3"/>
        <v>270</v>
      </c>
      <c r="B19" s="4">
        <v>4.5</v>
      </c>
      <c r="C19" s="4">
        <f>10^-6*186.2*10^2</f>
        <v>1.8619999999999998E-2</v>
      </c>
      <c r="E19" s="4">
        <f t="shared" si="0"/>
        <v>570</v>
      </c>
      <c r="F19" s="4">
        <v>9.5</v>
      </c>
      <c r="G19" s="4">
        <f>10^-6*225*10^2</f>
        <v>2.2499999999999999E-2</v>
      </c>
      <c r="I19" s="4">
        <f t="shared" si="1"/>
        <v>870</v>
      </c>
      <c r="J19" s="4">
        <v>14.5</v>
      </c>
      <c r="K19" s="4">
        <f>10^-6*252*10^2</f>
        <v>2.52E-2</v>
      </c>
      <c r="M19" s="4">
        <f t="shared" si="2"/>
        <v>1170</v>
      </c>
      <c r="N19" s="4">
        <v>19.5</v>
      </c>
      <c r="O19" s="4">
        <f>10^-6*274*10^2</f>
        <v>2.7400000000000001E-2</v>
      </c>
      <c r="R19" s="9" t="s">
        <v>15</v>
      </c>
      <c r="S19" s="13">
        <f>(1*10^(-5))/(1.2671*10)</f>
        <v>7.8920369347328554E-7</v>
      </c>
      <c r="T19" s="12" t="s">
        <v>17</v>
      </c>
    </row>
    <row r="20" spans="1:20" ht="17.25" x14ac:dyDescent="0.25">
      <c r="A20" s="2">
        <f t="shared" si="3"/>
        <v>285</v>
      </c>
      <c r="B20" s="2"/>
      <c r="C20" s="2">
        <f>10^-6*187.7*10^2</f>
        <v>1.8769999999999998E-2</v>
      </c>
      <c r="E20" s="2">
        <f t="shared" si="0"/>
        <v>585</v>
      </c>
      <c r="F20" s="2"/>
      <c r="G20" s="2">
        <f>10^-6*227*10^2</f>
        <v>2.2699999999999998E-2</v>
      </c>
      <c r="I20" s="2">
        <f t="shared" si="1"/>
        <v>885</v>
      </c>
      <c r="J20" s="2"/>
      <c r="K20" s="2">
        <f>10^-6*254*10^2</f>
        <v>2.5399999999999999E-2</v>
      </c>
      <c r="M20" s="2">
        <f t="shared" si="2"/>
        <v>1185</v>
      </c>
      <c r="N20" s="2"/>
      <c r="O20" s="2">
        <f>10^-6*274*10^2</f>
        <v>2.7400000000000001E-2</v>
      </c>
      <c r="R20" s="9" t="s">
        <v>16</v>
      </c>
      <c r="S20" s="9">
        <v>1</v>
      </c>
      <c r="T20" s="9" t="s">
        <v>29</v>
      </c>
    </row>
    <row r="21" spans="1:20" ht="17.25" x14ac:dyDescent="0.25">
      <c r="A21" s="4">
        <f t="shared" si="3"/>
        <v>300</v>
      </c>
      <c r="B21" s="4">
        <v>5</v>
      </c>
      <c r="C21" s="4">
        <f>10^-6*190.9*10^2</f>
        <v>1.9089999999999999E-2</v>
      </c>
      <c r="E21" s="4">
        <f t="shared" si="0"/>
        <v>600</v>
      </c>
      <c r="F21" s="4">
        <v>10</v>
      </c>
      <c r="G21" s="4">
        <f>10^-6*229*10^2</f>
        <v>2.2899999999999997E-2</v>
      </c>
      <c r="I21" s="4">
        <f t="shared" si="1"/>
        <v>900</v>
      </c>
      <c r="J21" s="4">
        <v>15</v>
      </c>
      <c r="K21" s="4">
        <f>10^-6*255*10^2</f>
        <v>2.5499999999999995E-2</v>
      </c>
      <c r="M21" s="4">
        <f t="shared" si="2"/>
        <v>1200</v>
      </c>
      <c r="N21" s="4">
        <v>20</v>
      </c>
      <c r="O21" s="4">
        <f>10^-6*275*10^2</f>
        <v>2.7499999999999997E-2</v>
      </c>
      <c r="R21" s="9" t="s">
        <v>18</v>
      </c>
      <c r="S21" s="9">
        <f>((((10^-2*0.1)/2)^2)*PI())*121</f>
        <v>9.5033177771091233E-5</v>
      </c>
      <c r="T21" s="9" t="s">
        <v>30</v>
      </c>
    </row>
    <row r="22" spans="1:20" x14ac:dyDescent="0.25">
      <c r="M22" s="5">
        <f t="shared" si="2"/>
        <v>1215</v>
      </c>
      <c r="N22" s="5"/>
      <c r="O22" s="5">
        <f>10^-6*277*10^2</f>
        <v>2.7700000000000002E-2</v>
      </c>
      <c r="R22" s="9" t="s">
        <v>19</v>
      </c>
      <c r="S22" s="9">
        <f>0.45*10^-2</f>
        <v>4.5000000000000005E-3</v>
      </c>
      <c r="T22" s="9" t="s">
        <v>20</v>
      </c>
    </row>
    <row r="23" spans="1:20" x14ac:dyDescent="0.25">
      <c r="M23" s="4">
        <f t="shared" si="2"/>
        <v>1230</v>
      </c>
      <c r="N23" s="4">
        <v>20.5</v>
      </c>
      <c r="O23" s="4">
        <f>10^-6*277*10^2</f>
        <v>2.7700000000000002E-2</v>
      </c>
      <c r="R23" s="9" t="s">
        <v>21</v>
      </c>
      <c r="S23" s="14">
        <f>B123-1</f>
        <v>-0.99781373322809785</v>
      </c>
      <c r="T23" s="9" t="s">
        <v>26</v>
      </c>
    </row>
    <row r="24" spans="1:20" ht="18" x14ac:dyDescent="0.25">
      <c r="A24" s="1">
        <v>0</v>
      </c>
      <c r="C24">
        <f>10^-6*1.6</f>
        <v>1.5999999999999999E-6</v>
      </c>
      <c r="R24" s="12" t="s">
        <v>31</v>
      </c>
      <c r="S24" s="12">
        <f>S19*10^-3</f>
        <v>7.8920369347328551E-10</v>
      </c>
      <c r="T24" s="12" t="s">
        <v>13</v>
      </c>
    </row>
    <row r="25" spans="1:20" ht="18" x14ac:dyDescent="0.25">
      <c r="R25" s="12" t="s">
        <v>32</v>
      </c>
      <c r="S25" s="16">
        <f>(-S24)/(S21*(S23/S22))</f>
        <v>3.7452162080430836E-8</v>
      </c>
      <c r="T25" s="12" t="s">
        <v>33</v>
      </c>
    </row>
    <row r="26" spans="1:20" x14ac:dyDescent="0.25">
      <c r="R26"/>
      <c r="S26"/>
      <c r="T26"/>
    </row>
    <row r="28" spans="1:20" ht="17.25" x14ac:dyDescent="0.25">
      <c r="R28" s="12" t="s">
        <v>24</v>
      </c>
      <c r="S28" s="15">
        <f>1.9*10^(-9)</f>
        <v>1.9000000000000001E-9</v>
      </c>
      <c r="T28" s="12" t="s">
        <v>33</v>
      </c>
    </row>
    <row r="29" spans="1:20" x14ac:dyDescent="0.25">
      <c r="R29"/>
      <c r="S29"/>
      <c r="T29"/>
    </row>
    <row r="30" spans="1:20" x14ac:dyDescent="0.25">
      <c r="S30"/>
      <c r="T30"/>
    </row>
    <row r="31" spans="1:20" x14ac:dyDescent="0.25">
      <c r="R31"/>
      <c r="S31"/>
      <c r="T31"/>
    </row>
    <row r="32" spans="1:20" x14ac:dyDescent="0.25">
      <c r="O32" s="11"/>
    </row>
    <row r="40" spans="1:4" x14ac:dyDescent="0.25">
      <c r="A40" s="7" t="s">
        <v>12</v>
      </c>
      <c r="B40" s="7" t="s">
        <v>11</v>
      </c>
      <c r="C40" s="7" t="s">
        <v>12</v>
      </c>
      <c r="D40" s="7" t="s">
        <v>11</v>
      </c>
    </row>
    <row r="41" spans="1:4" x14ac:dyDescent="0.25">
      <c r="A41" s="7">
        <v>0</v>
      </c>
      <c r="B41" s="7">
        <f>C24/12.67</f>
        <v>1.2628255722178375E-7</v>
      </c>
      <c r="C41" s="7">
        <v>0</v>
      </c>
      <c r="D41" s="7">
        <f>C24/12.67</f>
        <v>1.2628255722178375E-7</v>
      </c>
    </row>
    <row r="42" spans="1:4" x14ac:dyDescent="0.25">
      <c r="A42" s="8">
        <v>15</v>
      </c>
      <c r="B42" s="10">
        <f>C2/12.67</f>
        <v>7.8847671665351234E-4</v>
      </c>
      <c r="C42" s="7">
        <v>1230</v>
      </c>
      <c r="D42" s="7">
        <f>O23/12.67</f>
        <v>2.1862667719021313E-3</v>
      </c>
    </row>
    <row r="43" spans="1:4" x14ac:dyDescent="0.25">
      <c r="A43" s="8">
        <f>A42+15</f>
        <v>30</v>
      </c>
      <c r="B43" s="10">
        <f>C3/0.1267*10^-2</f>
        <v>8.9581689029202827E-4</v>
      </c>
    </row>
    <row r="44" spans="1:4" x14ac:dyDescent="0.25">
      <c r="A44" s="8">
        <f t="shared" ref="A44:A61" si="4">A43+15</f>
        <v>45</v>
      </c>
      <c r="B44" s="10">
        <f>C4/0.12671*10^-2</f>
        <v>9.1074106226817148E-4</v>
      </c>
    </row>
    <row r="45" spans="1:4" x14ac:dyDescent="0.25">
      <c r="A45" s="8">
        <f t="shared" si="4"/>
        <v>60</v>
      </c>
      <c r="B45" s="10">
        <f t="shared" ref="B45:B61" si="5">C5/0.1267*10^-2</f>
        <v>9.7000789265982632E-4</v>
      </c>
    </row>
    <row r="46" spans="1:4" x14ac:dyDescent="0.25">
      <c r="A46" s="8">
        <f t="shared" si="4"/>
        <v>75</v>
      </c>
      <c r="B46" s="10">
        <f t="shared" si="5"/>
        <v>1.0410418310970798E-3</v>
      </c>
    </row>
    <row r="47" spans="1:4" x14ac:dyDescent="0.25">
      <c r="A47" s="8">
        <f t="shared" si="4"/>
        <v>90</v>
      </c>
      <c r="B47" s="10">
        <f t="shared" si="5"/>
        <v>1.1136543014996054E-3</v>
      </c>
    </row>
    <row r="48" spans="1:4" x14ac:dyDescent="0.25">
      <c r="A48" s="8">
        <f t="shared" si="4"/>
        <v>105</v>
      </c>
      <c r="B48" s="10">
        <f t="shared" si="5"/>
        <v>1.1373322809786895E-3</v>
      </c>
    </row>
    <row r="49" spans="1:2" x14ac:dyDescent="0.25">
      <c r="A49" s="8">
        <f t="shared" si="4"/>
        <v>120</v>
      </c>
      <c r="B49" s="10">
        <f t="shared" si="5"/>
        <v>1.170481452249408E-3</v>
      </c>
    </row>
    <row r="50" spans="1:2" x14ac:dyDescent="0.25">
      <c r="A50" s="8">
        <f t="shared" si="4"/>
        <v>135</v>
      </c>
      <c r="B50" s="10">
        <f t="shared" si="5"/>
        <v>1.2044198895027624E-3</v>
      </c>
    </row>
    <row r="51" spans="1:2" x14ac:dyDescent="0.25">
      <c r="A51" s="8">
        <f t="shared" si="4"/>
        <v>150</v>
      </c>
      <c r="B51" s="10">
        <f t="shared" si="5"/>
        <v>1.2430939226519334E-3</v>
      </c>
    </row>
    <row r="52" spans="1:2" x14ac:dyDescent="0.25">
      <c r="A52" s="8">
        <f t="shared" si="4"/>
        <v>165</v>
      </c>
      <c r="B52" s="10">
        <f t="shared" si="5"/>
        <v>1.2730860299921074E-3</v>
      </c>
    </row>
    <row r="53" spans="1:2" x14ac:dyDescent="0.25">
      <c r="A53" s="8">
        <f t="shared" si="4"/>
        <v>180</v>
      </c>
      <c r="B53" s="10">
        <f t="shared" si="5"/>
        <v>1.3086029992107338E-3</v>
      </c>
    </row>
    <row r="54" spans="1:2" x14ac:dyDescent="0.25">
      <c r="A54" s="8">
        <f t="shared" si="4"/>
        <v>195</v>
      </c>
      <c r="B54" s="10">
        <f t="shared" si="5"/>
        <v>1.3251775848460931E-3</v>
      </c>
    </row>
    <row r="55" spans="1:2" x14ac:dyDescent="0.25">
      <c r="A55" s="8">
        <f t="shared" si="4"/>
        <v>210</v>
      </c>
      <c r="B55" s="10">
        <f t="shared" si="5"/>
        <v>1.3693764798737172E-3</v>
      </c>
    </row>
    <row r="56" spans="1:2" x14ac:dyDescent="0.25">
      <c r="A56" s="8">
        <f t="shared" si="4"/>
        <v>225</v>
      </c>
      <c r="B56" s="10">
        <f t="shared" si="5"/>
        <v>1.3812154696132594E-3</v>
      </c>
    </row>
    <row r="57" spans="1:2" x14ac:dyDescent="0.25">
      <c r="A57" s="8">
        <f t="shared" si="4"/>
        <v>240</v>
      </c>
      <c r="B57" s="10">
        <f t="shared" si="5"/>
        <v>1.4159431728492503E-3</v>
      </c>
    </row>
    <row r="58" spans="1:2" x14ac:dyDescent="0.25">
      <c r="A58" s="8">
        <f t="shared" si="4"/>
        <v>255</v>
      </c>
      <c r="B58" s="10">
        <f t="shared" si="5"/>
        <v>1.4396211523283345E-3</v>
      </c>
    </row>
    <row r="59" spans="1:2" x14ac:dyDescent="0.25">
      <c r="A59" s="8">
        <f t="shared" si="4"/>
        <v>270</v>
      </c>
      <c r="B59" s="10">
        <f t="shared" si="5"/>
        <v>1.4696132596685081E-3</v>
      </c>
    </row>
    <row r="60" spans="1:2" x14ac:dyDescent="0.25">
      <c r="A60" s="8">
        <f t="shared" si="4"/>
        <v>285</v>
      </c>
      <c r="B60" s="10">
        <f t="shared" si="5"/>
        <v>1.4814522494080505E-3</v>
      </c>
    </row>
    <row r="61" spans="1:2" x14ac:dyDescent="0.25">
      <c r="A61" s="8">
        <f t="shared" si="4"/>
        <v>300</v>
      </c>
      <c r="B61" s="10">
        <f t="shared" si="5"/>
        <v>1.5067087608524072E-3</v>
      </c>
    </row>
    <row r="62" spans="1:2" x14ac:dyDescent="0.25">
      <c r="A62" s="7">
        <v>315</v>
      </c>
      <c r="B62" s="10">
        <f t="shared" ref="B62:B81" si="6">G2/0.1267*10^-2</f>
        <v>1.5240726124704021E-3</v>
      </c>
    </row>
    <row r="63" spans="1:2" x14ac:dyDescent="0.25">
      <c r="A63" s="7">
        <v>330</v>
      </c>
      <c r="B63" s="10">
        <f t="shared" si="6"/>
        <v>1.5516969218626676E-3</v>
      </c>
    </row>
    <row r="64" spans="1:2" x14ac:dyDescent="0.25">
      <c r="A64" s="7">
        <v>345</v>
      </c>
      <c r="B64" s="10">
        <f t="shared" si="6"/>
        <v>1.5611681136543016E-3</v>
      </c>
    </row>
    <row r="65" spans="1:2" x14ac:dyDescent="0.25">
      <c r="A65" s="7">
        <v>360</v>
      </c>
      <c r="B65" s="10">
        <f t="shared" si="6"/>
        <v>1.5785319652722965E-3</v>
      </c>
    </row>
    <row r="66" spans="1:2" x14ac:dyDescent="0.25">
      <c r="A66" s="7">
        <v>375</v>
      </c>
      <c r="B66" s="10">
        <f t="shared" si="6"/>
        <v>1.5943172849250196E-3</v>
      </c>
    </row>
    <row r="67" spans="1:2" x14ac:dyDescent="0.25">
      <c r="A67" s="7">
        <v>390</v>
      </c>
      <c r="B67" s="10">
        <f t="shared" si="6"/>
        <v>1.6179952644041044E-3</v>
      </c>
    </row>
    <row r="68" spans="1:2" x14ac:dyDescent="0.25">
      <c r="A68" s="7">
        <v>405</v>
      </c>
      <c r="B68" s="10">
        <f t="shared" si="6"/>
        <v>1.6258879242304655E-3</v>
      </c>
    </row>
    <row r="69" spans="1:2" x14ac:dyDescent="0.25">
      <c r="A69" s="7">
        <v>420</v>
      </c>
      <c r="B69" s="10">
        <f t="shared" si="6"/>
        <v>1.6416732438831886E-3</v>
      </c>
    </row>
    <row r="70" spans="1:2" x14ac:dyDescent="0.25">
      <c r="A70" s="7">
        <v>435</v>
      </c>
      <c r="B70" s="10">
        <f t="shared" si="6"/>
        <v>1.6653512233622727E-3</v>
      </c>
    </row>
    <row r="71" spans="1:2" x14ac:dyDescent="0.25">
      <c r="A71" s="7">
        <v>450</v>
      </c>
      <c r="B71" s="10">
        <f t="shared" si="6"/>
        <v>1.681136543014996E-3</v>
      </c>
    </row>
    <row r="72" spans="1:2" x14ac:dyDescent="0.25">
      <c r="A72" s="7">
        <v>465</v>
      </c>
      <c r="B72" s="10">
        <f t="shared" si="6"/>
        <v>1.6969218626677188E-3</v>
      </c>
    </row>
    <row r="73" spans="1:2" x14ac:dyDescent="0.25">
      <c r="A73" s="7">
        <v>480</v>
      </c>
      <c r="B73" s="10">
        <f t="shared" si="6"/>
        <v>1.7048145224940804E-3</v>
      </c>
    </row>
    <row r="74" spans="1:2" x14ac:dyDescent="0.25">
      <c r="A74" s="7">
        <v>495</v>
      </c>
      <c r="B74" s="10">
        <f t="shared" si="6"/>
        <v>1.7205998421468034E-3</v>
      </c>
    </row>
    <row r="75" spans="1:2" x14ac:dyDescent="0.25">
      <c r="A75" s="7">
        <v>510</v>
      </c>
      <c r="B75" s="10">
        <f t="shared" si="6"/>
        <v>1.7363851617995263E-3</v>
      </c>
    </row>
    <row r="76" spans="1:2" x14ac:dyDescent="0.25">
      <c r="A76" s="7">
        <v>525</v>
      </c>
      <c r="B76" s="10">
        <f t="shared" si="6"/>
        <v>1.7363851617995263E-3</v>
      </c>
    </row>
    <row r="77" spans="1:2" x14ac:dyDescent="0.25">
      <c r="A77" s="7">
        <v>540</v>
      </c>
      <c r="B77" s="10">
        <f t="shared" si="6"/>
        <v>1.7600631412786109E-3</v>
      </c>
    </row>
    <row r="78" spans="1:2" x14ac:dyDescent="0.25">
      <c r="A78" s="7">
        <v>555</v>
      </c>
      <c r="B78" s="10">
        <f t="shared" si="6"/>
        <v>1.7679558011049724E-3</v>
      </c>
    </row>
    <row r="79" spans="1:2" x14ac:dyDescent="0.25">
      <c r="A79" s="7">
        <v>570</v>
      </c>
      <c r="B79" s="10">
        <f t="shared" si="6"/>
        <v>1.7758484609313339E-3</v>
      </c>
    </row>
    <row r="80" spans="1:2" x14ac:dyDescent="0.25">
      <c r="A80" s="7">
        <v>585</v>
      </c>
      <c r="B80" s="10">
        <f t="shared" si="6"/>
        <v>1.7916337805840565E-3</v>
      </c>
    </row>
    <row r="81" spans="1:2" x14ac:dyDescent="0.25">
      <c r="A81" s="7">
        <v>600</v>
      </c>
      <c r="B81" s="10">
        <f t="shared" si="6"/>
        <v>1.8074191002367796E-3</v>
      </c>
    </row>
    <row r="82" spans="1:2" x14ac:dyDescent="0.25">
      <c r="A82" s="7">
        <v>615</v>
      </c>
      <c r="B82" s="10">
        <f t="shared" ref="B82:B101" si="7">K2/0.1267*10^-2</f>
        <v>1.8153117600631411E-3</v>
      </c>
    </row>
    <row r="83" spans="1:2" x14ac:dyDescent="0.25">
      <c r="A83" s="7">
        <v>630</v>
      </c>
      <c r="B83" s="10">
        <f t="shared" si="7"/>
        <v>1.8310970797158642E-3</v>
      </c>
    </row>
    <row r="84" spans="1:2" x14ac:dyDescent="0.25">
      <c r="A84" s="7">
        <v>645</v>
      </c>
      <c r="B84" s="10">
        <f t="shared" si="7"/>
        <v>1.846882399368587E-3</v>
      </c>
    </row>
    <row r="85" spans="1:2" x14ac:dyDescent="0.25">
      <c r="A85" s="7">
        <v>660</v>
      </c>
      <c r="B85" s="10">
        <f t="shared" si="7"/>
        <v>1.8547750591949486E-3</v>
      </c>
    </row>
    <row r="86" spans="1:2" x14ac:dyDescent="0.25">
      <c r="A86" s="7">
        <v>675</v>
      </c>
      <c r="B86" s="10">
        <f t="shared" si="7"/>
        <v>1.8784530386740329E-3</v>
      </c>
    </row>
    <row r="87" spans="1:2" x14ac:dyDescent="0.25">
      <c r="A87" s="7">
        <v>690</v>
      </c>
      <c r="B87" s="10">
        <f t="shared" si="7"/>
        <v>1.8705603788476716E-3</v>
      </c>
    </row>
    <row r="88" spans="1:2" x14ac:dyDescent="0.25">
      <c r="A88" s="7">
        <v>705</v>
      </c>
      <c r="B88" s="10">
        <f t="shared" si="7"/>
        <v>1.8863456985003942E-3</v>
      </c>
    </row>
    <row r="89" spans="1:2" x14ac:dyDescent="0.25">
      <c r="A89" s="7">
        <v>720</v>
      </c>
      <c r="B89" s="10">
        <f t="shared" si="7"/>
        <v>1.8942383583267558E-3</v>
      </c>
    </row>
    <row r="90" spans="1:2" x14ac:dyDescent="0.25">
      <c r="A90" s="7">
        <v>735</v>
      </c>
      <c r="B90" s="10">
        <f t="shared" si="7"/>
        <v>1.9021310181531173E-3</v>
      </c>
    </row>
    <row r="91" spans="1:2" x14ac:dyDescent="0.25">
      <c r="A91" s="7">
        <v>750</v>
      </c>
      <c r="B91" s="10">
        <f t="shared" si="7"/>
        <v>1.9258089976322019E-3</v>
      </c>
    </row>
    <row r="92" spans="1:2" x14ac:dyDescent="0.25">
      <c r="A92" s="7">
        <v>765</v>
      </c>
      <c r="B92" s="10">
        <f t="shared" si="7"/>
        <v>1.9337016574585636E-3</v>
      </c>
    </row>
    <row r="93" spans="1:2" x14ac:dyDescent="0.25">
      <c r="A93" s="7">
        <v>780</v>
      </c>
      <c r="B93" s="10">
        <f t="shared" si="7"/>
        <v>1.9415943172849245E-3</v>
      </c>
    </row>
    <row r="94" spans="1:2" x14ac:dyDescent="0.25">
      <c r="A94" s="7">
        <v>795</v>
      </c>
      <c r="B94" s="10">
        <f t="shared" si="7"/>
        <v>1.9494869771112865E-3</v>
      </c>
    </row>
    <row r="95" spans="1:2" x14ac:dyDescent="0.25">
      <c r="A95" s="7">
        <v>810</v>
      </c>
      <c r="B95" s="10">
        <f t="shared" si="7"/>
        <v>1.9494869771112865E-3</v>
      </c>
    </row>
    <row r="96" spans="1:2" x14ac:dyDescent="0.25">
      <c r="A96" s="7">
        <v>825</v>
      </c>
      <c r="B96" s="10">
        <f t="shared" si="7"/>
        <v>1.9731649565903711E-3</v>
      </c>
    </row>
    <row r="97" spans="1:2" x14ac:dyDescent="0.25">
      <c r="A97" s="7">
        <v>840</v>
      </c>
      <c r="B97" s="10">
        <f t="shared" si="7"/>
        <v>1.9731649565903711E-3</v>
      </c>
    </row>
    <row r="98" spans="1:2" x14ac:dyDescent="0.25">
      <c r="A98" s="7">
        <v>855</v>
      </c>
      <c r="B98" s="10">
        <f t="shared" si="7"/>
        <v>1.9810576164167319E-3</v>
      </c>
    </row>
    <row r="99" spans="1:2" x14ac:dyDescent="0.25">
      <c r="A99" s="7">
        <v>870</v>
      </c>
      <c r="B99" s="10">
        <f t="shared" si="7"/>
        <v>1.9889502762430937E-3</v>
      </c>
    </row>
    <row r="100" spans="1:2" x14ac:dyDescent="0.25">
      <c r="A100" s="7">
        <v>885</v>
      </c>
      <c r="B100" s="10">
        <f t="shared" si="7"/>
        <v>2.0047355958958167E-3</v>
      </c>
    </row>
    <row r="101" spans="1:2" x14ac:dyDescent="0.25">
      <c r="A101" s="7">
        <v>900</v>
      </c>
      <c r="B101" s="10">
        <f t="shared" si="7"/>
        <v>2.0126282557221776E-3</v>
      </c>
    </row>
    <row r="102" spans="1:2" x14ac:dyDescent="0.25">
      <c r="A102" s="7">
        <v>915</v>
      </c>
      <c r="B102" s="10">
        <f t="shared" ref="B102:B122" si="8">O2/0.1267*10^-2</f>
        <v>2.0205209155485398E-3</v>
      </c>
    </row>
    <row r="103" spans="1:2" x14ac:dyDescent="0.25">
      <c r="A103" s="7">
        <v>930</v>
      </c>
      <c r="B103" s="10">
        <f t="shared" si="8"/>
        <v>2.0284135753749015E-3</v>
      </c>
    </row>
    <row r="104" spans="1:2" x14ac:dyDescent="0.25">
      <c r="A104" s="7">
        <v>945</v>
      </c>
      <c r="B104" s="10">
        <f t="shared" si="8"/>
        <v>2.0363062352012624E-3</v>
      </c>
    </row>
    <row r="105" spans="1:2" x14ac:dyDescent="0.25">
      <c r="A105" s="7">
        <v>960</v>
      </c>
      <c r="B105" s="10">
        <f t="shared" si="8"/>
        <v>2.0441988950276242E-3</v>
      </c>
    </row>
    <row r="106" spans="1:2" x14ac:dyDescent="0.25">
      <c r="A106" s="7">
        <v>975</v>
      </c>
      <c r="B106" s="10">
        <f t="shared" si="8"/>
        <v>2.0520915548539855E-3</v>
      </c>
    </row>
    <row r="107" spans="1:2" x14ac:dyDescent="0.25">
      <c r="A107" s="7">
        <v>990</v>
      </c>
      <c r="B107" s="10">
        <f t="shared" si="8"/>
        <v>2.0678768745067085E-3</v>
      </c>
    </row>
    <row r="108" spans="1:2" x14ac:dyDescent="0.25">
      <c r="A108" s="7">
        <v>1005</v>
      </c>
      <c r="B108" s="10">
        <f t="shared" si="8"/>
        <v>2.0678768745067085E-3</v>
      </c>
    </row>
    <row r="109" spans="1:2" x14ac:dyDescent="0.25">
      <c r="A109" s="7">
        <v>1020</v>
      </c>
      <c r="B109" s="10">
        <f t="shared" si="8"/>
        <v>2.0836621941594312E-3</v>
      </c>
    </row>
    <row r="110" spans="1:2" x14ac:dyDescent="0.25">
      <c r="A110" s="7">
        <v>1035</v>
      </c>
      <c r="B110" s="10">
        <f t="shared" si="8"/>
        <v>2.0915548539857933E-3</v>
      </c>
    </row>
    <row r="111" spans="1:2" x14ac:dyDescent="0.25">
      <c r="A111" s="7">
        <v>1050</v>
      </c>
      <c r="B111" s="10">
        <f t="shared" si="8"/>
        <v>2.0994475138121547E-3</v>
      </c>
    </row>
    <row r="112" spans="1:2" x14ac:dyDescent="0.25">
      <c r="A112" s="7">
        <v>1065</v>
      </c>
      <c r="B112" s="10">
        <f t="shared" si="8"/>
        <v>2.107340173638516E-3</v>
      </c>
    </row>
    <row r="113" spans="1:2" x14ac:dyDescent="0.25">
      <c r="A113" s="7">
        <v>1080</v>
      </c>
      <c r="B113" s="10">
        <f t="shared" si="8"/>
        <v>2.1152328334648777E-3</v>
      </c>
    </row>
    <row r="114" spans="1:2" x14ac:dyDescent="0.25">
      <c r="A114" s="7">
        <v>1095</v>
      </c>
      <c r="B114" s="10">
        <f t="shared" si="8"/>
        <v>2.123125493291239E-3</v>
      </c>
    </row>
    <row r="115" spans="1:2" x14ac:dyDescent="0.25">
      <c r="A115" s="7">
        <v>1110</v>
      </c>
      <c r="B115" s="10">
        <f t="shared" si="8"/>
        <v>2.1310181531176008E-3</v>
      </c>
    </row>
    <row r="116" spans="1:2" x14ac:dyDescent="0.25">
      <c r="A116" s="7">
        <v>1125</v>
      </c>
      <c r="B116" s="10">
        <f t="shared" si="8"/>
        <v>2.1389108129439621E-3</v>
      </c>
    </row>
    <row r="117" spans="1:2" x14ac:dyDescent="0.25">
      <c r="A117" s="7">
        <v>1140</v>
      </c>
      <c r="B117" s="10">
        <f t="shared" si="8"/>
        <v>2.1468034727703234E-3</v>
      </c>
    </row>
    <row r="118" spans="1:2" x14ac:dyDescent="0.25">
      <c r="A118" s="7">
        <v>1155</v>
      </c>
      <c r="B118" s="10">
        <f t="shared" si="8"/>
        <v>2.1468034727703234E-3</v>
      </c>
    </row>
    <row r="119" spans="1:2" x14ac:dyDescent="0.25">
      <c r="A119" s="7">
        <v>1170</v>
      </c>
      <c r="B119" s="10">
        <f t="shared" si="8"/>
        <v>2.1625887924230469E-3</v>
      </c>
    </row>
    <row r="120" spans="1:2" x14ac:dyDescent="0.25">
      <c r="A120" s="7">
        <v>1185</v>
      </c>
      <c r="B120" s="10">
        <f t="shared" si="8"/>
        <v>2.1625887924230469E-3</v>
      </c>
    </row>
    <row r="121" spans="1:2" x14ac:dyDescent="0.25">
      <c r="A121" s="7">
        <v>1200</v>
      </c>
      <c r="B121" s="10">
        <f t="shared" si="8"/>
        <v>2.1704814522494078E-3</v>
      </c>
    </row>
    <row r="122" spans="1:2" x14ac:dyDescent="0.25">
      <c r="A122" s="7">
        <v>1215</v>
      </c>
      <c r="B122" s="10">
        <f t="shared" si="8"/>
        <v>2.1862667719021313E-3</v>
      </c>
    </row>
    <row r="123" spans="1:2" x14ac:dyDescent="0.25">
      <c r="A123" s="7">
        <v>1230</v>
      </c>
      <c r="B123" s="7">
        <f>O23/12.67</f>
        <v>2.1862667719021313E-3</v>
      </c>
    </row>
  </sheetData>
  <mergeCells count="1">
    <mergeCell ref="R18:T18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A7" workbookViewId="0">
      <selection activeCell="A15" sqref="A15"/>
    </sheetView>
  </sheetViews>
  <sheetFormatPr defaultRowHeight="15" x14ac:dyDescent="0.25"/>
  <cols>
    <col min="1" max="1" width="32.5703125" style="1" customWidth="1"/>
    <col min="2" max="2" width="16.5703125" style="1" customWidth="1"/>
    <col min="3" max="3" width="12.42578125" style="1" customWidth="1"/>
    <col min="4" max="4" width="15" style="1" customWidth="1"/>
    <col min="5" max="5" width="15.28515625" style="1" customWidth="1"/>
    <col min="6" max="6" width="26.140625" style="1" customWidth="1"/>
    <col min="7" max="7" width="23.42578125" style="1" customWidth="1"/>
    <col min="8" max="8" width="14.85546875" style="1" customWidth="1"/>
    <col min="9" max="16384" width="9.140625" style="1"/>
  </cols>
  <sheetData>
    <row r="1" spans="1:10" x14ac:dyDescent="0.25">
      <c r="B1" s="3" t="s">
        <v>1</v>
      </c>
      <c r="C1" s="3" t="s">
        <v>0</v>
      </c>
      <c r="D1" s="3" t="s">
        <v>2</v>
      </c>
      <c r="E1" s="3" t="s">
        <v>3</v>
      </c>
      <c r="F1" s="3" t="s">
        <v>9</v>
      </c>
      <c r="G1" s="3" t="s">
        <v>10</v>
      </c>
      <c r="H1" s="3" t="s">
        <v>22</v>
      </c>
    </row>
    <row r="2" spans="1:10" x14ac:dyDescent="0.25">
      <c r="B2" s="2">
        <v>1</v>
      </c>
      <c r="C2" s="2">
        <v>18.637799999999999</v>
      </c>
      <c r="D2" s="2"/>
      <c r="E2" s="2"/>
      <c r="F2" s="2"/>
      <c r="G2" s="2"/>
      <c r="H2" s="2"/>
    </row>
    <row r="3" spans="1:10" x14ac:dyDescent="0.25">
      <c r="B3" s="2">
        <v>0.1</v>
      </c>
      <c r="C3" s="2"/>
      <c r="D3" s="2">
        <f>(B3*0.05)/B2</f>
        <v>5.000000000000001E-3</v>
      </c>
      <c r="E3" s="2">
        <f>D3*10^3</f>
        <v>5.0000000000000009</v>
      </c>
      <c r="F3" s="2">
        <v>12.7</v>
      </c>
      <c r="G3" s="2">
        <v>12.7</v>
      </c>
      <c r="H3" s="2">
        <f>12.7*10^-3*10^2</f>
        <v>1.27</v>
      </c>
    </row>
    <row r="4" spans="1:10" x14ac:dyDescent="0.25">
      <c r="B4" s="2">
        <f>B3-A10</f>
        <v>8.2000000000000003E-2</v>
      </c>
      <c r="C4" s="2"/>
      <c r="D4" s="2">
        <f>(B4*0.05)/B2</f>
        <v>4.1000000000000003E-3</v>
      </c>
      <c r="E4" s="2">
        <f>D4*10^3</f>
        <v>4.1000000000000005</v>
      </c>
      <c r="F4" s="2">
        <v>10.67</v>
      </c>
      <c r="G4" s="2">
        <v>10.66</v>
      </c>
      <c r="H4" s="2">
        <f>((F4+G4)/2)*10^-3*10^2</f>
        <v>1.0665</v>
      </c>
    </row>
    <row r="5" spans="1:10" x14ac:dyDescent="0.25">
      <c r="B5" s="2">
        <f>B4-A10</f>
        <v>6.4000000000000001E-2</v>
      </c>
      <c r="C5" s="2"/>
      <c r="D5" s="2">
        <f>(B5*0.05)/B2</f>
        <v>3.2000000000000002E-3</v>
      </c>
      <c r="E5" s="2">
        <f t="shared" ref="E5:E8" si="0">D5*10^3</f>
        <v>3.2</v>
      </c>
      <c r="F5" s="2">
        <v>8.44</v>
      </c>
      <c r="G5" s="2">
        <v>8.44</v>
      </c>
      <c r="H5" s="2">
        <f>((F5+G5)/2)*10^-3*10^2</f>
        <v>0.84399999999999997</v>
      </c>
    </row>
    <row r="6" spans="1:10" x14ac:dyDescent="0.25">
      <c r="B6" s="2">
        <f>B5-A10</f>
        <v>4.5999999999999999E-2</v>
      </c>
      <c r="C6" s="2"/>
      <c r="D6" s="2">
        <f>(B6*0.05)/B2</f>
        <v>2.3E-3</v>
      </c>
      <c r="E6" s="2">
        <f t="shared" si="0"/>
        <v>2.2999999999999998</v>
      </c>
      <c r="F6" s="2">
        <v>6.19</v>
      </c>
      <c r="G6" s="2">
        <v>6.19</v>
      </c>
      <c r="H6" s="2">
        <f>((F6+G6)/2)*10^-3*10^2</f>
        <v>0.61899999999999999</v>
      </c>
    </row>
    <row r="7" spans="1:10" x14ac:dyDescent="0.25">
      <c r="B7" s="2">
        <f>B6-A10</f>
        <v>2.7999999999999997E-2</v>
      </c>
      <c r="C7" s="2"/>
      <c r="D7" s="2">
        <f>(B7*0.05)/B2</f>
        <v>1.4E-3</v>
      </c>
      <c r="E7" s="2">
        <f t="shared" si="0"/>
        <v>1.4</v>
      </c>
      <c r="F7" s="2">
        <v>3.74</v>
      </c>
      <c r="G7" s="2">
        <v>3.73</v>
      </c>
      <c r="H7" s="2">
        <f>((F7+G7)/2)*10^-3*10^2</f>
        <v>0.37350000000000005</v>
      </c>
    </row>
    <row r="8" spans="1:10" x14ac:dyDescent="0.25">
      <c r="B8" s="2">
        <v>0.01</v>
      </c>
      <c r="C8" s="2"/>
      <c r="D8" s="2">
        <f>(B8*0.05)/B2</f>
        <v>5.0000000000000001E-4</v>
      </c>
      <c r="E8" s="2">
        <f t="shared" si="0"/>
        <v>0.5</v>
      </c>
      <c r="F8" s="2">
        <v>1.3440000000000001</v>
      </c>
      <c r="G8" s="2">
        <v>1.3420000000000001</v>
      </c>
      <c r="H8" s="2">
        <f>((F8+G8)/2)*10^-3*10^2</f>
        <v>0.1343</v>
      </c>
    </row>
    <row r="9" spans="1:10" x14ac:dyDescent="0.25">
      <c r="A9"/>
      <c r="B9"/>
      <c r="C9"/>
      <c r="D9"/>
      <c r="E9"/>
    </row>
    <row r="10" spans="1:10" x14ac:dyDescent="0.25">
      <c r="A10" s="2">
        <f>(B3-B8)/5</f>
        <v>1.8000000000000002E-2</v>
      </c>
      <c r="B10" s="2" t="s">
        <v>6</v>
      </c>
    </row>
    <row r="11" spans="1:10" x14ac:dyDescent="0.25">
      <c r="A11" s="2" t="s">
        <v>7</v>
      </c>
      <c r="B11" s="2">
        <v>5.2</v>
      </c>
      <c r="C11" s="2" t="s">
        <v>8</v>
      </c>
    </row>
    <row r="13" spans="1:10" x14ac:dyDescent="0.25">
      <c r="C13"/>
      <c r="D13"/>
      <c r="E13"/>
      <c r="F13"/>
      <c r="G13"/>
      <c r="H13"/>
      <c r="I13"/>
      <c r="J13"/>
    </row>
    <row r="14" spans="1:10" x14ac:dyDescent="0.25">
      <c r="B14"/>
      <c r="C14"/>
      <c r="D14"/>
      <c r="E14"/>
      <c r="F14"/>
      <c r="G14"/>
      <c r="H14"/>
      <c r="I14"/>
      <c r="J14"/>
    </row>
    <row r="15" spans="1:10" x14ac:dyDescent="0.25">
      <c r="B15"/>
      <c r="C15"/>
      <c r="D15"/>
      <c r="E15"/>
      <c r="F15"/>
      <c r="G15"/>
      <c r="H15"/>
      <c r="I15"/>
      <c r="J15"/>
    </row>
    <row r="16" spans="1:10" x14ac:dyDescent="0.25">
      <c r="B16"/>
      <c r="C16"/>
      <c r="D16"/>
      <c r="E16"/>
      <c r="F16"/>
      <c r="G16"/>
      <c r="H16"/>
      <c r="I16"/>
      <c r="J16"/>
    </row>
    <row r="17" spans="2:10" x14ac:dyDescent="0.25">
      <c r="B17"/>
      <c r="C17"/>
      <c r="D17"/>
      <c r="E17"/>
      <c r="F17"/>
      <c r="G17"/>
      <c r="H17"/>
      <c r="I17"/>
      <c r="J17"/>
    </row>
    <row r="18" spans="2:10" x14ac:dyDescent="0.25">
      <c r="B18"/>
      <c r="C18"/>
      <c r="D18"/>
      <c r="E18"/>
      <c r="F18"/>
      <c r="G18"/>
      <c r="H18"/>
      <c r="I18"/>
      <c r="J18"/>
    </row>
    <row r="19" spans="2:10" x14ac:dyDescent="0.25">
      <c r="B19"/>
      <c r="C19"/>
      <c r="D19"/>
      <c r="E19"/>
      <c r="F19"/>
      <c r="G19"/>
      <c r="H19"/>
      <c r="I19"/>
      <c r="J19"/>
    </row>
    <row r="20" spans="2:10" x14ac:dyDescent="0.25">
      <c r="B20"/>
      <c r="C20"/>
      <c r="D20"/>
      <c r="E20"/>
      <c r="F20"/>
      <c r="G20"/>
      <c r="H20"/>
      <c r="I20"/>
      <c r="J20"/>
    </row>
    <row r="21" spans="2:10" x14ac:dyDescent="0.25">
      <c r="B21"/>
      <c r="C21"/>
      <c r="D21"/>
      <c r="E21"/>
      <c r="F21"/>
      <c r="G21"/>
      <c r="H21"/>
      <c r="I21"/>
      <c r="J21"/>
    </row>
    <row r="22" spans="2:10" x14ac:dyDescent="0.25">
      <c r="B22"/>
      <c r="C22"/>
      <c r="D22"/>
      <c r="E22"/>
      <c r="F22"/>
      <c r="G22"/>
      <c r="H22"/>
      <c r="I22"/>
      <c r="J22"/>
    </row>
    <row r="23" spans="2:10" x14ac:dyDescent="0.25">
      <c r="B23"/>
      <c r="C23"/>
      <c r="D23"/>
      <c r="E23"/>
      <c r="F23"/>
      <c r="G23"/>
      <c r="H23"/>
      <c r="I23"/>
      <c r="J23"/>
    </row>
    <row r="24" spans="2:10" x14ac:dyDescent="0.25">
      <c r="B24"/>
      <c r="C24"/>
      <c r="D24"/>
      <c r="E24"/>
      <c r="F24"/>
      <c r="G24"/>
      <c r="H24"/>
      <c r="I24"/>
      <c r="J24"/>
    </row>
    <row r="25" spans="2:10" x14ac:dyDescent="0.25">
      <c r="B25"/>
      <c r="C25"/>
      <c r="D25"/>
      <c r="E25"/>
      <c r="F25"/>
      <c r="G25"/>
      <c r="H25"/>
      <c r="I25"/>
      <c r="J25"/>
    </row>
    <row r="26" spans="2:10" x14ac:dyDescent="0.25">
      <c r="B26"/>
      <c r="C26"/>
      <c r="D26"/>
      <c r="E26"/>
      <c r="F26"/>
      <c r="G26"/>
      <c r="H26"/>
      <c r="I26"/>
      <c r="J26"/>
    </row>
    <row r="27" spans="2:10" x14ac:dyDescent="0.25">
      <c r="B27"/>
      <c r="C27"/>
      <c r="D27"/>
      <c r="E27"/>
      <c r="F27"/>
      <c r="G27"/>
      <c r="H27"/>
      <c r="I27"/>
      <c r="J27"/>
    </row>
    <row r="28" spans="2:10" x14ac:dyDescent="0.25">
      <c r="B28"/>
      <c r="C28"/>
      <c r="D28"/>
      <c r="E28"/>
      <c r="F28"/>
      <c r="G28"/>
      <c r="H28"/>
      <c r="I28"/>
      <c r="J28"/>
    </row>
    <row r="29" spans="2:10" x14ac:dyDescent="0.25">
      <c r="B29"/>
      <c r="C29"/>
      <c r="D29"/>
      <c r="E29"/>
      <c r="F29"/>
      <c r="G29"/>
      <c r="H29"/>
      <c r="I29"/>
      <c r="J29"/>
    </row>
    <row r="30" spans="2:10" x14ac:dyDescent="0.25">
      <c r="B30"/>
      <c r="C30"/>
      <c r="D30"/>
      <c r="E30"/>
      <c r="F30"/>
      <c r="G30"/>
      <c r="H30"/>
      <c r="I30"/>
      <c r="J30"/>
    </row>
    <row r="31" spans="2:10" x14ac:dyDescent="0.25">
      <c r="B31"/>
      <c r="C31"/>
      <c r="D31"/>
      <c r="E31"/>
      <c r="F31"/>
      <c r="G31"/>
      <c r="H31"/>
      <c r="I31"/>
      <c r="J31"/>
    </row>
    <row r="32" spans="2:10" x14ac:dyDescent="0.25">
      <c r="B32"/>
      <c r="C32"/>
      <c r="D32"/>
      <c r="E32"/>
      <c r="F32"/>
      <c r="G32"/>
      <c r="H32"/>
      <c r="I32"/>
      <c r="J32"/>
    </row>
    <row r="33" spans="2:10" x14ac:dyDescent="0.25">
      <c r="B33"/>
      <c r="C33"/>
      <c r="D33"/>
      <c r="E33"/>
      <c r="F33"/>
      <c r="G33"/>
      <c r="H33"/>
      <c r="I33"/>
      <c r="J3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TMb</vt:lpstr>
      <vt:lpstr>TMa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Costa</dc:creator>
  <cp:lastModifiedBy>Mariana Costa</cp:lastModifiedBy>
  <dcterms:created xsi:type="dcterms:W3CDTF">2015-06-05T18:17:20Z</dcterms:created>
  <dcterms:modified xsi:type="dcterms:W3CDTF">2023-06-09T10:16:38Z</dcterms:modified>
</cp:coreProperties>
</file>