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56ad43ea296c970/Desktop/Bootcamp/Module 1 Homework/"/>
    </mc:Choice>
  </mc:AlternateContent>
  <xr:revisionPtr revIDLastSave="510" documentId="8_{C8C76DED-3E8A-49CE-A74E-93B2CC66AA83}" xr6:coauthVersionLast="47" xr6:coauthVersionMax="47" xr10:uidLastSave="{2B2A0629-9241-45DF-A73A-6513B452F406}"/>
  <bookViews>
    <workbookView xWindow="-120" yWindow="-120" windowWidth="29040" windowHeight="15720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15" r:id="rId4"/>
    <sheet name="Outcomes Based on Goal" sheetId="16" r:id="rId5"/>
    <sheet name="Stats" sheetId="17" r:id="rId6"/>
  </sheets>
  <definedNames>
    <definedName name="_xlnm._FilterDatabase" localSheetId="0" hidden="1">Crowdfunding!$A$1:$T$1001</definedName>
    <definedName name="_xlnm._FilterDatabase" localSheetId="5" hidden="1">Stats!$A$1:$B$1001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7" l="1"/>
  <c r="N2" i="17"/>
  <c r="M2" i="17"/>
  <c r="M3" i="17"/>
  <c r="L3" i="17"/>
  <c r="K3" i="17"/>
  <c r="J3" i="17"/>
  <c r="I3" i="17"/>
  <c r="L2" i="17"/>
  <c r="K2" i="17"/>
  <c r="J2" i="17"/>
  <c r="I2" i="17"/>
  <c r="D12" i="16"/>
  <c r="D11" i="16"/>
  <c r="D10" i="16"/>
  <c r="D9" i="16"/>
  <c r="D8" i="16"/>
  <c r="D7" i="16"/>
  <c r="D6" i="16"/>
  <c r="D5" i="16"/>
  <c r="D4" i="16"/>
  <c r="D3" i="16"/>
  <c r="C12" i="16"/>
  <c r="C11" i="16"/>
  <c r="C10" i="16"/>
  <c r="C9" i="16"/>
  <c r="C8" i="16"/>
  <c r="C7" i="16"/>
  <c r="C6" i="16"/>
  <c r="C5" i="16"/>
  <c r="C4" i="16"/>
  <c r="C3" i="16"/>
  <c r="B12" i="16"/>
  <c r="B11" i="16"/>
  <c r="B10" i="16"/>
  <c r="B9" i="16"/>
  <c r="B8" i="16"/>
  <c r="B7" i="16"/>
  <c r="B6" i="16"/>
  <c r="B5" i="16"/>
  <c r="B4" i="16"/>
  <c r="D13" i="16"/>
  <c r="C13" i="16"/>
  <c r="B13" i="16"/>
  <c r="B3" i="16"/>
  <c r="D2" i="16"/>
  <c r="C2" i="16"/>
  <c r="B2" i="16"/>
  <c r="E2" i="16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16" l="1"/>
  <c r="H2" i="16"/>
  <c r="F2" i="16"/>
  <c r="E3" i="16"/>
  <c r="F3" i="16" s="1"/>
  <c r="E11" i="16"/>
  <c r="E10" i="16"/>
  <c r="G10" i="16" s="1"/>
  <c r="E9" i="16"/>
  <c r="F9" i="16" s="1"/>
  <c r="E8" i="16"/>
  <c r="G8" i="16" s="1"/>
  <c r="E7" i="16"/>
  <c r="F7" i="16" s="1"/>
  <c r="E4" i="16"/>
  <c r="E5" i="16"/>
  <c r="E6" i="16"/>
  <c r="E12" i="16"/>
  <c r="E13" i="16"/>
  <c r="F13" i="16" l="1"/>
  <c r="G13" i="16"/>
  <c r="H13" i="16"/>
  <c r="G7" i="16"/>
  <c r="H7" i="16"/>
  <c r="H9" i="16"/>
  <c r="G3" i="16"/>
  <c r="H3" i="16"/>
  <c r="G9" i="16"/>
  <c r="F11" i="16"/>
  <c r="H11" i="16"/>
  <c r="G11" i="16"/>
  <c r="F10" i="16"/>
  <c r="H10" i="16"/>
  <c r="F8" i="16"/>
  <c r="H8" i="16"/>
  <c r="F12" i="16"/>
  <c r="H12" i="16"/>
  <c r="F6" i="16"/>
  <c r="H6" i="16"/>
  <c r="F5" i="16"/>
  <c r="H5" i="16"/>
  <c r="F4" i="16"/>
  <c r="H4" i="16"/>
  <c r="G5" i="16"/>
  <c r="G4" i="16"/>
  <c r="G6" i="16"/>
  <c r="G12" i="16"/>
</calcChain>
</file>

<file path=xl/sharedStrings.xml><?xml version="1.0" encoding="utf-8"?>
<sst xmlns="http://schemas.openxmlformats.org/spreadsheetml/2006/main" count="7064" uniqueCount="2116">
  <si>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</si>
  <si>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</si>
  <si>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</si>
  <si>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</si>
  <si>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</si>
  <si>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</si>
  <si>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</si>
  <si>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</si>
  <si>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</si>
  <si>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</si>
  <si>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</si>
  <si>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</si>
  <si>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</si>
  <si>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</si>
  <si>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</si>
  <si>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</si>
  <si>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</si>
  <si>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</si>
  <si>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</si>
  <si>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</si>
  <si>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</si>
  <si>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</si>
  <si>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</si>
  <si>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</si>
  <si>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</si>
  <si>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</si>
  <si>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</si>
  <si>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</si>
  <si>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</si>
  <si>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</si>
  <si>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</si>
  <si>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</si>
  <si>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</si>
  <si>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</si>
  <si>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</si>
  <si>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</si>
  <si>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</si>
  <si>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</si>
  <si>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</si>
  <si>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</si>
  <si>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</si>
  <si>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</si>
  <si>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</si>
  <si>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</si>
  <si>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</si>
  <si>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</si>
  <si>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</si>
  <si>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</si>
  <si>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</si>
  <si>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</si>
  <si>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</si>
  <si>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</si>
  <si>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</si>
  <si>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</si>
  <si>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</si>
  <si>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</si>
  <si>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</si>
  <si>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</si>
  <si>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</si>
  <si>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</si>
  <si>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</si>
  <si>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</si>
  <si>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</si>
  <si>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</si>
  <si>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</si>
  <si>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</si>
  <si>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</si>
  <si>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</si>
  <si>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</si>
  <si>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</si>
  <si>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</si>
  <si>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</si>
  <si>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</si>
  <si>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</si>
  <si>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</si>
  <si>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</si>
  <si>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</si>
  <si>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</si>
  <si>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</si>
  <si>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</si>
  <si>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</si>
  <si>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</si>
  <si>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</si>
  <si>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</si>
  <si>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</si>
  <si>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</si>
  <si>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</si>
  <si>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</si>
  <si>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</si>
  <si>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</si>
  <si>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</si>
  <si>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</si>
  <si>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</si>
  <si>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</si>
  <si>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</si>
  <si>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</si>
  <si>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</si>
  <si>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</si>
  <si>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</si>
  <si>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</si>
  <si>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</si>
  <si>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</si>
  <si>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</si>
  <si>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</si>
  <si>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</si>
  <si>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</si>
  <si>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</si>
  <si>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</si>
  <si>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</si>
  <si>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</si>
  <si>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</si>
  <si>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</si>
  <si>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</si>
  <si>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</si>
  <si>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</si>
  <si>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</si>
  <si>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</si>
  <si>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</si>
  <si>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</si>
  <si>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</si>
  <si>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</si>
  <si>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</si>
  <si>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</si>
  <si>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</si>
  <si>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</si>
  <si>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</si>
  <si>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</si>
  <si>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</si>
  <si>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</si>
  <si>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</si>
  <si>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</si>
  <si>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</si>
  <si>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</si>
  <si>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</si>
  <si>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</si>
  <si>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</si>
  <si>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</si>
  <si>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</si>
  <si>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</si>
  <si>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</si>
  <si>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</si>
  <si>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</si>
  <si>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</si>
  <si>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</si>
  <si>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</si>
  <si>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</si>
  <si>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</si>
  <si>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</si>
  <si>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</si>
  <si>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</si>
  <si>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</si>
  <si>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</si>
  <si>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</si>
  <si>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</si>
  <si>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</si>
  <si>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</si>
  <si>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</si>
  <si>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</si>
  <si>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</si>
  <si>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</si>
  <si>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</si>
  <si>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</si>
  <si>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</si>
  <si>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</si>
  <si>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</si>
  <si>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</si>
  <si>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</si>
  <si>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</si>
  <si>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</si>
  <si>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</si>
  <si>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</si>
  <si>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</si>
  <si>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</si>
  <si>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</si>
  <si>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</si>
  <si>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</si>
  <si>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</si>
  <si>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</si>
  <si>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</si>
  <si>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</si>
  <si>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</si>
  <si>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</si>
  <si>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</si>
  <si>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</si>
  <si>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</si>
  <si>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</si>
  <si>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</si>
  <si>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</si>
  <si>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</si>
  <si>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</si>
  <si>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</si>
  <si>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</si>
  <si>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</si>
  <si>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</si>
  <si>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</si>
  <si>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</si>
  <si>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</si>
  <si>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</si>
  <si>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</si>
  <si>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</si>
  <si>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</si>
  <si>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</si>
  <si>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</si>
  <si>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</si>
  <si>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</si>
  <si>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</si>
  <si>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</si>
  <si>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</si>
  <si>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</si>
  <si>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</si>
  <si>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</si>
  <si>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</si>
  <si>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</si>
  <si>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</si>
  <si>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</si>
  <si>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</si>
  <si>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</si>
  <si>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</si>
  <si>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</si>
  <si>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</si>
  <si>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</si>
  <si>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</si>
  <si>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</si>
  <si>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</si>
  <si>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</si>
  <si>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</si>
  <si>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</si>
  <si>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</si>
  <si>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</si>
  <si>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</si>
  <si>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</si>
  <si>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</si>
  <si>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</si>
  <si>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</si>
  <si>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</si>
  <si>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</si>
  <si>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</si>
  <si>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</si>
  <si>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</si>
  <si>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</si>
  <si>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</si>
  <si>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</si>
  <si>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</si>
  <si>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</si>
  <si>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</si>
  <si>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</si>
  <si>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</si>
  <si>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</si>
  <si>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</si>
  <si>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</si>
  <si>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</si>
  <si>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</si>
  <si>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</si>
  <si>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</si>
  <si>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</si>
  <si>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</si>
  <si>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</si>
  <si>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</si>
  <si>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</si>
  <si>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</si>
  <si>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</si>
  <si>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</si>
  <si>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</si>
  <si>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</si>
  <si>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</si>
  <si>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</si>
  <si>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</si>
  <si>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</si>
  <si>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</si>
  <si>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</si>
  <si>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</si>
  <si>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</si>
  <si>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</si>
  <si>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</si>
  <si>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</si>
  <si>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</si>
  <si>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</si>
  <si>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</si>
  <si>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</si>
  <si>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</si>
  <si>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</si>
  <si>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</si>
  <si>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</si>
  <si>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</si>
  <si>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</si>
  <si>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</si>
  <si>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</si>
  <si>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</si>
  <si>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</si>
  <si>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</si>
  <si>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</si>
  <si>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</si>
  <si>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</si>
  <si>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</si>
  <si>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</si>
  <si>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</si>
  <si>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</si>
  <si>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</si>
  <si>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</si>
  <si>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</si>
  <si>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</si>
  <si>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</si>
  <si>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</si>
  <si>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</si>
  <si>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</si>
  <si>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</si>
  <si>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</si>
  <si>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</si>
  <si>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</si>
  <si>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</si>
  <si>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</si>
  <si>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</si>
  <si>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</si>
  <si>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</si>
  <si>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</si>
  <si>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</si>
  <si>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</si>
  <si>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</si>
  <si>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</si>
  <si>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</si>
  <si>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</si>
  <si>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</si>
  <si>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</si>
  <si>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</si>
  <si>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</si>
  <si>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</si>
  <si>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</si>
  <si>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</si>
  <si>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</si>
  <si>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</si>
  <si>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</si>
  <si>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</si>
  <si>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</si>
  <si>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</si>
  <si>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</si>
  <si>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</si>
  <si>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</si>
  <si>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</si>
  <si>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</si>
  <si>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</si>
  <si>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</si>
  <si>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</si>
  <si>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</si>
  <si>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</si>
  <si>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</si>
  <si>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</si>
  <si>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</si>
  <si>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</si>
  <si>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</si>
  <si>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</si>
  <si>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</si>
  <si>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</si>
  <si>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</si>
  <si>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</si>
  <si>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</si>
  <si>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</si>
  <si>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</si>
  <si>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</si>
  <si>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</si>
  <si>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</si>
  <si>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</si>
  <si>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</si>
  <si>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</si>
  <si>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</si>
  <si>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</si>
  <si>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</si>
  <si>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</si>
  <si>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</si>
  <si>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</si>
  <si>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</si>
  <si>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</si>
  <si>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</si>
  <si>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</si>
  <si>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</si>
  <si>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</si>
  <si>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</si>
  <si>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</si>
  <si>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</si>
  <si>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</si>
  <si>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</si>
  <si>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</si>
  <si>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</si>
  <si>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</si>
  <si>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</si>
  <si>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</si>
  <si>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</si>
  <si>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</si>
  <si>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</si>
  <si>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</si>
  <si>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</si>
  <si>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</si>
  <si>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</si>
  <si>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</si>
  <si>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</si>
  <si>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</si>
  <si>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</si>
  <si>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</si>
  <si>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</si>
  <si>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</si>
  <si>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</si>
  <si>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</si>
  <si>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</si>
  <si>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</si>
  <si>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</si>
  <si>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</si>
  <si>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</si>
  <si>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</si>
  <si>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</si>
  <si>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</si>
  <si>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</si>
  <si>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</si>
  <si>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</si>
  <si>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</si>
  <si>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</si>
  <si>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</si>
  <si>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</si>
  <si>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</si>
  <si>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</si>
  <si>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</si>
  <si>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</si>
  <si>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</si>
  <si>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</si>
  <si>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</si>
  <si>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</si>
  <si>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</si>
  <si>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</si>
  <si>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</si>
  <si>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</si>
  <si>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</si>
  <si>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</si>
  <si>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</si>
  <si>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</si>
  <si>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</si>
  <si>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</si>
  <si>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</si>
  <si>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</si>
  <si>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</si>
  <si>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</si>
  <si>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</si>
  <si>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</si>
  <si>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</si>
  <si>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</si>
  <si>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</si>
  <si>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</si>
  <si>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</si>
  <si>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</si>
  <si>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</si>
  <si>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</si>
  <si>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</si>
  <si>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</si>
  <si>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</si>
  <si>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</si>
  <si>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</si>
  <si>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</si>
  <si>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</si>
  <si>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</si>
  <si>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</si>
  <si>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</si>
  <si>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</si>
  <si>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</si>
  <si>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</si>
  <si>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</si>
  <si>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</si>
  <si>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</si>
  <si>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</si>
  <si>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</si>
  <si>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</si>
  <si>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</si>
  <si>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</si>
  <si>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</si>
  <si>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</si>
  <si>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</si>
  <si>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</si>
  <si>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</si>
  <si>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</si>
  <si>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</si>
  <si>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</si>
  <si>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</si>
  <si>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</si>
  <si>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</si>
  <si>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</si>
  <si>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</si>
  <si>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</si>
  <si>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</si>
  <si>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</si>
  <si>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</si>
  <si>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</si>
  <si>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</si>
  <si>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</si>
  <si>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</si>
  <si>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</si>
  <si>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</si>
  <si>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</si>
  <si>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</si>
  <si>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</si>
  <si>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</si>
  <si>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</si>
  <si>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</si>
  <si>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</si>
  <si>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</si>
  <si>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</si>
  <si>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</si>
  <si>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</si>
  <si>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</si>
  <si>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</si>
  <si>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</si>
  <si>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</si>
  <si>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</si>
  <si>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</si>
  <si>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</si>
  <si>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</si>
  <si>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</si>
  <si>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</si>
  <si>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</si>
  <si>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</si>
  <si>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</si>
  <si>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</si>
  <si>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</si>
  <si>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</si>
  <si>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</si>
  <si>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</si>
  <si>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</si>
  <si>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</si>
  <si>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</si>
  <si>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</si>
  <si>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</si>
  <si>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</si>
  <si>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</si>
  <si>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</si>
  <si>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</si>
  <si>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</si>
  <si>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</si>
  <si>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</si>
  <si>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</si>
  <si>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</si>
  <si>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</si>
  <si>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</si>
  <si>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</si>
  <si>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</si>
  <si>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</si>
  <si>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</si>
  <si>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</si>
  <si>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</si>
  <si>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</si>
  <si>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</si>
  <si>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</si>
  <si>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</si>
  <si>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</si>
  <si>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</si>
  <si>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</si>
  <si>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</si>
  <si>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</si>
  <si>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</si>
  <si>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</si>
  <si>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</si>
  <si>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</si>
  <si>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</si>
  <si>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</si>
  <si>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</si>
  <si>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</si>
  <si>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</si>
  <si>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</si>
  <si>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</si>
  <si>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</si>
  <si>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</si>
  <si>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</si>
  <si>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</si>
  <si>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</si>
  <si>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</si>
  <si>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</si>
  <si>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</si>
  <si>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</si>
  <si>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</si>
  <si>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</si>
  <si>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</si>
  <si>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</si>
  <si>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</si>
  <si>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</si>
  <si>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</si>
  <si>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</si>
  <si>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</si>
  <si>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</si>
  <si>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</si>
  <si>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</si>
  <si>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</si>
  <si>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</si>
  <si>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</si>
  <si>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</si>
  <si>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</si>
  <si>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</si>
  <si>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</si>
  <si>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</si>
  <si>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</si>
  <si>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</si>
  <si>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</si>
  <si>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</si>
  <si>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</si>
  <si>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</si>
  <si>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</si>
  <si>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</si>
  <si>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</si>
  <si>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</si>
  <si>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</si>
  <si>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</si>
  <si>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</si>
  <si>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</si>
  <si>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</si>
  <si>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</si>
  <si>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</si>
  <si>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</si>
  <si>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</si>
  <si>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</si>
  <si>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</si>
  <si>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</si>
  <si>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</si>
  <si>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</si>
  <si>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</si>
  <si>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</si>
  <si>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</si>
  <si>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</si>
  <si>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</si>
  <si>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</si>
  <si>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</si>
  <si>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</si>
  <si>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</si>
  <si>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</si>
  <si>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</si>
  <si>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</si>
  <si>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</si>
  <si>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</si>
  <si>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</si>
  <si>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</si>
  <si>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</si>
  <si>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</si>
  <si>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</si>
  <si>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</si>
  <si>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</si>
  <si>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</si>
  <si>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</si>
  <si>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</si>
  <si>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</si>
  <si>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</si>
  <si>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</si>
  <si>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</si>
  <si>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</si>
  <si>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</si>
  <si>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</si>
  <si>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</si>
  <si>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</si>
  <si>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</si>
  <si>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</si>
  <si>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</si>
  <si>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</si>
  <si>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</si>
  <si>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</si>
  <si>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</si>
  <si>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</si>
  <si>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</si>
  <si>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</si>
  <si>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</si>
  <si>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</si>
  <si>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</si>
  <si>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</si>
  <si>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</si>
  <si>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</si>
  <si>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</si>
  <si>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</si>
  <si>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</si>
  <si>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</si>
  <si>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</si>
  <si>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</si>
  <si>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</si>
  <si>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</si>
  <si>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</si>
  <si>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</si>
  <si>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</si>
  <si>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</si>
  <si>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</si>
  <si>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</si>
  <si>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</si>
  <si>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</si>
  <si>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</si>
  <si>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</si>
  <si>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</si>
  <si>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</si>
  <si>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</si>
  <si>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</si>
  <si>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</si>
  <si>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</si>
  <si>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</si>
  <si>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</si>
  <si>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</si>
  <si>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</si>
  <si>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</si>
  <si>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</si>
  <si>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</si>
  <si>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</si>
  <si>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</si>
  <si>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</si>
  <si>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</si>
  <si>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</si>
  <si>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</si>
  <si>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</si>
  <si>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</si>
  <si>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</si>
  <si>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</si>
  <si>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</si>
  <si>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</si>
  <si>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</si>
  <si>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</si>
  <si>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</si>
  <si>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</si>
  <si>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</si>
  <si>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</si>
  <si>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</si>
  <si>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</si>
  <si>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</si>
  <si>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</si>
  <si>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</si>
  <si>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</si>
  <si>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</si>
  <si>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</si>
  <si>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</si>
  <si>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</si>
  <si>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</si>
  <si>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</si>
  <si>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</si>
  <si>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</si>
  <si>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</si>
  <si>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</si>
  <si>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</si>
  <si>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</si>
  <si>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</si>
  <si>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</si>
  <si>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</si>
  <si>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</si>
  <si>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</si>
  <si>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</si>
  <si>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</si>
  <si>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</si>
  <si>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</si>
  <si>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</si>
  <si>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</si>
  <si>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</si>
  <si>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</si>
  <si>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</si>
  <si>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</si>
  <si>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</si>
  <si>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</si>
  <si>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</si>
  <si>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</si>
  <si>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</si>
  <si>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</si>
  <si>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</si>
  <si>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</si>
  <si>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</si>
  <si>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</si>
  <si>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</si>
  <si>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</si>
  <si>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</si>
  <si>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</si>
  <si>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</si>
  <si>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</si>
  <si>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</si>
  <si>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</si>
  <si>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</si>
  <si>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</si>
  <si>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</si>
  <si>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</si>
  <si>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</si>
  <si>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</si>
  <si>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</si>
  <si>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</si>
  <si>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</si>
  <si>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</si>
  <si>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</si>
  <si>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</si>
  <si>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</si>
  <si>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</si>
  <si>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</si>
  <si>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</si>
  <si>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</si>
  <si>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</si>
  <si>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</si>
  <si>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</si>
  <si>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</si>
  <si>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</si>
  <si>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</si>
  <si>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</si>
  <si>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</si>
  <si>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</si>
  <si>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</si>
  <si>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</si>
  <si>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</si>
  <si>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</si>
  <si>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</si>
  <si>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</si>
  <si>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</si>
  <si>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</si>
  <si>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</si>
  <si>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</si>
  <si>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</si>
  <si>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</si>
  <si>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</si>
  <si>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</si>
  <si>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</si>
  <si>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</si>
  <si>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</si>
  <si>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</si>
  <si>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</si>
  <si>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</si>
  <si>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</si>
  <si>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</si>
  <si>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</si>
  <si>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</si>
  <si>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</si>
  <si>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</si>
  <si>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</si>
  <si>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</si>
  <si>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</si>
  <si>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</si>
  <si>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</si>
  <si>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</si>
  <si>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</si>
  <si>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</si>
  <si>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</si>
  <si>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</si>
  <si>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</si>
  <si>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</si>
  <si>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</si>
  <si>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</si>
  <si>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</si>
  <si>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</si>
  <si>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</si>
  <si>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</si>
  <si>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</si>
  <si>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</si>
  <si>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</si>
  <si>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</si>
  <si>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</si>
  <si>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</si>
  <si>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</si>
  <si>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</si>
  <si>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</si>
  <si>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</si>
  <si>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</si>
  <si>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</si>
  <si>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</si>
  <si>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</si>
  <si>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</si>
  <si>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</si>
  <si>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</si>
  <si>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</si>
  <si>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</si>
  <si>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</si>
  <si>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</si>
  <si>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</si>
  <si>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</si>
  <si>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</si>
  <si>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</si>
  <si>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</si>
  <si>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</si>
  <si>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</si>
  <si>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</si>
  <si>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</si>
  <si>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</si>
  <si>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</si>
  <si>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</si>
  <si>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</si>
  <si>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</si>
  <si>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</si>
  <si>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</si>
  <si>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</si>
  <si>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</si>
  <si>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</si>
  <si>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</si>
  <si>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</si>
  <si>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</si>
  <si>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</si>
  <si>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</si>
  <si>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</si>
  <si>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</si>
  <si>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</si>
  <si>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</si>
  <si>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</si>
  <si>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</si>
  <si>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</si>
  <si>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</si>
  <si>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</si>
  <si>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</si>
  <si>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</si>
  <si>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</si>
  <si>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</si>
  <si>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</si>
  <si>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</si>
  <si>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</si>
  <si>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</si>
  <si>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</si>
  <si>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</si>
  <si>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</si>
  <si>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</si>
  <si>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</si>
  <si>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</si>
  <si>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</si>
  <si>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</si>
  <si>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</si>
  <si>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</si>
  <si>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</si>
  <si>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</si>
  <si>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</si>
  <si>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</si>
  <si>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</si>
  <si>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</si>
  <si>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</si>
  <si>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</si>
  <si>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</si>
  <si>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</si>
  <si>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</si>
  <si>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</si>
  <si>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</si>
  <si>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</si>
  <si>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</si>
  <si>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</si>
  <si>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</si>
  <si>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</si>
  <si>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</si>
  <si>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</si>
  <si>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</si>
  <si>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</si>
  <si>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</si>
  <si>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</si>
  <si>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</si>
  <si>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</si>
  <si>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</si>
  <si>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</si>
  <si>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</si>
  <si>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</si>
  <si>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</si>
  <si>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</si>
  <si>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</si>
  <si>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</si>
  <si>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</si>
  <si>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</si>
  <si>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</si>
  <si>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</si>
  <si>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</si>
  <si>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</si>
  <si>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</si>
  <si>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</si>
  <si>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</si>
  <si>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</si>
  <si>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</si>
  <si>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</si>
  <si>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</si>
  <si>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</si>
  <si>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</si>
  <si>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</si>
  <si>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</si>
  <si>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</si>
  <si>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</si>
  <si>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</si>
  <si>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</si>
  <si>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</si>
  <si>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</si>
  <si>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</si>
  <si>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</si>
  <si>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</si>
  <si>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</si>
  <si>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</si>
  <si>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</si>
  <si>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</si>
  <si>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</si>
  <si>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</si>
  <si>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</si>
  <si>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</si>
  <si>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</si>
  <si>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</si>
  <si>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</si>
  <si>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</si>
  <si>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</si>
  <si>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</si>
  <si>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</si>
  <si>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</si>
  <si>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</si>
  <si>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</si>
  <si>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</si>
  <si>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</si>
  <si>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</si>
  <si>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</si>
  <si>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</si>
  <si>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</si>
  <si>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</si>
  <si>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</si>
  <si>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</si>
  <si>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</si>
  <si>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</si>
  <si>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</si>
  <si>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</si>
  <si>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</si>
  <si>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</si>
  <si>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</si>
  <si>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</si>
  <si>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</si>
  <si>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</si>
  <si>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</si>
  <si>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</si>
  <si>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</si>
  <si>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</si>
  <si>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</si>
  <si>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</si>
  <si>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</si>
  <si>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</si>
  <si>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</si>
  <si>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</si>
  <si>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</si>
  <si>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</si>
  <si>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</si>
  <si>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</si>
  <si>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</si>
  <si>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</si>
  <si>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</si>
  <si>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</si>
  <si>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</si>
  <si>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</si>
  <si>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</si>
  <si>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</si>
  <si>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</si>
  <si>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</si>
  <si>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</si>
  <si>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</si>
  <si>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</si>
  <si>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</si>
  <si>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</si>
  <si>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</si>
  <si>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</si>
  <si>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</si>
  <si>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</si>
  <si>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</si>
  <si>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</si>
  <si>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</si>
  <si>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</si>
  <si>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</si>
  <si>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</si>
  <si>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</si>
  <si>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</si>
  <si>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</si>
  <si>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</si>
  <si>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</si>
  <si>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</si>
  <si>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</si>
  <si>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</si>
  <si>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</si>
  <si>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</si>
  <si>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</si>
  <si>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</si>
  <si>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</si>
  <si>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</si>
  <si>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</si>
  <si>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</si>
  <si>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</si>
  <si>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</si>
  <si>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</si>
  <si>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</si>
  <si>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</si>
  <si>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</si>
  <si>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</si>
  <si>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</si>
  <si>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</si>
  <si>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</si>
  <si>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</si>
  <si>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</si>
  <si>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</si>
  <si>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</si>
  <si>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</si>
  <si>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</si>
  <si>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</si>
  <si>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</si>
  <si>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</si>
  <si>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</si>
  <si>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</si>
  <si>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</si>
  <si>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</si>
  <si>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</si>
  <si>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</si>
  <si>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</si>
  <si>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</si>
  <si>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</si>
  <si>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</si>
  <si>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</si>
  <si>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</si>
  <si>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</si>
  <si>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</si>
  <si>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</si>
  <si>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</si>
  <si>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</si>
  <si>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</si>
  <si>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</si>
  <si>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</si>
  <si>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</si>
  <si>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</si>
  <si>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</si>
  <si>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</si>
  <si>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</si>
  <si>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</si>
  <si>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</si>
  <si>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</si>
  <si>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</si>
  <si>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</si>
  <si>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</si>
  <si>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</si>
  <si>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</si>
  <si>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</si>
  <si>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</si>
  <si>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</si>
  <si>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</si>
  <si>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</si>
  <si>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</si>
  <si>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</si>
  <si>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</si>
  <si>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</si>
  <si>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</si>
  <si>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</si>
  <si>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</si>
  <si>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</si>
  <si>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</si>
  <si>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</si>
  <si>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</si>
  <si>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</si>
  <si>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</si>
  <si>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</si>
  <si>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</si>
  <si>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</si>
  <si>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</si>
  <si>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</si>
  <si>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</si>
  <si>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</si>
  <si>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</si>
  <si>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</si>
  <si>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</si>
  <si>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</si>
  <si>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</si>
  <si>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</si>
  <si>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</si>
  <si>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</si>
  <si>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</si>
  <si>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</si>
  <si>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</si>
  <si>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</si>
  <si>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</si>
  <si>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</si>
  <si>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</si>
  <si>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</si>
  <si>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</si>
  <si>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</si>
  <si>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</si>
  <si>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</si>
  <si>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</si>
  <si>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</si>
  <si>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</si>
  <si>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</si>
  <si>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</si>
  <si>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</si>
  <si>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</si>
  <si>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</si>
  <si>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</si>
  <si>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</si>
  <si>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</si>
  <si>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</si>
  <si>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</si>
  <si>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</si>
  <si>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</si>
  <si>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</si>
  <si>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</si>
  <si>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</si>
  <si>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</si>
  <si>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</si>
  <si>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</si>
  <si>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</si>
  <si>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</si>
  <si>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</si>
  <si>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</si>
  <si>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</si>
  <si>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</si>
  <si>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</si>
  <si>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</si>
  <si>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</si>
  <si>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</si>
  <si>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</si>
  <si>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</si>
  <si>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</si>
  <si>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</si>
  <si>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</si>
  <si>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</si>
  <si>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</si>
  <si>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</si>
  <si>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</si>
  <si>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</si>
  <si>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</si>
  <si>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</si>
  <si>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</si>
  <si>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</si>
  <si>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</si>
  <si>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</si>
  <si>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</si>
  <si>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</si>
  <si>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</si>
  <si>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</si>
  <si>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</si>
  <si>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</si>
  <si>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</si>
  <si>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</si>
  <si>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</si>
  <si>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</si>
  <si>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</si>
  <si>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</si>
  <si>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</si>
  <si>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</si>
  <si>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</si>
  <si>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</si>
  <si>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</si>
  <si>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</si>
  <si>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</si>
  <si>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</si>
  <si>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</si>
  <si>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</si>
  <si>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</si>
  <si>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</si>
  <si>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</si>
  <si>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</si>
  <si>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</si>
  <si>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</si>
  <si>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</si>
  <si>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</si>
  <si>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</si>
  <si>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</si>
  <si>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</si>
  <si>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</si>
  <si>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</si>
  <si>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</si>
  <si>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</si>
  <si>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</si>
  <si>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</si>
  <si>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</si>
  <si>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</si>
  <si>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</si>
  <si>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</si>
  <si>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</si>
  <si>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</si>
  <si>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</si>
  <si>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</si>
  <si>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</si>
  <si>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</si>
  <si>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</si>
  <si>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</si>
  <si>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</si>
  <si>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</si>
  <si>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</si>
  <si>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</si>
  <si>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</si>
  <si>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</si>
  <si>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</si>
  <si>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</si>
  <si>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</si>
  <si>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</si>
  <si>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</si>
  <si>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</si>
  <si>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</si>
  <si>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</si>
  <si>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</si>
  <si>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</si>
  <si>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</si>
  <si>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</si>
  <si>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</si>
  <si>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</si>
  <si>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</si>
  <si>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</si>
  <si>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</si>
  <si>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</si>
  <si>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</si>
  <si>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</si>
  <si>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</si>
  <si>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</si>
  <si>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</si>
  <si>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</si>
  <si>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</si>
  <si>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</si>
  <si>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</si>
  <si>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</si>
  <si>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</si>
  <si>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</si>
  <si>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</si>
  <si>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</si>
  <si>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</si>
  <si>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</si>
  <si>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</si>
  <si>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</si>
  <si>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</si>
  <si>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</si>
  <si>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</si>
  <si>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</si>
  <si>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</si>
  <si>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</si>
  <si>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</si>
  <si>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</si>
  <si>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</si>
  <si>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</si>
  <si>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</si>
  <si>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</si>
  <si>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</si>
  <si>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</si>
  <si>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</si>
  <si>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</si>
  <si>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</si>
  <si>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</si>
  <si>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</si>
  <si>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</si>
  <si>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</si>
  <si>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</si>
  <si>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</si>
  <si>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</si>
  <si>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</si>
  <si>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</si>
  <si>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</si>
  <si>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</si>
  <si>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</si>
  <si>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</si>
  <si>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</si>
  <si>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</si>
  <si>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</si>
  <si>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</si>
  <si>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</si>
  <si>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</si>
  <si>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</si>
  <si>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</si>
  <si>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</si>
  <si>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</si>
  <si>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</si>
  <si>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</si>
  <si>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</si>
  <si>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</si>
  <si>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</si>
  <si>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</si>
  <si>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</si>
  <si>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</si>
  <si>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</si>
  <si>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</si>
  <si>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</si>
  <si>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</si>
  <si>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</si>
  <si>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</si>
  <si>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</si>
  <si>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</si>
  <si>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</si>
  <si>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</si>
  <si>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</si>
  <si>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</si>
  <si>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</si>
  <si>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</si>
  <si>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</si>
  <si>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</si>
  <si>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</si>
  <si>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</si>
  <si>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</si>
  <si>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</si>
  <si>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</si>
  <si>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</si>
  <si>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</si>
  <si>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</si>
  <si>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</si>
  <si>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</si>
  <si>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</si>
  <si>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</si>
  <si>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</si>
  <si>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</si>
  <si>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</si>
  <si>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</si>
  <si>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</si>
  <si>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</si>
  <si>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</si>
  <si>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</si>
  <si>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</si>
  <si>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</si>
  <si>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</si>
  <si>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</si>
  <si>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</si>
  <si>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</si>
  <si>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</si>
  <si>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</si>
  <si>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</si>
  <si>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</si>
  <si>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</si>
  <si>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</si>
  <si>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</si>
  <si>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</si>
  <si>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</si>
  <si>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</si>
  <si>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</si>
  <si>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</si>
  <si>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</si>
  <si>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</si>
  <si>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</si>
  <si>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</si>
  <si>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</si>
  <si>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</si>
  <si>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</si>
  <si>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</si>
  <si>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</si>
  <si>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</si>
  <si>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</si>
  <si>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</si>
  <si>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</si>
  <si>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</si>
  <si>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</si>
  <si>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</si>
  <si>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</si>
  <si>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</si>
  <si>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</si>
  <si>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</si>
  <si>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</si>
  <si>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</si>
  <si>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</si>
  <si>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</si>
  <si>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</si>
  <si>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</si>
  <si>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</si>
  <si>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</si>
  <si>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</si>
  <si>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</si>
  <si>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</si>
  <si>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</si>
  <si>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</si>
  <si>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</si>
  <si>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</si>
  <si>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</si>
  <si>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</si>
  <si>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</si>
  <si>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</si>
  <si>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</si>
  <si>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</si>
  <si>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</si>
  <si>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</si>
  <si>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</si>
  <si>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</si>
  <si>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</si>
  <si>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</si>
  <si>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</si>
  <si>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</si>
  <si>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</si>
  <si>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</si>
  <si>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</si>
  <si>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</si>
  <si>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</si>
  <si>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</si>
  <si>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</si>
  <si>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</si>
  <si>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</si>
  <si>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</si>
  <si>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</si>
  <si>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</si>
  <si>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</si>
  <si>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</si>
  <si>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</si>
  <si>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</si>
  <si>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</si>
  <si>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</si>
  <si>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</si>
  <si>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</si>
  <si>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</si>
  <si>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</si>
  <si>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</si>
  <si>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</si>
  <si>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</si>
  <si>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</si>
  <si>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</si>
  <si>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</si>
  <si>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</si>
  <si>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</si>
  <si>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</si>
  <si>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</si>
  <si>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</si>
  <si>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</si>
  <si>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</si>
  <si>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</si>
  <si>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</si>
  <si>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</si>
  <si>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</si>
  <si>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</si>
  <si>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</si>
  <si>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</si>
  <si>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</si>
  <si>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</si>
  <si>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</si>
  <si>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</si>
  <si>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</si>
  <si>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</si>
  <si>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</si>
  <si>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</si>
  <si>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</si>
  <si>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</si>
  <si>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</si>
  <si>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</si>
  <si>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</si>
  <si>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</si>
  <si>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</si>
  <si>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</si>
  <si>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</si>
  <si>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</si>
  <si>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</si>
  <si>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</si>
  <si>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</si>
  <si>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</si>
  <si>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</si>
  <si>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</si>
  <si>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</si>
  <si>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</si>
  <si>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</si>
  <si>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</si>
  <si>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</si>
  <si>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</si>
  <si>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</si>
  <si>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</si>
  <si>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</si>
  <si>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</si>
  <si>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</si>
  <si>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</si>
  <si>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</si>
  <si>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</si>
  <si>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</si>
  <si>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</si>
  <si>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</si>
  <si>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</si>
  <si>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</si>
  <si>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</si>
  <si>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</si>
  <si>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</si>
  <si>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</si>
  <si>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</si>
  <si>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</si>
  <si>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</si>
  <si>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</si>
  <si>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</si>
  <si>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</si>
  <si>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</si>
  <si>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</si>
  <si>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</si>
  <si>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</si>
  <si>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</si>
  <si>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</si>
  <si>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</si>
  <si>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</si>
  <si>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</si>
  <si>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</si>
  <si>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</si>
  <si>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</si>
  <si>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</si>
  <si>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</si>
  <si>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</si>
  <si>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</si>
  <si>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</si>
  <si>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</si>
  <si>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</si>
  <si>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</si>
  <si>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</si>
  <si>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</si>
  <si>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</si>
  <si>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</si>
  <si>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</si>
  <si>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</si>
  <si>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</si>
  <si>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</si>
  <si>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</si>
  <si>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</si>
  <si>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</si>
  <si>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</si>
  <si>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</si>
  <si>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</si>
  <si>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</si>
  <si>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</si>
  <si>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</si>
  <si>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</si>
  <si>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</si>
  <si>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</si>
  <si>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</si>
  <si>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</si>
  <si>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</si>
  <si>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</si>
  <si>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</si>
  <si>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</si>
  <si>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</si>
  <si>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</si>
  <si>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</si>
  <si>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</si>
  <si>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</si>
  <si>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</si>
  <si>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</si>
  <si>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</si>
  <si>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</si>
  <si>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</si>
  <si>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</si>
  <si>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</si>
  <si>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</si>
  <si>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</si>
  <si>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</si>
  <si>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</si>
  <si>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</si>
  <si>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</si>
  <si>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</si>
  <si>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</si>
  <si>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</si>
  <si>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</si>
  <si>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</si>
  <si>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</si>
  <si>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</si>
  <si>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</si>
  <si>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</si>
  <si>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</si>
  <si>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</si>
  <si>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</si>
  <si>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</si>
  <si>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</si>
  <si>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</si>
  <si>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</si>
  <si>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</si>
  <si>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</si>
  <si>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</si>
  <si>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</si>
  <si>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</si>
  <si>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</si>
  <si>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</si>
  <si>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</si>
  <si>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</si>
  <si>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</si>
  <si>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</si>
  <si>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</si>
  <si>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</si>
  <si>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</si>
  <si>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</si>
  <si>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</si>
  <si>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</si>
  <si>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</si>
  <si>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</si>
  <si>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</si>
  <si>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</si>
  <si>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</si>
  <si>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</si>
  <si>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</si>
  <si>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</si>
  <si>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</si>
  <si>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</si>
  <si>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</si>
  <si>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</si>
  <si>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</si>
  <si>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</si>
  <si>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</si>
  <si>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</si>
  <si>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</si>
  <si>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</si>
  <si>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</si>
  <si>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</si>
  <si>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</si>
  <si>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</si>
  <si>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</si>
  <si>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</si>
  <si>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</si>
  <si>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</si>
  <si>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</si>
  <si>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</si>
  <si>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</si>
  <si>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</si>
  <si>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</si>
  <si>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</si>
  <si>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</si>
  <si>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</si>
  <si>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</si>
  <si>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</si>
  <si>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</si>
  <si>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</si>
  <si>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</si>
  <si>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</si>
  <si>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</si>
  <si>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</si>
  <si>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</si>
  <si>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</si>
  <si>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</si>
  <si>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</si>
  <si>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</si>
  <si>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</si>
  <si>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</si>
  <si>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</si>
  <si>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</si>
  <si>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</si>
  <si>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</si>
  <si>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</si>
  <si>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</si>
  <si>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</si>
  <si>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</si>
  <si>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</si>
  <si>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</si>
  <si>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</si>
  <si>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</si>
  <si>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</si>
  <si>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</si>
  <si>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</si>
  <si>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</si>
  <si>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</si>
  <si>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</si>
  <si>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</si>
  <si>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</si>
  <si>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</si>
  <si>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</si>
  <si>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</si>
  <si>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</si>
  <si>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</si>
  <si>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</si>
  <si>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</si>
  <si>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</si>
  <si>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</si>
  <si>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</si>
  <si>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</si>
  <si>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</si>
  <si>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</si>
  <si>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</si>
  <si>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</si>
  <si>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</si>
  <si>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</si>
  <si>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</si>
  <si>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</si>
  <si>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</si>
  <si>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</si>
  <si>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</si>
  <si>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</si>
  <si>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</si>
  <si>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</si>
  <si>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</si>
  <si>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</si>
  <si>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</si>
  <si>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</si>
  <si>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</si>
  <si>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</si>
  <si>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</si>
  <si>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</si>
  <si>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</si>
  <si>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</si>
  <si>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</si>
  <si>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</si>
  <si>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</si>
  <si>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</si>
  <si>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</si>
  <si>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</si>
  <si>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</si>
  <si>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</si>
  <si>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</si>
  <si>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</si>
  <si>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</si>
  <si>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</si>
  <si>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</si>
  <si>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</si>
  <si>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</si>
  <si>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</si>
  <si>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</si>
  <si>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</si>
  <si>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</si>
  <si>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</si>
  <si>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</si>
  <si>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</si>
  <si>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</si>
  <si>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</si>
  <si>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</si>
  <si>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</si>
  <si>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</si>
  <si>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</si>
  <si>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</si>
  <si>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</si>
  <si>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</si>
  <si>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</si>
  <si>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</si>
  <si>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</si>
  <si>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</si>
  <si>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</si>
  <si>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</si>
  <si>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</si>
  <si>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</si>
  <si>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</si>
  <si>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</si>
  <si>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</si>
  <si>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</si>
  <si>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</si>
  <si>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</si>
  <si>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</si>
  <si>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</si>
  <si>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</si>
  <si>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</si>
  <si>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</si>
  <si>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</si>
  <si>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</si>
  <si>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</si>
  <si>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</si>
  <si>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</si>
  <si>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</si>
  <si>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</si>
  <si>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</si>
  <si>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</si>
  <si>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</si>
  <si>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</si>
  <si>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</si>
  <si>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</si>
  <si>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</si>
  <si>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</si>
  <si>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</si>
  <si>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</si>
  <si>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</si>
  <si>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</si>
  <si>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</si>
  <si>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</si>
  <si>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</si>
  <si>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</si>
  <si>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</si>
  <si>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</si>
  <si>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</si>
  <si>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</si>
  <si>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</si>
  <si>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</si>
  <si>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</si>
  <si>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</si>
  <si>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</si>
  <si>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</si>
  <si>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</si>
  <si>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</si>
  <si>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</si>
  <si>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</si>
  <si>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</si>
  <si>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</si>
  <si>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</si>
  <si>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</si>
  <si>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</si>
  <si>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</si>
  <si>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</si>
  <si>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</si>
  <si>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</si>
  <si>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</si>
  <si>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</si>
  <si>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</si>
  <si>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</si>
  <si>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</si>
  <si>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</si>
  <si>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</si>
  <si>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</si>
  <si>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</si>
  <si>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</si>
  <si>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</si>
  <si>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</si>
  <si>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</si>
  <si>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</si>
  <si>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</si>
  <si>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</si>
  <si>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</si>
  <si>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</si>
  <si>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</si>
  <si>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</si>
  <si>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</si>
  <si>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</si>
  <si>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</si>
  <si>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</si>
  <si>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</si>
  <si>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</si>
  <si>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</si>
  <si>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</si>
  <si>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</si>
  <si>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</si>
  <si>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</si>
  <si>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</si>
  <si>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</si>
  <si>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</si>
  <si>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</si>
  <si>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</si>
  <si>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</si>
  <si>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</si>
  <si>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</si>
  <si>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</si>
  <si>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</si>
  <si>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</si>
  <si>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</si>
  <si>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</si>
  <si>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</si>
  <si>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</si>
  <si>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</si>
  <si>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</si>
  <si>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</si>
  <si>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</si>
  <si>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</si>
  <si>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</si>
  <si>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</si>
  <si>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</si>
  <si>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</si>
  <si>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</si>
  <si>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</si>
  <si>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</si>
  <si>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</si>
  <si>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</si>
  <si>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</si>
  <si>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</si>
  <si>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</si>
  <si>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</si>
  <si>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</si>
  <si>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</si>
  <si>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</si>
  <si>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</si>
  <si>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</si>
  <si>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</si>
  <si>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</si>
  <si>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</si>
  <si>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</si>
  <si>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</si>
  <si>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</si>
  <si>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</si>
  <si>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</si>
  <si>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</si>
  <si>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</si>
  <si>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</si>
  <si>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</si>
  <si>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</si>
  <si>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</si>
  <si>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</si>
  <si>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</si>
  <si>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</si>
  <si>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</si>
  <si>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</si>
  <si>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</si>
  <si>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</si>
  <si>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</si>
  <si>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</si>
  <si>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</si>
  <si>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</si>
  <si>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</si>
  <si>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</si>
  <si>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</si>
  <si>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</si>
  <si>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</si>
  <si>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</si>
  <si>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</si>
  <si>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</si>
  <si>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</si>
  <si>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</si>
  <si>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</si>
  <si>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</si>
  <si>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</si>
  <si>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</si>
  <si>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</si>
  <si>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</si>
  <si>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</si>
  <si>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</si>
  <si>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</si>
  <si>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</si>
  <si>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</si>
  <si>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</si>
  <si>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</si>
  <si>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</si>
  <si>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</si>
  <si>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</si>
  <si>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</si>
  <si>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</si>
  <si>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</si>
  <si>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</si>
  <si>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</si>
  <si>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</si>
  <si>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</si>
  <si>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</si>
  <si>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</si>
  <si>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</si>
  <si>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</si>
  <si>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</si>
  <si>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</si>
  <si>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</si>
  <si>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</si>
  <si>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</si>
  <si>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</si>
  <si>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</si>
  <si>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</si>
  <si>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</si>
  <si>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</si>
  <si>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</si>
  <si>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</si>
  <si>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</si>
  <si>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</si>
  <si>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</si>
  <si>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</si>
  <si>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</si>
  <si>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</si>
  <si>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</si>
  <si>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</si>
  <si>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</si>
  <si>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</si>
  <si>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</si>
  <si>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</si>
  <si>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</si>
  <si>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</si>
  <si>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</si>
  <si>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</si>
  <si>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</si>
  <si>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</si>
  <si>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</si>
  <si>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</si>
  <si>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</si>
  <si>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</si>
  <si>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</si>
  <si>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</si>
  <si>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</si>
  <si>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</si>
  <si>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</si>
  <si>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</si>
  <si>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</si>
  <si>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</si>
  <si>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</si>
  <si>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</si>
  <si>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</si>
  <si>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</si>
  <si>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</si>
  <si>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</si>
  <si>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</si>
  <si>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</si>
  <si>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</si>
  <si>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</si>
  <si>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</si>
  <si>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</si>
  <si>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</si>
  <si>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</si>
  <si>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</si>
  <si>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</si>
  <si>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</si>
  <si>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</si>
  <si>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</si>
  <si>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</si>
  <si>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</si>
  <si>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</si>
  <si>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</si>
  <si>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</si>
  <si>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</si>
  <si>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</si>
  <si>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</si>
  <si>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</si>
  <si>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</si>
  <si>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</si>
  <si>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</si>
  <si>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</si>
  <si>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</si>
  <si>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</si>
  <si>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</si>
  <si>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</si>
  <si>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</si>
  <si>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</si>
  <si>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</si>
  <si>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</si>
  <si>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</si>
  <si>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</si>
  <si>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</si>
  <si>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</si>
  <si>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</si>
  <si>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</si>
  <si>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</si>
  <si>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</si>
  <si>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</si>
  <si>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</si>
  <si>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</si>
  <si>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</si>
  <si>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</si>
  <si>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</si>
  <si>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</si>
  <si>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</si>
  <si>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</si>
  <si>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</si>
  <si>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</si>
  <si>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</si>
  <si>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</si>
  <si>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</si>
  <si>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</si>
  <si>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</si>
  <si>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</si>
  <si>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</si>
  <si>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</si>
  <si>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</si>
  <si>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</si>
  <si>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</si>
  <si>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</si>
  <si>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</si>
  <si>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</si>
  <si>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</si>
  <si>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</si>
  <si>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</si>
  <si>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</si>
  <si>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</si>
  <si>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</si>
  <si>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</si>
  <si>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</si>
  <si>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</si>
  <si>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</si>
  <si>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</si>
  <si>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</si>
  <si>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</si>
  <si>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</si>
  <si>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</si>
  <si>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</si>
  <si>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</si>
  <si>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</si>
  <si>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</si>
  <si>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</si>
  <si>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</si>
  <si>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</si>
  <si>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</si>
  <si>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</si>
  <si>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</si>
  <si>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</si>
  <si>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</si>
  <si>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</si>
  <si>
    <t>backers_count FAILED</t>
  </si>
  <si>
    <t>backers_count SUCCESSFUL</t>
  </si>
  <si>
    <t>Due to outliers in successful campaigns, the mean is skewed to the right. Therefore, the median provides a more accurate representation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</si>
</sst>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0.000"/>
    <numFmt numFmtId="166" formatCode="0.000000"/>
    <numFmt numFmtId="167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9" fontId="0" fillId="0" borderId="0" xfId="42" applyFont="1"/>
    <xf numFmtId="9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0" fillId="0" borderId="10" xfId="0" applyBorder="1" applyAlignment="1">
      <alignment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bgColor rgb="FFFF6165"/>
        </patternFill>
      </fill>
    </dxf>
    <dxf>
      <fill>
        <patternFill>
          <bgColor rgb="FF66FF99"/>
        </patternFill>
      </fill>
    </dxf>
    <dxf>
      <fill>
        <patternFill>
          <bgColor rgb="FF3399FF"/>
        </patternFill>
      </fill>
    </dxf>
    <dxf>
      <fill>
        <patternFill>
          <bgColor rgb="FFFFCC00"/>
        </patternFill>
      </fill>
    </dxf>
    <dxf>
      <fill>
        <patternFill patternType="solid">
          <bgColor rgb="FFFF6165"/>
        </patternFill>
      </fill>
    </dxf>
    <dxf>
      <fill>
        <patternFill>
          <bgColor rgb="FF66FF99"/>
        </patternFill>
      </fill>
    </dxf>
    <dxf>
      <fill>
        <patternFill>
          <bgColor rgb="FF3399FF"/>
        </patternFill>
      </fill>
    </dxf>
    <dxf>
      <fill>
        <patternFill>
          <bgColor rgb="FFFFCC00"/>
        </patternFill>
      </fill>
    </dxf>
    <dxf>
      <fill>
        <patternFill patternType="solid">
          <bgColor rgb="FFFF6165"/>
        </patternFill>
      </fill>
    </dxf>
    <dxf>
      <fill>
        <patternFill>
          <bgColor rgb="FF66FF99"/>
        </patternFill>
      </fill>
    </dxf>
    <dxf>
      <fill>
        <patternFill>
          <bgColor rgb="FF3399FF"/>
        </patternFill>
      </fill>
    </dxf>
    <dxf>
      <fill>
        <patternFill>
          <bgColor rgb="FFFFCC00"/>
        </patternFill>
      </fill>
    </dxf>
    <dxf>
      <fill>
        <patternFill patternType="solid">
          <bgColor rgb="FFFF6165"/>
        </patternFill>
      </fill>
    </dxf>
    <dxf>
      <fill>
        <patternFill>
          <bgColor rgb="FF66FF99"/>
        </patternFill>
      </fill>
    </dxf>
    <dxf>
      <fill>
        <patternFill>
          <bgColor rgb="FF3399FF"/>
        </patternFill>
      </fill>
    </dxf>
    <dxf>
      <fill>
        <patternFill>
          <bgColor rgb="FFFFCC00"/>
        </patternFill>
      </fill>
    </dxf>
  </dxfs>
  <tableStyles count="0" defaultTableStyle="TableStyleMedium2" defaultPivotStyle="PivotStyleLight16"/>
  <colors>
    <mruColors>
      <color rgb="FF66FF99"/>
      <color rgb="FF3399FF"/>
      <color rgb="FFCC0000"/>
      <color rgb="FFFFCC00"/>
      <color rgb="FFFF61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Statistics!PivotTable5</c:name>
    <c:fmtId val="7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5781323579337E-2"/>
          <c:y val="0.23406969962088073"/>
          <c:w val="0.72229255418177041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A-4D6D-9B74-8DDFAAC36297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A-4D6D-9B74-8DDFAAC36297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A-4D6D-9B74-8DDFAAC36297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A-4D6D-9B74-8DDFAAC3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323759"/>
        <c:axId val="388323279"/>
      </c:barChart>
      <c:catAx>
        <c:axId val="38832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3279"/>
        <c:crosses val="autoZero"/>
        <c:auto val="1"/>
        <c:lblAlgn val="ctr"/>
        <c:lblOffset val="100"/>
        <c:noMultiLvlLbl val="0"/>
      </c:catAx>
      <c:valAx>
        <c:axId val="3883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Statistics!PivotTable6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1FD-8D51-528BBC67EE56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9-41FD-8D51-528BBC67EE56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9-41FD-8D51-528BBC67EE56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9-41FD-8D51-528BBC67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530527"/>
        <c:axId val="426530047"/>
      </c:barChart>
      <c:catAx>
        <c:axId val="4265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0047"/>
        <c:crosses val="autoZero"/>
        <c:auto val="1"/>
        <c:lblAlgn val="ctr"/>
        <c:lblOffset val="100"/>
        <c:noMultiLvlLbl val="0"/>
      </c:catAx>
      <c:valAx>
        <c:axId val="4265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Date!PivotTable18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C-4FBF-862B-4B8AECB460DE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C-4FBF-862B-4B8AECB460DE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C-4FBF-862B-4B8AECB4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18143"/>
        <c:axId val="469181487"/>
      </c:lineChart>
      <c:catAx>
        <c:axId val="38911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1487"/>
        <c:crosses val="autoZero"/>
        <c:auto val="1"/>
        <c:lblAlgn val="ctr"/>
        <c:lblOffset val="100"/>
        <c:noMultiLvlLbl val="0"/>
      </c:catAx>
      <c:valAx>
        <c:axId val="469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6-476C-9E1E-FF7DC2CEA38A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6-476C-9E1E-FF7DC2CEA38A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6-476C-9E1E-FF7DC2CE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26959"/>
        <c:axId val="105230319"/>
      </c:lineChart>
      <c:catAx>
        <c:axId val="1052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0319"/>
        <c:crosses val="autoZero"/>
        <c:auto val="1"/>
        <c:lblAlgn val="ctr"/>
        <c:lblOffset val="100"/>
        <c:noMultiLvlLbl val="0"/>
      </c:catAx>
      <c:valAx>
        <c:axId val="105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Number of Backer in Successful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 in Successful and Unsuccessful Campaigns</a:t>
          </a:r>
        </a:p>
      </cx:txPr>
    </cx:title>
    <cx:plotArea>
      <cx:plotAreaRegion>
        <cx:series layoutId="boxWhisker" uniqueId="{700223EF-9AE6-416F-8DC1-EDF8FEAC5077}">
          <cx:tx>
            <cx:txData>
              <cx:f>_xlchart.v1.1</cx:f>
              <cx:v>backers_count 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B40F9B9-6AC7-42F4-B398-414FFB8D322F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3F6DF41-7A6F-431E-8048-A54C20A06AE6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DD41F6C-D434-4191-9F46-601E967F8862}">
          <cx:tx>
            <cx:txData>
              <cx:f>_xlchart.v1.7</cx:f>
              <cx:v>backers_count FAILED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</xdr:colOff>
      <xdr:row>1</xdr:row>
      <xdr:rowOff>6350</xdr:rowOff>
    </xdr:from>
    <xdr:to>
      <xdr:col>20</xdr:col>
      <xdr:colOff>38100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0130C-CF83-FEF5-E984-0D92E8E68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3</xdr:row>
      <xdr:rowOff>1</xdr:rowOff>
    </xdr:from>
    <xdr:to>
      <xdr:col>20</xdr:col>
      <xdr:colOff>488948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9FA68-0606-1673-3360-C7D68287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115888</xdr:colOff>
      <xdr:row>4</xdr:row>
      <xdr:rowOff>196850</xdr:rowOff>
    </xdr:from>
    <xdr:to>
      <xdr:col>12</xdr:col>
      <xdr:colOff>276226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CD527-98A3-631D-8915-7D4F733D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190500</xdr:rowOff>
    </xdr:from>
    <xdr:to>
      <xdr:col>8</xdr:col>
      <xdr:colOff>9525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725FB-2127-248A-87EA-DFA4487A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644525</xdr:colOff>
      <xdr:row>4</xdr:row>
      <xdr:rowOff>0</xdr:rowOff>
    </xdr:from>
    <xdr:to>
      <xdr:col>15</xdr:col>
      <xdr:colOff>0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1063E39-0358-4B94-91BA-8E189F6D8F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9575" y="800100"/>
              <a:ext cx="7756525" cy="501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cMullen" refreshedDate="45406.737384722219" createdVersion="8" refreshedVersion="8" minRefreshableVersion="3" recordCount="1000" xr:uid="{91C8CC54-9716-46C2-B8B8-EE7B3FA3D2A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cMullen" refreshedDate="45406.823885185186" createdVersion="8" refreshedVersion="8" minRefreshableVersion="3" recordCount="1000" xr:uid="{862647AC-F36D-4CBF-811E-F3F94E335846}">
  <cacheSource type="worksheet">
    <worksheetSource ref="G1:S1001" sheet="Crowdfunding"/>
  </cacheSource>
  <cacheFields count="16"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/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</r>
  <r>
    <x v="0"/>
    <n v="15"/>
    <n v="106.6"/>
    <s v="US"/>
    <s v="USD"/>
    <n v="1443848400"/>
    <n v="1444539600"/>
    <x v="27"/>
    <d v="2015-10-11T05:00:00"/>
    <b v="0"/>
    <b v="0"/>
    <s v="music/rock"/>
    <x v="1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</r>
  <r>
    <x v="1"/>
    <n v="16"/>
    <n v="68.8125"/>
    <s v="US"/>
    <s v="USD"/>
    <n v="1298700000"/>
    <n v="1300856400"/>
    <x v="36"/>
    <d v="2011-03-23T05:00:00"/>
    <b v="0"/>
    <b v="0"/>
    <s v="theater/plays"/>
    <x v="3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</r>
  <r>
    <x v="0"/>
    <n v="88"/>
    <n v="57.125"/>
    <s v="DK"/>
    <s v="DKK"/>
    <n v="1361772000"/>
    <n v="1362978000"/>
    <x v="39"/>
    <d v="2013-03-11T05:00:00"/>
    <b v="0"/>
    <b v="0"/>
    <s v="theater/plays"/>
    <x v="3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</r>
  <r>
    <x v="0"/>
    <n v="48"/>
    <n v="94.375"/>
    <s v="US"/>
    <s v="USD"/>
    <n v="1478062800"/>
    <n v="1479362400"/>
    <x v="45"/>
    <d v="2016-11-17T06:00:00"/>
    <b v="0"/>
    <b v="1"/>
    <s v="theater/plays"/>
    <x v="3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</r>
  <r>
    <x v="0"/>
    <n v="1"/>
    <n v="2"/>
    <s v="IT"/>
    <s v="EUR"/>
    <n v="1375333200"/>
    <n v="1377752400"/>
    <x v="50"/>
    <d v="2013-08-29T05:00:00"/>
    <b v="0"/>
    <b v="0"/>
    <s v="music/metal"/>
    <x v="1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</r>
  <r>
    <x v="1"/>
    <n v="128"/>
    <n v="30.0859375"/>
    <s v="US"/>
    <s v="USD"/>
    <n v="1497243600"/>
    <n v="1498539600"/>
    <x v="59"/>
    <d v="2017-06-27T05:00:00"/>
    <b v="0"/>
    <b v="1"/>
    <s v="theater/plays"/>
    <x v="3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</r>
  <r>
    <x v="0"/>
    <n v="5"/>
    <n v="111.4"/>
    <s v="US"/>
    <s v="USD"/>
    <n v="1493355600"/>
    <n v="1493874000"/>
    <x v="63"/>
    <d v="2017-05-04T05:00:00"/>
    <b v="0"/>
    <b v="0"/>
    <s v="theater/plays"/>
    <x v="3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</r>
  <r>
    <x v="0"/>
    <n v="1"/>
    <n v="1"/>
    <s v="US"/>
    <s v="USD"/>
    <n v="1319000400"/>
    <n v="1320555600"/>
    <x v="99"/>
    <d v="2011-11-06T05:00:00"/>
    <b v="0"/>
    <b v="0"/>
    <s v="theater/plays"/>
    <x v="3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</r>
  <r>
    <x v="1"/>
    <n v="361"/>
    <n v="35"/>
    <s v="AU"/>
    <s v="AUD"/>
    <n v="1408856400"/>
    <n v="1410152400"/>
    <x v="111"/>
    <d v="2014-09-08T05:00:00"/>
    <b v="0"/>
    <b v="0"/>
    <s v="technology/web"/>
    <x v="2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</r>
  <r>
    <x v="0"/>
    <n v="672"/>
    <n v="78.96875"/>
    <s v="CA"/>
    <s v="CAD"/>
    <n v="1273640400"/>
    <n v="1273899600"/>
    <x v="125"/>
    <d v="2010-05-15T05:00:00"/>
    <b v="0"/>
    <b v="0"/>
    <s v="theater/plays"/>
    <x v="3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</r>
  <r>
    <x v="1"/>
    <n v="70"/>
    <n v="104.6"/>
    <s v="US"/>
    <s v="USD"/>
    <n v="1277701200"/>
    <n v="1279429200"/>
    <x v="140"/>
    <d v="2010-07-18T05:00:00"/>
    <b v="0"/>
    <b v="0"/>
    <s v="music/indie rock"/>
    <x v="1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</r>
  <r>
    <x v="0"/>
    <n v="1"/>
    <n v="1"/>
    <s v="US"/>
    <s v="USD"/>
    <n v="1544940000"/>
    <n v="1545026400"/>
    <x v="147"/>
    <d v="2018-12-17T06:00:00"/>
    <b v="0"/>
    <b v="0"/>
    <s v="music/rock"/>
    <x v="1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</r>
  <r>
    <x v="1"/>
    <n v="146"/>
    <n v="74"/>
    <s v="AU"/>
    <s v="AUD"/>
    <n v="1370840400"/>
    <n v="1371704400"/>
    <x v="164"/>
    <d v="2013-06-20T05:00:00"/>
    <b v="0"/>
    <b v="0"/>
    <s v="theater/plays"/>
    <x v="3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</r>
  <r>
    <x v="0"/>
    <n v="35"/>
    <n v="75"/>
    <s v="IT"/>
    <s v="EUR"/>
    <n v="1417500000"/>
    <n v="1417586400"/>
    <x v="185"/>
    <d v="2014-12-03T06:00:00"/>
    <b v="0"/>
    <b v="0"/>
    <s v="theater/plays"/>
    <x v="3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</r>
  <r>
    <x v="0"/>
    <n v="24"/>
    <n v="105.75"/>
    <s v="US"/>
    <s v="USD"/>
    <n v="1370322000"/>
    <n v="1370408400"/>
    <x v="187"/>
    <d v="2013-06-05T05:00:00"/>
    <b v="0"/>
    <b v="1"/>
    <s v="theater/plays"/>
    <x v="3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</r>
  <r>
    <x v="0"/>
    <n v="1"/>
    <n v="2"/>
    <s v="CA"/>
    <s v="CAD"/>
    <n v="1269493200"/>
    <n v="1270443600"/>
    <x v="152"/>
    <d v="2010-04-05T05:00:00"/>
    <b v="0"/>
    <b v="0"/>
    <s v="theater/plays"/>
    <x v="3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</r>
  <r>
    <x v="1"/>
    <n v="43"/>
    <n v="99"/>
    <s v="US"/>
    <s v="USD"/>
    <n v="1535432400"/>
    <n v="1537160400"/>
    <x v="202"/>
    <d v="2018-09-17T05:00:00"/>
    <b v="0"/>
    <b v="1"/>
    <s v="music/rock"/>
    <x v="1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</r>
  <r>
    <x v="0"/>
    <n v="1"/>
    <n v="3"/>
    <s v="US"/>
    <s v="USD"/>
    <n v="1264399200"/>
    <n v="1267423200"/>
    <x v="67"/>
    <d v="2010-03-01T06:00:00"/>
    <b v="0"/>
    <b v="0"/>
    <s v="music/rock"/>
    <x v="1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</r>
  <r>
    <x v="0"/>
    <n v="10"/>
    <n v="71.7"/>
    <s v="US"/>
    <s v="USD"/>
    <n v="1331874000"/>
    <n v="1333429200"/>
    <x v="282"/>
    <d v="2012-04-03T05:00:00"/>
    <b v="0"/>
    <b v="0"/>
    <s v="food/food trucks"/>
    <x v="0"/>
  </r>
  <r>
    <x v="3"/>
    <n v="32"/>
    <n v="33.28125"/>
    <s v="IT"/>
    <s v="EUR"/>
    <n v="1286254800"/>
    <n v="1287032400"/>
    <x v="283"/>
    <d v="2010-10-14T05:00:00"/>
    <b v="0"/>
    <b v="0"/>
    <s v="theater/plays"/>
    <x v="3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</r>
  <r>
    <x v="0"/>
    <n v="1"/>
    <n v="5"/>
    <s v="DK"/>
    <s v="DKK"/>
    <n v="1504069200"/>
    <n v="1504155600"/>
    <x v="290"/>
    <d v="2017-08-31T05:00:00"/>
    <b v="0"/>
    <b v="1"/>
    <s v="publishing/nonfiction"/>
    <x v="5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</r>
  <r>
    <x v="0"/>
    <n v="32"/>
    <n v="87.78125"/>
    <s v="US"/>
    <s v="USD"/>
    <n v="1452146400"/>
    <n v="1452578400"/>
    <x v="293"/>
    <d v="2016-01-12T06:00:00"/>
    <b v="0"/>
    <b v="0"/>
    <s v="music/indie rock"/>
    <x v="1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</r>
  <r>
    <x v="3"/>
    <n v="75"/>
    <n v="41.16"/>
    <s v="US"/>
    <s v="USD"/>
    <n v="1316581200"/>
    <n v="1318309200"/>
    <x v="299"/>
    <d v="2011-10-11T05:00:00"/>
    <b v="0"/>
    <b v="1"/>
    <s v="music/indie rock"/>
    <x v="1"/>
  </r>
  <r>
    <x v="0"/>
    <n v="16"/>
    <n v="99.125"/>
    <s v="US"/>
    <s v="USD"/>
    <n v="1270789200"/>
    <n v="1272171600"/>
    <x v="300"/>
    <d v="2010-04-25T05:00:00"/>
    <b v="0"/>
    <b v="0"/>
    <s v="games/video games"/>
    <x v="6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</r>
  <r>
    <x v="1"/>
    <n v="223"/>
    <n v="39"/>
    <s v="US"/>
    <s v="USD"/>
    <n v="1330322400"/>
    <n v="1330495200"/>
    <x v="301"/>
    <d v="2012-02-29T06:00:00"/>
    <b v="0"/>
    <b v="0"/>
    <s v="music/rock"/>
    <x v="1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</r>
  <r>
    <x v="0"/>
    <n v="30"/>
    <n v="42.3"/>
    <s v="US"/>
    <s v="USD"/>
    <n v="1494738000"/>
    <n v="1495861200"/>
    <x v="304"/>
    <d v="2017-05-27T05:00:00"/>
    <b v="0"/>
    <b v="0"/>
    <s v="theater/plays"/>
    <x v="3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</r>
  <r>
    <x v="3"/>
    <n v="64"/>
    <n v="50.796875"/>
    <s v="US"/>
    <s v="USD"/>
    <n v="1281589200"/>
    <n v="1283662800"/>
    <x v="306"/>
    <d v="2010-09-05T05:00:00"/>
    <b v="0"/>
    <b v="0"/>
    <s v="technology/web"/>
    <x v="2"/>
  </r>
  <r>
    <x v="0"/>
    <n v="80"/>
    <n v="101.15"/>
    <s v="US"/>
    <s v="USD"/>
    <n v="1305003600"/>
    <n v="1305781200"/>
    <x v="307"/>
    <d v="2011-05-19T05:00:00"/>
    <b v="0"/>
    <b v="0"/>
    <s v="publishing/fiction"/>
    <x v="5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</r>
  <r>
    <x v="0"/>
    <n v="25"/>
    <n v="110.32"/>
    <s v="US"/>
    <s v="USD"/>
    <n v="1503550800"/>
    <n v="1508302800"/>
    <x v="331"/>
    <d v="2017-10-18T05:00:00"/>
    <b v="0"/>
    <b v="1"/>
    <s v="music/indie rock"/>
    <x v="1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</r>
  <r>
    <x v="0"/>
    <n v="1"/>
    <n v="5"/>
    <s v="US"/>
    <s v="USD"/>
    <n v="1432098000"/>
    <n v="1433653200"/>
    <x v="334"/>
    <d v="2015-06-07T05:00:00"/>
    <b v="0"/>
    <b v="1"/>
    <s v="music/jazz"/>
    <x v="1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</r>
  <r>
    <x v="0"/>
    <n v="25"/>
    <n v="59.16"/>
    <s v="US"/>
    <s v="USD"/>
    <n v="1444971600"/>
    <n v="1449900000"/>
    <x v="358"/>
    <d v="2015-12-12T06:00:00"/>
    <b v="0"/>
    <b v="0"/>
    <s v="music/indie rock"/>
    <x v="1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</r>
  <r>
    <x v="1"/>
    <n v="484"/>
    <n v="25"/>
    <s v="DK"/>
    <s v="DKK"/>
    <n v="1570942800"/>
    <n v="1571547600"/>
    <x v="386"/>
    <d v="2019-10-20T05:00:00"/>
    <b v="0"/>
    <b v="0"/>
    <s v="theater/plays"/>
    <x v="3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</r>
  <r>
    <x v="3"/>
    <n v="10"/>
    <n v="90.3"/>
    <s v="CA"/>
    <s v="CAD"/>
    <n v="1480572000"/>
    <n v="1481781600"/>
    <x v="411"/>
    <d v="2016-12-15T06:00:00"/>
    <b v="1"/>
    <b v="0"/>
    <s v="theater/plays"/>
    <x v="3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</r>
  <r>
    <x v="0"/>
    <n v="32"/>
    <n v="54.5"/>
    <s v="US"/>
    <s v="USD"/>
    <n v="1335416400"/>
    <n v="1337835600"/>
    <x v="418"/>
    <d v="2012-05-24T05:00:00"/>
    <b v="0"/>
    <b v="0"/>
    <s v="technology/wearables"/>
    <x v="2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</r>
  <r>
    <x v="1"/>
    <n v="50"/>
    <n v="82.38"/>
    <s v="US"/>
    <s v="USD"/>
    <n v="1281330000"/>
    <n v="1281589200"/>
    <x v="8"/>
    <d v="2010-08-12T05:00:00"/>
    <b v="0"/>
    <b v="0"/>
    <s v="theater/plays"/>
    <x v="3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</r>
  <r>
    <x v="0"/>
    <n v="16"/>
    <n v="101.25"/>
    <s v="US"/>
    <s v="USD"/>
    <n v="1555218000"/>
    <n v="1556600400"/>
    <x v="442"/>
    <d v="2019-04-30T05:00:00"/>
    <b v="0"/>
    <b v="0"/>
    <s v="theater/plays"/>
    <x v="3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</r>
  <r>
    <x v="0"/>
    <n v="0"/>
    <n v="0"/>
    <s v="US"/>
    <s v="USD"/>
    <n v="1367384400"/>
    <n v="1369803600"/>
    <x v="472"/>
    <d v="2013-05-29T05:00:00"/>
    <b v="0"/>
    <b v="1"/>
    <s v="theater/plays"/>
    <x v="3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</r>
  <r>
    <x v="0"/>
    <n v="1258"/>
    <n v="95"/>
    <s v="US"/>
    <s v="USD"/>
    <n v="1336194000"/>
    <n v="1337058000"/>
    <x v="477"/>
    <d v="2012-05-15T05:00:00"/>
    <b v="0"/>
    <b v="0"/>
    <s v="theater/plays"/>
    <x v="3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</r>
  <r>
    <x v="1"/>
    <n v="32"/>
    <n v="106.4375"/>
    <s v="US"/>
    <s v="USD"/>
    <n v="1555650000"/>
    <n v="1555909200"/>
    <x v="485"/>
    <d v="2019-04-22T05:00:00"/>
    <b v="0"/>
    <b v="0"/>
    <s v="theater/plays"/>
    <x v="3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</r>
  <r>
    <x v="3"/>
    <n v="1"/>
    <n v="4"/>
    <s v="CH"/>
    <s v="CHF"/>
    <n v="1330495200"/>
    <n v="1332306000"/>
    <x v="514"/>
    <d v="2012-03-21T05:00:00"/>
    <b v="0"/>
    <b v="0"/>
    <s v="music/indie rock"/>
    <x v="1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</r>
  <r>
    <x v="0"/>
    <n v="64"/>
    <n v="98.40625"/>
    <s v="US"/>
    <s v="USD"/>
    <n v="1509512400"/>
    <n v="1510984800"/>
    <x v="535"/>
    <d v="2017-11-18T06:00:00"/>
    <b v="0"/>
    <b v="0"/>
    <s v="theater/plays"/>
    <x v="3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</r>
  <r>
    <x v="0"/>
    <n v="1"/>
    <n v="5"/>
    <s v="GB"/>
    <s v="GBP"/>
    <n v="1375160400"/>
    <n v="1376197200"/>
    <x v="555"/>
    <d v="2013-08-11T05:00:00"/>
    <b v="0"/>
    <b v="0"/>
    <s v="food/food trucks"/>
    <x v="0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</r>
  <r>
    <x v="1"/>
    <n v="160"/>
    <n v="40.03125"/>
    <s v="GB"/>
    <s v="GBP"/>
    <n v="1457330400"/>
    <n v="1458277200"/>
    <x v="558"/>
    <d v="2016-03-18T05:00:00"/>
    <b v="0"/>
    <b v="0"/>
    <s v="music/rock"/>
    <x v="1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</r>
  <r>
    <x v="0"/>
    <n v="64"/>
    <n v="92.4375"/>
    <s v="US"/>
    <s v="USD"/>
    <n v="1523768400"/>
    <n v="1526014800"/>
    <x v="573"/>
    <d v="2018-05-11T05:00:00"/>
    <b v="0"/>
    <b v="0"/>
    <s v="music/indie rock"/>
    <x v="1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</r>
  <r>
    <x v="0"/>
    <n v="2928"/>
    <n v="28"/>
    <s v="CA"/>
    <s v="CAD"/>
    <n v="1545112800"/>
    <n v="1546495200"/>
    <x v="593"/>
    <d v="2019-01-03T06:00:00"/>
    <b v="0"/>
    <b v="0"/>
    <s v="theater/plays"/>
    <x v="3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</r>
  <r>
    <x v="0"/>
    <n v="1"/>
    <n v="2"/>
    <s v="US"/>
    <s v="USD"/>
    <n v="1404795600"/>
    <n v="1407128400"/>
    <x v="599"/>
    <d v="2014-08-04T05:00:00"/>
    <b v="0"/>
    <b v="0"/>
    <s v="music/jazz"/>
    <x v="1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</r>
  <r>
    <x v="0"/>
    <n v="1"/>
    <n v="3"/>
    <s v="US"/>
    <s v="USD"/>
    <n v="1264399200"/>
    <n v="1265695200"/>
    <x v="67"/>
    <d v="2010-02-09T06:00:00"/>
    <b v="0"/>
    <b v="0"/>
    <s v="technology/wearables"/>
    <x v="2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</r>
  <r>
    <x v="0"/>
    <n v="14"/>
    <n v="90"/>
    <s v="IT"/>
    <s v="EUR"/>
    <n v="1453615200"/>
    <n v="1453788000"/>
    <x v="248"/>
    <d v="2016-01-26T06:00:00"/>
    <b v="1"/>
    <b v="1"/>
    <s v="theater/plays"/>
    <x v="3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</r>
  <r>
    <x v="0"/>
    <n v="10"/>
    <n v="73.5"/>
    <s v="US"/>
    <s v="USD"/>
    <n v="1464152400"/>
    <n v="1465102800"/>
    <x v="662"/>
    <d v="2016-06-05T05:00:00"/>
    <b v="0"/>
    <b v="0"/>
    <s v="theater/plays"/>
    <x v="3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</r>
  <r>
    <x v="0"/>
    <n v="15"/>
    <n v="103.8"/>
    <s v="US"/>
    <s v="USD"/>
    <n v="1416117600"/>
    <n v="1418018400"/>
    <x v="671"/>
    <d v="2014-12-08T06:00:00"/>
    <b v="0"/>
    <b v="1"/>
    <s v="theater/plays"/>
    <x v="3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</r>
  <r>
    <x v="0"/>
    <n v="16"/>
    <n v="99.5"/>
    <s v="US"/>
    <s v="USD"/>
    <n v="1486101600"/>
    <n v="1486360800"/>
    <x v="673"/>
    <d v="2017-02-06T06:00:00"/>
    <b v="0"/>
    <b v="0"/>
    <s v="theater/plays"/>
    <x v="3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</r>
  <r>
    <x v="0"/>
    <n v="34"/>
    <n v="61.5"/>
    <s v="US"/>
    <s v="USD"/>
    <n v="1275195600"/>
    <n v="1277528400"/>
    <x v="677"/>
    <d v="2010-06-26T05:00:00"/>
    <b v="0"/>
    <b v="0"/>
    <s v="technology/wearables"/>
    <x v="2"/>
  </r>
  <r>
    <x v="1"/>
    <n v="3388"/>
    <n v="35"/>
    <s v="US"/>
    <s v="USD"/>
    <n v="1318136400"/>
    <n v="1318568400"/>
    <x v="678"/>
    <d v="2011-10-14T05:00:00"/>
    <b v="0"/>
    <b v="0"/>
    <s v="technology/web"/>
    <x v="2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</r>
  <r>
    <x v="0"/>
    <n v="1"/>
    <n v="1"/>
    <s v="GB"/>
    <s v="GBP"/>
    <n v="1277960400"/>
    <n v="1280120400"/>
    <x v="682"/>
    <d v="2010-07-26T05:00:00"/>
    <b v="0"/>
    <b v="0"/>
    <s v="music/electric music"/>
    <x v="1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</r>
  <r>
    <x v="1"/>
    <n v="100"/>
    <n v="62.04"/>
    <s v="AU"/>
    <s v="AUD"/>
    <n v="1354082400"/>
    <n v="1355032800"/>
    <x v="692"/>
    <d v="2012-12-09T06:00:00"/>
    <b v="0"/>
    <b v="0"/>
    <s v="music/jazz"/>
    <x v="1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</r>
  <r>
    <x v="1"/>
    <n v="150"/>
    <n v="73.92"/>
    <s v="US"/>
    <s v="USD"/>
    <n v="1386741600"/>
    <n v="1388037600"/>
    <x v="626"/>
    <d v="2013-12-26T06:00:00"/>
    <b v="0"/>
    <b v="0"/>
    <s v="theater/plays"/>
    <x v="3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</r>
  <r>
    <x v="3"/>
    <n v="26"/>
    <n v="106.5"/>
    <s v="US"/>
    <s v="USD"/>
    <n v="1548482400"/>
    <n v="1550815200"/>
    <x v="699"/>
    <d v="2019-02-22T06:00:00"/>
    <b v="0"/>
    <b v="0"/>
    <s v="theater/plays"/>
    <x v="3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</r>
  <r>
    <x v="0"/>
    <n v="10"/>
    <n v="96.8"/>
    <s v="US"/>
    <s v="USD"/>
    <n v="1415253600"/>
    <n v="1416117600"/>
    <x v="703"/>
    <d v="2014-11-16T06:00:00"/>
    <b v="0"/>
    <b v="0"/>
    <s v="music/rock"/>
    <x v="1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</r>
  <r>
    <x v="0"/>
    <n v="6"/>
    <n v="90"/>
    <s v="US"/>
    <s v="USD"/>
    <n v="1481436000"/>
    <n v="1482818400"/>
    <x v="715"/>
    <d v="2016-12-27T06:00:00"/>
    <b v="0"/>
    <b v="0"/>
    <s v="food/food trucks"/>
    <x v="0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</r>
  <r>
    <x v="0"/>
    <n v="1"/>
    <n v="1"/>
    <s v="CH"/>
    <s v="CHF"/>
    <n v="1434085200"/>
    <n v="1434430800"/>
    <x v="139"/>
    <d v="2015-06-16T05:00:00"/>
    <b v="0"/>
    <b v="0"/>
    <s v="music/rock"/>
    <x v="1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</r>
  <r>
    <x v="1"/>
    <n v="2805"/>
    <n v="48"/>
    <s v="CA"/>
    <s v="CAD"/>
    <n v="1523854800"/>
    <n v="1524286800"/>
    <x v="78"/>
    <d v="2018-04-21T05:00:00"/>
    <b v="0"/>
    <b v="0"/>
    <s v="publishing/nonfiction"/>
    <x v="5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</r>
  <r>
    <x v="1"/>
    <n v="48"/>
    <n v="105.9375"/>
    <s v="US"/>
    <s v="USD"/>
    <n v="1532149200"/>
    <n v="1535259600"/>
    <x v="758"/>
    <d v="2018-08-26T05:00:00"/>
    <b v="1"/>
    <b v="1"/>
    <s v="technology/web"/>
    <x v="2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</r>
  <r>
    <x v="0"/>
    <n v="1"/>
    <n v="1"/>
    <s v="US"/>
    <s v="USD"/>
    <n v="1321682400"/>
    <n v="1322978400"/>
    <x v="762"/>
    <d v="2011-12-04T06:00:00"/>
    <b v="1"/>
    <b v="0"/>
    <s v="music/rock"/>
    <x v="1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</r>
  <r>
    <x v="1"/>
    <n v="452"/>
    <n v="53"/>
    <s v="AU"/>
    <s v="AUD"/>
    <n v="1308373200"/>
    <n v="1311051600"/>
    <x v="766"/>
    <d v="2011-07-19T05:00:00"/>
    <b v="0"/>
    <b v="0"/>
    <s v="theater/plays"/>
    <x v="3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</r>
  <r>
    <x v="1"/>
    <n v="300"/>
    <n v="25.99"/>
    <s v="US"/>
    <s v="USD"/>
    <n v="1539061200"/>
    <n v="1539579600"/>
    <x v="778"/>
    <d v="2018-10-15T05:00:00"/>
    <b v="0"/>
    <b v="0"/>
    <s v="food/food trucks"/>
    <x v="0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</r>
  <r>
    <x v="1"/>
    <n v="80"/>
    <n v="37"/>
    <s v="US"/>
    <s v="USD"/>
    <n v="1421820000"/>
    <n v="1422165600"/>
    <x v="789"/>
    <d v="2015-01-25T06:00:00"/>
    <b v="0"/>
    <b v="0"/>
    <s v="theater/plays"/>
    <x v="3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</r>
  <r>
    <x v="0"/>
    <n v="1"/>
    <n v="2"/>
    <s v="US"/>
    <s v="USD"/>
    <n v="1411102800"/>
    <n v="1411189200"/>
    <x v="806"/>
    <d v="2014-09-20T05:00:00"/>
    <b v="0"/>
    <b v="1"/>
    <s v="technology/web"/>
    <x v="2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</r>
  <r>
    <x v="1"/>
    <n v="80"/>
    <n v="107.7625"/>
    <s v="CA"/>
    <s v="CAD"/>
    <n v="1528088400"/>
    <n v="1530421200"/>
    <x v="384"/>
    <d v="2018-07-01T05:00:00"/>
    <b v="0"/>
    <b v="1"/>
    <s v="theater/plays"/>
    <x v="3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</r>
  <r>
    <x v="1"/>
    <n v="2261"/>
    <n v="40"/>
    <s v="US"/>
    <s v="USD"/>
    <n v="1544335200"/>
    <n v="1545112800"/>
    <x v="609"/>
    <d v="2018-12-18T06:00:00"/>
    <b v="0"/>
    <b v="1"/>
    <s v="music/world music"/>
    <x v="1"/>
  </r>
  <r>
    <x v="1"/>
    <n v="40"/>
    <n v="101.1"/>
    <s v="US"/>
    <s v="USD"/>
    <n v="1279083600"/>
    <n v="1279170000"/>
    <x v="547"/>
    <d v="2010-07-15T05:00:00"/>
    <b v="0"/>
    <b v="0"/>
    <s v="theater/plays"/>
    <x v="3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</r>
  <r>
    <x v="0"/>
    <n v="1"/>
    <n v="5"/>
    <s v="US"/>
    <s v="USD"/>
    <n v="1555390800"/>
    <n v="1555822800"/>
    <x v="843"/>
    <d v="2019-04-21T05:00:00"/>
    <b v="0"/>
    <b v="1"/>
    <s v="theater/plays"/>
    <x v="3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</r>
  <r>
    <x v="1"/>
    <n v="32"/>
    <n v="93.46875"/>
    <s v="US"/>
    <s v="USD"/>
    <n v="1368853200"/>
    <n v="1368939600"/>
    <x v="170"/>
    <d v="2013-05-19T05:00:00"/>
    <b v="0"/>
    <b v="0"/>
    <s v="music/indie rock"/>
    <x v="1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1983-83C4-4393-97F2-1E28641A1A7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222B6-E04A-48C8-8E6F-0E083121168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A1EF3-E028-4DB4-B542-956C2B52EAE3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L19" sqref="L19"/>
    </sheetView>
  </sheetViews>
  <sheetFormatPr defaultColWidth="10.625" defaultRowHeight="15.75" x14ac:dyDescent="0.25"/>
  <cols>
    <col min="1" max="1" width="3.875" bestFit="1" customWidth="1"/>
    <col min="2" max="2" width="30.625" bestFit="1" customWidth="1"/>
    <col min="3" max="3" width="49.1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2.125" bestFit="1" customWidth="1"/>
    <col min="16" max="16" width="9.125" bestFit="1" customWidth="1"/>
    <col min="17" max="17" width="8.5" bestFit="1" customWidth="1"/>
    <col min="18" max="18" width="28.5" bestFit="1" customWidth="1"/>
    <col min="19" max="19" width="14.875" bestFit="1" customWidth="1"/>
    <col min="20" max="20" width="16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5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5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F8DA-4240-49AC-A90C-FCE3C523287C}">
  <dimension ref="A1:F14"/>
  <sheetViews>
    <sheetView workbookViewId="0">
      <selection activeCell="P31" sqref="P31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2033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2039</v>
      </c>
      <c r="E8">
        <v>4</v>
      </c>
      <c r="F8">
        <v>4</v>
      </c>
    </row>
    <row r="9" spans="1:6" x14ac:dyDescent="0.25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3F72-D5A3-42A2-A008-EB5161A20482}">
  <dimension ref="A1:F30"/>
  <sheetViews>
    <sheetView topLeftCell="A4" workbookViewId="0">
      <selection activeCell="M33" sqref="M33"/>
    </sheetView>
  </sheetViews>
  <sheetFormatPr defaultRowHeight="15.75" x14ac:dyDescent="0.25"/>
  <cols>
    <col min="1" max="1" width="16.87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2032</v>
      </c>
      <c r="B2" t="s">
        <v>2046</v>
      </c>
    </row>
    <row r="4" spans="1:6" x14ac:dyDescent="0.25">
      <c r="A4" s="6" t="s">
        <v>2045</v>
      </c>
      <c r="B4" s="6" t="s">
        <v>2033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EFFF-0FC6-4700-BD57-33E262BF0FDB}">
  <dimension ref="A1:E18"/>
  <sheetViews>
    <sheetView workbookViewId="0">
      <selection activeCell="I27" sqref="I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2032</v>
      </c>
      <c r="B1" t="s">
        <v>2046</v>
      </c>
    </row>
    <row r="2" spans="1:5" x14ac:dyDescent="0.25">
      <c r="A2" s="6" t="s">
        <v>2085</v>
      </c>
      <c r="B2" t="s">
        <v>2046</v>
      </c>
    </row>
    <row r="4" spans="1:5" x14ac:dyDescent="0.25">
      <c r="A4" s="6" t="s">
        <v>2045</v>
      </c>
      <c r="B4" s="6" t="s">
        <v>2033</v>
      </c>
    </row>
    <row r="5" spans="1:5" x14ac:dyDescent="0.25">
      <c r="A5" s="6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2073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5">
      <c r="A7" s="7" t="s">
        <v>2074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5">
      <c r="A8" s="7" t="s">
        <v>2075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5">
      <c r="A9" s="7" t="s">
        <v>2076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5">
      <c r="A10" s="7" t="s">
        <v>2077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5">
      <c r="A11" s="7" t="s">
        <v>2078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5">
      <c r="A12" s="7" t="s">
        <v>2079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5">
      <c r="A13" s="7" t="s">
        <v>2080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5">
      <c r="A14" s="7" t="s">
        <v>2081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5">
      <c r="A15" s="7" t="s">
        <v>2082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5">
      <c r="A16" s="7" t="s">
        <v>2083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5">
      <c r="A17" s="7" t="s">
        <v>2084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5">
      <c r="A18" s="7" t="s">
        <v>2034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1559-8C51-448A-9052-9BEAAB20C349}">
  <dimension ref="A1:I13"/>
  <sheetViews>
    <sheetView workbookViewId="0">
      <selection activeCell="K22" sqref="K22"/>
    </sheetView>
  </sheetViews>
  <sheetFormatPr defaultRowHeight="15.75" x14ac:dyDescent="0.25"/>
  <cols>
    <col min="1" max="1" width="27.875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9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9" x14ac:dyDescent="0.25">
      <c r="A2" s="9" t="s">
        <v>2094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10">
        <f>B2/$E$2</f>
        <v>0.58823529411764708</v>
      </c>
      <c r="G2" s="10">
        <f t="shared" ref="G2:H2" si="0">C2/$E$2</f>
        <v>0.39215686274509803</v>
      </c>
      <c r="H2" s="10">
        <f t="shared" si="0"/>
        <v>1.9607843137254902E-2</v>
      </c>
      <c r="I2" s="11"/>
    </row>
    <row r="3" spans="1:9" x14ac:dyDescent="0.25">
      <c r="A3" s="9" t="s">
        <v>2095</v>
      </c>
      <c r="B3">
        <f>COUNTIFS(GOAL,"&gt;=1000",GOAL,"&lt;5000",OUTCOME,"successful")</f>
        <v>191</v>
      </c>
      <c r="C3">
        <f>COUNTIFS(GOAL,"&gt;=1000",GOAL,"&lt;5000",OUTCOME,"failed")</f>
        <v>38</v>
      </c>
      <c r="D3">
        <f>COUNTIFS(GOAL,"&gt;=1000",GOAL,"&lt;5000",OUTCOME,"canceled")</f>
        <v>2</v>
      </c>
      <c r="E3">
        <f>SUM(B3:D3)</f>
        <v>231</v>
      </c>
      <c r="F3" s="10">
        <f>B3/E3</f>
        <v>0.82683982683982682</v>
      </c>
      <c r="G3" s="10">
        <f>C3/E3</f>
        <v>0.16450216450216451</v>
      </c>
      <c r="H3" s="10">
        <f>D3/E3</f>
        <v>8.658008658008658E-3</v>
      </c>
      <c r="I3" s="11"/>
    </row>
    <row r="4" spans="1:9" x14ac:dyDescent="0.25">
      <c r="A4" s="9" t="s">
        <v>2096</v>
      </c>
      <c r="B4">
        <f>COUNTIFS(GOAL,"&gt;=5000",GOAL,"&lt;9999",OUTCOME,"successful")</f>
        <v>164</v>
      </c>
      <c r="C4">
        <f>COUNTIFS(GOAL,"&gt;=5000",GOAL,"&lt;9999",OUTCOME,"failed")</f>
        <v>126</v>
      </c>
      <c r="D4">
        <f>COUNTIFS(GOAL,"&gt;=5000",GOAL,"&lt;9999",OUTCOME,"canceled")</f>
        <v>25</v>
      </c>
      <c r="E4">
        <f t="shared" ref="E4:E13" si="1">SUM(B4:D4)</f>
        <v>315</v>
      </c>
      <c r="F4" s="10">
        <f t="shared" ref="F4:F13" si="2">B4/E4</f>
        <v>0.52063492063492067</v>
      </c>
      <c r="G4" s="10">
        <f t="shared" ref="G4:G13" si="3">C4/E4</f>
        <v>0.4</v>
      </c>
      <c r="H4" s="10">
        <f t="shared" ref="H4:H13" si="4">D4/E4</f>
        <v>7.9365079365079361E-2</v>
      </c>
      <c r="I4" s="11"/>
    </row>
    <row r="5" spans="1:9" x14ac:dyDescent="0.25">
      <c r="A5" s="9" t="s">
        <v>2097</v>
      </c>
      <c r="B5">
        <f>COUNTIFS(GOAL,"&gt;=10000",GOAL,"&lt;14999",OUTCOME,"successful")</f>
        <v>4</v>
      </c>
      <c r="C5">
        <f>COUNTIFS(GOAL,"&gt;=10000",GOAL,"&lt;14999",OUTCOME,"failed")</f>
        <v>5</v>
      </c>
      <c r="D5">
        <f>COUNTIFS(GOAL,"&gt;=10000",GOAL,"&lt;14999",OUTCOME,"canceled")</f>
        <v>0</v>
      </c>
      <c r="E5">
        <f t="shared" si="1"/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  <c r="I5" s="11"/>
    </row>
    <row r="6" spans="1:9" x14ac:dyDescent="0.25">
      <c r="A6" s="9" t="s">
        <v>2098</v>
      </c>
      <c r="B6">
        <f>COUNTIFS(GOAL,"&gt;=15000",GOAL,"&lt;19999",OUTCOME,"successful")</f>
        <v>10</v>
      </c>
      <c r="C6">
        <f>COUNTIFS(GOAL,"&gt;=15000",GOAL,"&lt;19999",OUTCOME,"failed")</f>
        <v>0</v>
      </c>
      <c r="D6">
        <f>COUNTIFS(GOAL,"&gt;=15000",GOAL,"&lt;19999",OUTCOME,"canceled")</f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  <c r="I6" s="11"/>
    </row>
    <row r="7" spans="1:9" x14ac:dyDescent="0.25">
      <c r="A7" s="9" t="s">
        <v>2099</v>
      </c>
      <c r="B7">
        <f>COUNTIFS(GOAL,"&gt;=20000",GOAL,"&lt;24999",OUTCOME,"successful")</f>
        <v>7</v>
      </c>
      <c r="C7">
        <f>COUNTIFS(GOAL,"&gt;=20000",GOAL,"&lt;24999",OUTCOME,"failed")</f>
        <v>0</v>
      </c>
      <c r="D7">
        <f>COUNTIFS(GOAL,"&gt;=20000",GOAL,"&lt;24999",OUTCOME,"canceled")</f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  <c r="I7" s="11"/>
    </row>
    <row r="8" spans="1:9" x14ac:dyDescent="0.25">
      <c r="A8" s="9" t="s">
        <v>2100</v>
      </c>
      <c r="B8">
        <f>COUNTIFS(GOAL,"&gt;=25000",GOAL,"&lt;29999",OUTCOME,"successful")</f>
        <v>11</v>
      </c>
      <c r="C8">
        <f>COUNTIFS(GOAL,"&gt;=25000",GOAL,"&lt;29999",OUTCOME,"failed")</f>
        <v>3</v>
      </c>
      <c r="D8">
        <f>COUNTIFS(GOAL,"&gt;=25000",GOAL,"&lt;29999",OUTCOME,"canceled")</f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  <c r="I8" s="11"/>
    </row>
    <row r="9" spans="1:9" x14ac:dyDescent="0.25">
      <c r="A9" s="9" t="s">
        <v>2101</v>
      </c>
      <c r="B9">
        <f>COUNTIFS(GOAL,"&gt;=30000",GOAL,"&lt;34999",OUTCOME,"successful")</f>
        <v>7</v>
      </c>
      <c r="C9">
        <f>COUNTIFS(GOAL,"&gt;=30000",GOAL,"&lt;34999",OUTCOME,"failed")</f>
        <v>0</v>
      </c>
      <c r="D9">
        <f>COUNTIFS(GOAL,"&gt;=30000",GOAL,"&lt;34999",OUTCOME,"canceled")</f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  <c r="I9" s="11"/>
    </row>
    <row r="10" spans="1:9" x14ac:dyDescent="0.25">
      <c r="A10" s="9" t="s">
        <v>2102</v>
      </c>
      <c r="B10">
        <f>COUNTIFS(GOAL,"&gt;=35000",GOAL,"&lt;39999",OUTCOME,"successful")</f>
        <v>8</v>
      </c>
      <c r="C10">
        <f>COUNTIFS(GOAL,"&gt;=35000",GOAL,"&lt;39999",OUTCOME,"failed")</f>
        <v>3</v>
      </c>
      <c r="D10">
        <f>COUNTIFS(GOAL,"&gt;=35000",GOAL,"&lt;39999",OUTCOME,"canceled")</f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  <c r="I10" s="11"/>
    </row>
    <row r="11" spans="1:9" x14ac:dyDescent="0.25">
      <c r="A11" s="9" t="s">
        <v>2103</v>
      </c>
      <c r="B11">
        <f>COUNTIFS(GOAL,"&gt;=40000",GOAL,"&lt;44999",OUTCOME,"successful")</f>
        <v>11</v>
      </c>
      <c r="C11">
        <f>COUNTIFS(GOAL,"&gt;=40000",GOAL,"&lt;44999",OUTCOME,"failed")</f>
        <v>3</v>
      </c>
      <c r="D11">
        <f>COUNTIFS(GOAL,"&gt;=40000",GOAL,"&lt;44999",OUTCOME,"canceled")</f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  <c r="I11" s="11"/>
    </row>
    <row r="12" spans="1:9" x14ac:dyDescent="0.25">
      <c r="A12" s="9" t="s">
        <v>2104</v>
      </c>
      <c r="B12">
        <f>COUNTIFS(GOAL,"&gt;=45000",GOAL,"&lt;49999",OUTCOME,"successful")</f>
        <v>8</v>
      </c>
      <c r="C12">
        <f>COUNTIFS(GOAL,"&gt;=45000",GOAL,"&lt;49999",OUTCOME,"failed")</f>
        <v>3</v>
      </c>
      <c r="D12">
        <f>COUNTIFS(GOAL,"&gt;=45000",GOAL,"&lt;49999",OUTCOME,"canceled")</f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  <c r="I12" s="11"/>
    </row>
    <row r="13" spans="1:9" x14ac:dyDescent="0.25">
      <c r="A13" s="9" t="s">
        <v>2105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1"/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  <c r="I13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C166-49C7-4CB4-9F3D-B5F47615789F}">
  <dimension ref="A1:O566"/>
  <sheetViews>
    <sheetView workbookViewId="0">
      <selection activeCell="G16" sqref="G16"/>
    </sheetView>
  </sheetViews>
  <sheetFormatPr defaultRowHeight="15.75" x14ac:dyDescent="0.25"/>
  <cols>
    <col min="1" max="1" width="9.375" bestFit="1" customWidth="1"/>
    <col min="2" max="2" width="24.5" bestFit="1" customWidth="1"/>
    <col min="4" max="4" width="8.5" bestFit="1" customWidth="1"/>
    <col min="5" max="5" width="19.875" bestFit="1" customWidth="1"/>
    <col min="8" max="8" width="9.375" customWidth="1"/>
    <col min="9" max="9" width="13.75" bestFit="1" customWidth="1"/>
    <col min="10" max="10" width="7.125" bestFit="1" customWidth="1"/>
    <col min="11" max="11" width="8.875" bestFit="1" customWidth="1"/>
    <col min="12" max="12" width="9.125" bestFit="1" customWidth="1"/>
    <col min="13" max="13" width="18.375" bestFit="1" customWidth="1"/>
    <col min="14" max="14" width="17.875" customWidth="1"/>
    <col min="15" max="15" width="16.75" bestFit="1" customWidth="1"/>
  </cols>
  <sheetData>
    <row r="1" spans="1:14" x14ac:dyDescent="0.25">
      <c r="A1" s="1" t="s">
        <v>4</v>
      </c>
      <c r="B1" s="1" t="s">
        <v>2114</v>
      </c>
      <c r="D1" s="1" t="s">
        <v>4</v>
      </c>
      <c r="E1" s="1" t="s">
        <v>2113</v>
      </c>
      <c r="H1" s="12" t="s">
        <v>2106</v>
      </c>
      <c r="I1" s="12" t="s">
        <v>2107</v>
      </c>
      <c r="J1" s="12" t="s">
        <v>2108</v>
      </c>
      <c r="K1" s="12" t="s">
        <v>2109</v>
      </c>
      <c r="L1" s="12" t="s">
        <v>2110</v>
      </c>
      <c r="M1" s="12" t="s">
        <v>2111</v>
      </c>
      <c r="N1" s="12" t="s">
        <v>2112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H2" s="12" t="s">
        <v>20</v>
      </c>
      <c r="I2" s="15">
        <f>AVERAGE($B$2:$B$566)</f>
        <v>851.14690265486729</v>
      </c>
      <c r="J2" s="12">
        <f>MEDIAN($B$2:$B$566)</f>
        <v>201</v>
      </c>
      <c r="K2" s="12">
        <f>MIN($B$2:$B$566)</f>
        <v>16</v>
      </c>
      <c r="L2" s="12">
        <f>MAX($B$2:$B$566)</f>
        <v>7295</v>
      </c>
      <c r="M2" s="14">
        <f>_xlfn.VAR.P($B$2:$B$566)</f>
        <v>1603373.7324019109</v>
      </c>
      <c r="N2" s="15">
        <f>_xlfn.STDEV.P($B$2:$B$566)</f>
        <v>1266.2439466397898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s="12" t="s">
        <v>14</v>
      </c>
      <c r="I3" s="15">
        <f>AVERAGE($E$2:$E$566)</f>
        <v>585.61538461538464</v>
      </c>
      <c r="J3" s="12">
        <f>MEDIAN($E$2:$E$566)</f>
        <v>114.5</v>
      </c>
      <c r="K3" s="12">
        <f>MIN($E$2:$E$566)</f>
        <v>0</v>
      </c>
      <c r="L3" s="12">
        <f>MAX($E$2:$E$566)</f>
        <v>6080</v>
      </c>
      <c r="M3" s="13">
        <f>_xlfn.VAR.P($E$2:$E$566)</f>
        <v>921574.68174133555</v>
      </c>
      <c r="N3" s="16">
        <f>_xlfn.STDEV.P($E$2:$E$566)</f>
        <v>959.98681331637863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</row>
    <row r="7" spans="1:14" x14ac:dyDescent="0.25">
      <c r="A7" t="s">
        <v>20</v>
      </c>
      <c r="B7">
        <v>98</v>
      </c>
      <c r="D7" t="s">
        <v>14</v>
      </c>
      <c r="E7">
        <v>27</v>
      </c>
      <c r="J7" s="5"/>
      <c r="M7" s="5"/>
    </row>
    <row r="8" spans="1:14" x14ac:dyDescent="0.25">
      <c r="A8" t="s">
        <v>20</v>
      </c>
      <c r="B8">
        <v>100</v>
      </c>
      <c r="D8" t="s">
        <v>14</v>
      </c>
      <c r="E8">
        <v>55</v>
      </c>
      <c r="J8" s="5"/>
      <c r="M8" s="5"/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15" x14ac:dyDescent="0.25">
      <c r="A17" t="s">
        <v>20</v>
      </c>
      <c r="B17">
        <v>129</v>
      </c>
      <c r="D17" t="s">
        <v>14</v>
      </c>
      <c r="E17">
        <v>1</v>
      </c>
    </row>
    <row r="18" spans="1:15" x14ac:dyDescent="0.25">
      <c r="A18" t="s">
        <v>20</v>
      </c>
      <c r="B18">
        <v>226</v>
      </c>
      <c r="D18" t="s">
        <v>14</v>
      </c>
      <c r="E18">
        <v>1467</v>
      </c>
    </row>
    <row r="19" spans="1:15" x14ac:dyDescent="0.25">
      <c r="A19" t="s">
        <v>20</v>
      </c>
      <c r="B19">
        <v>5419</v>
      </c>
      <c r="D19" t="s">
        <v>14</v>
      </c>
      <c r="E19">
        <v>75</v>
      </c>
    </row>
    <row r="20" spans="1:15" x14ac:dyDescent="0.25">
      <c r="A20" t="s">
        <v>20</v>
      </c>
      <c r="B20">
        <v>165</v>
      </c>
      <c r="D20" t="s">
        <v>14</v>
      </c>
      <c r="E20">
        <v>120</v>
      </c>
    </row>
    <row r="21" spans="1:15" x14ac:dyDescent="0.25">
      <c r="A21" t="s">
        <v>20</v>
      </c>
      <c r="B21">
        <v>1965</v>
      </c>
      <c r="D21" t="s">
        <v>14</v>
      </c>
      <c r="E21">
        <v>2253</v>
      </c>
    </row>
    <row r="22" spans="1:15" x14ac:dyDescent="0.25">
      <c r="A22" t="s">
        <v>20</v>
      </c>
      <c r="B22">
        <v>16</v>
      </c>
      <c r="D22" t="s">
        <v>14</v>
      </c>
      <c r="E22">
        <v>5</v>
      </c>
    </row>
    <row r="23" spans="1:15" x14ac:dyDescent="0.25">
      <c r="A23" t="s">
        <v>20</v>
      </c>
      <c r="B23">
        <v>107</v>
      </c>
      <c r="D23" t="s">
        <v>14</v>
      </c>
      <c r="E23">
        <v>38</v>
      </c>
    </row>
    <row r="24" spans="1:15" x14ac:dyDescent="0.25">
      <c r="A24" t="s">
        <v>20</v>
      </c>
      <c r="B24">
        <v>134</v>
      </c>
      <c r="D24" t="s">
        <v>14</v>
      </c>
      <c r="E24">
        <v>12</v>
      </c>
    </row>
    <row r="25" spans="1:15" x14ac:dyDescent="0.25">
      <c r="A25" t="s">
        <v>20</v>
      </c>
      <c r="B25">
        <v>198</v>
      </c>
      <c r="D25" t="s">
        <v>14</v>
      </c>
      <c r="E25">
        <v>1684</v>
      </c>
    </row>
    <row r="26" spans="1:15" x14ac:dyDescent="0.25">
      <c r="A26" t="s">
        <v>20</v>
      </c>
      <c r="B26">
        <v>111</v>
      </c>
      <c r="D26" t="s">
        <v>14</v>
      </c>
      <c r="E26">
        <v>56</v>
      </c>
    </row>
    <row r="27" spans="1:15" x14ac:dyDescent="0.25">
      <c r="A27" t="s">
        <v>20</v>
      </c>
      <c r="B27">
        <v>222</v>
      </c>
      <c r="D27" t="s">
        <v>14</v>
      </c>
      <c r="E27">
        <v>838</v>
      </c>
    </row>
    <row r="28" spans="1:15" x14ac:dyDescent="0.25">
      <c r="A28" t="s">
        <v>20</v>
      </c>
      <c r="B28">
        <v>6212</v>
      </c>
      <c r="D28" t="s">
        <v>14</v>
      </c>
      <c r="E28">
        <v>1000</v>
      </c>
    </row>
    <row r="29" spans="1:15" x14ac:dyDescent="0.25">
      <c r="A29" t="s">
        <v>20</v>
      </c>
      <c r="B29">
        <v>98</v>
      </c>
      <c r="D29" t="s">
        <v>14</v>
      </c>
      <c r="E29">
        <v>1482</v>
      </c>
    </row>
    <row r="30" spans="1:15" x14ac:dyDescent="0.25">
      <c r="A30" t="s">
        <v>20</v>
      </c>
      <c r="B30">
        <v>92</v>
      </c>
      <c r="D30" t="s">
        <v>14</v>
      </c>
      <c r="E30">
        <v>106</v>
      </c>
    </row>
    <row r="31" spans="1:15" x14ac:dyDescent="0.25">
      <c r="A31" t="s">
        <v>20</v>
      </c>
      <c r="B31">
        <v>149</v>
      </c>
      <c r="D31" t="s">
        <v>14</v>
      </c>
      <c r="E31">
        <v>679</v>
      </c>
      <c r="H31" s="17" t="s">
        <v>2115</v>
      </c>
      <c r="I31" s="17"/>
      <c r="J31" s="17"/>
      <c r="K31" s="17"/>
      <c r="L31" s="17"/>
      <c r="M31" s="17"/>
      <c r="N31" s="17"/>
      <c r="O31" s="17"/>
    </row>
    <row r="32" spans="1:15" x14ac:dyDescent="0.25">
      <c r="A32" t="s">
        <v>20</v>
      </c>
      <c r="B32">
        <v>2431</v>
      </c>
      <c r="D32" t="s">
        <v>14</v>
      </c>
      <c r="E32">
        <v>1220</v>
      </c>
      <c r="H32" s="17"/>
      <c r="I32" s="17"/>
      <c r="J32" s="17"/>
      <c r="K32" s="17"/>
      <c r="L32" s="17"/>
      <c r="M32" s="17"/>
      <c r="N32" s="17"/>
      <c r="O32" s="17"/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1">
    <mergeCell ref="H31:O32"/>
  </mergeCells>
  <conditionalFormatting sqref="A1:A1001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"successful"</formula>
    </cfRule>
    <cfRule type="cellIs" dxfId="8" priority="16" operator="equal">
      <formula>"failed"</formula>
    </cfRule>
  </conditionalFormatting>
  <conditionalFormatting sqref="D1:D566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H2:H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McMullen</cp:lastModifiedBy>
  <dcterms:created xsi:type="dcterms:W3CDTF">2021-09-29T18:52:28Z</dcterms:created>
  <dcterms:modified xsi:type="dcterms:W3CDTF">2024-05-03T03:33:17Z</dcterms:modified>
</cp:coreProperties>
</file>