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AB0D744-AE9B-449E-A39A-34237534CE32}" xr6:coauthVersionLast="43" xr6:coauthVersionMax="47" xr10:uidLastSave="{00000000-0000-0000-0000-000000000000}"/>
  <bookViews>
    <workbookView xWindow="-110" yWindow="-110" windowWidth="19420" windowHeight="10300" firstSheet="7" activeTab="11" xr2:uid="{D4886810-D9CC-4231-AA87-2302A306BB27}"/>
  </bookViews>
  <sheets>
    <sheet name="Data&gt;" sheetId="13" r:id="rId1"/>
    <sheet name="Financials&gt;" sheetId="11" r:id="rId2"/>
    <sheet name="Ratio Analysis" sheetId="15" r:id="rId3"/>
    <sheet name="Regression Analysis" sheetId="16" r:id="rId4"/>
    <sheet name="Forecasting" sheetId="17" r:id="rId5"/>
    <sheet name="Cash Flow Data" sheetId="14" r:id="rId6"/>
    <sheet name="Common Size Statement" sheetId="18" r:id="rId7"/>
    <sheet name="Data Room&gt;" sheetId="19" r:id="rId8"/>
    <sheet name="HistoricalFS" sheetId="12" r:id="rId9"/>
    <sheet name="Data Sheet" sheetId="2" r:id="rId10"/>
    <sheet name="Raw FS" sheetId="20" r:id="rId11"/>
    <sheet name="DCF" sheetId="22" r:id="rId12"/>
    <sheet name="Intrisic Growth" sheetId="21" r:id="rId1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22" l="1"/>
  <c r="E22" i="22"/>
  <c r="E35" i="22" l="1"/>
  <c r="E33" i="22"/>
  <c r="E32" i="22"/>
  <c r="G10" i="22"/>
  <c r="H9" i="22"/>
  <c r="H10" i="22" s="1"/>
  <c r="I9" i="22" l="1"/>
  <c r="I10" i="22" s="1"/>
  <c r="J9" i="22"/>
  <c r="K9" i="22" l="1"/>
  <c r="K10" i="22" s="1"/>
  <c r="J10" i="22"/>
  <c r="F7" i="22" l="1"/>
  <c r="G7" i="22" s="1"/>
  <c r="H7" i="22" s="1"/>
  <c r="I7" i="22" s="1"/>
  <c r="J7" i="22" s="1"/>
  <c r="G5" i="22" l="1"/>
  <c r="H5" i="22" s="1"/>
  <c r="I5" i="22" s="1"/>
  <c r="J5" i="22" s="1"/>
  <c r="K5" i="22" s="1"/>
  <c r="F4" i="22" l="1"/>
  <c r="F2" i="22"/>
  <c r="G2" i="22" s="1"/>
  <c r="H2" i="22" s="1"/>
  <c r="I2" i="22" s="1"/>
  <c r="J2" i="22" s="1"/>
  <c r="K2" i="22" s="1"/>
  <c r="G4" i="22" l="1"/>
  <c r="F6" i="22"/>
  <c r="F8" i="22" s="1"/>
  <c r="F20" i="21"/>
  <c r="H4" i="22" l="1"/>
  <c r="G6" i="22"/>
  <c r="G8" i="22" s="1"/>
  <c r="G12" i="22" s="1"/>
  <c r="J62" i="21"/>
  <c r="J61" i="21"/>
  <c r="J59" i="21"/>
  <c r="I59" i="21"/>
  <c r="H59" i="21"/>
  <c r="G59" i="21"/>
  <c r="J57" i="21"/>
  <c r="I57" i="21"/>
  <c r="H57" i="21"/>
  <c r="G57" i="21"/>
  <c r="J56" i="21"/>
  <c r="I56" i="21"/>
  <c r="H56" i="21"/>
  <c r="G56" i="21"/>
  <c r="G40" i="21"/>
  <c r="H40" i="21"/>
  <c r="I40" i="21"/>
  <c r="J40" i="21"/>
  <c r="F40" i="21"/>
  <c r="I4" i="22" l="1"/>
  <c r="H6" i="22"/>
  <c r="H8" i="22" s="1"/>
  <c r="H12" i="22" s="1"/>
  <c r="C27" i="12"/>
  <c r="G33" i="21"/>
  <c r="G43" i="21" s="1"/>
  <c r="G45" i="21" s="1"/>
  <c r="H33" i="21"/>
  <c r="H43" i="21" s="1"/>
  <c r="H45" i="21" s="1"/>
  <c r="I33" i="21"/>
  <c r="I43" i="21" s="1"/>
  <c r="I45" i="21" s="1"/>
  <c r="J33" i="21"/>
  <c r="J43" i="21" s="1"/>
  <c r="J45" i="21" s="1"/>
  <c r="F33" i="21"/>
  <c r="F43" i="21" s="1"/>
  <c r="F45" i="21" s="1"/>
  <c r="G29" i="21"/>
  <c r="H29" i="21"/>
  <c r="I29" i="21"/>
  <c r="J29" i="21"/>
  <c r="F29" i="21"/>
  <c r="F21" i="21"/>
  <c r="G21" i="21"/>
  <c r="H21" i="21"/>
  <c r="I21" i="21"/>
  <c r="J21" i="21"/>
  <c r="F22" i="21"/>
  <c r="G22" i="21"/>
  <c r="H22" i="21"/>
  <c r="I22" i="21"/>
  <c r="J22" i="21"/>
  <c r="F23" i="21"/>
  <c r="G23" i="21"/>
  <c r="H23" i="21"/>
  <c r="I23" i="21"/>
  <c r="J23" i="21"/>
  <c r="F24" i="21"/>
  <c r="G24" i="21"/>
  <c r="H24" i="21"/>
  <c r="I24" i="21"/>
  <c r="J24" i="21"/>
  <c r="F25" i="21"/>
  <c r="G25" i="21"/>
  <c r="H25" i="21"/>
  <c r="I25" i="21"/>
  <c r="J25" i="21"/>
  <c r="F26" i="21"/>
  <c r="G26" i="21"/>
  <c r="H26" i="21"/>
  <c r="I26" i="21"/>
  <c r="J26" i="21"/>
  <c r="F27" i="21"/>
  <c r="G27" i="21"/>
  <c r="H27" i="21"/>
  <c r="I27" i="21"/>
  <c r="J27" i="21"/>
  <c r="G20" i="21"/>
  <c r="H20" i="21"/>
  <c r="I20" i="21"/>
  <c r="J20" i="21"/>
  <c r="B21" i="21"/>
  <c r="B22" i="21"/>
  <c r="B23" i="21"/>
  <c r="B24" i="21"/>
  <c r="B25" i="21"/>
  <c r="B26" i="21"/>
  <c r="B27" i="21"/>
  <c r="B20" i="21"/>
  <c r="F14" i="21"/>
  <c r="G14" i="21"/>
  <c r="H14" i="21"/>
  <c r="I14" i="21"/>
  <c r="J14" i="21"/>
  <c r="F13" i="21"/>
  <c r="G13" i="21"/>
  <c r="H13" i="21"/>
  <c r="I13" i="21"/>
  <c r="J13" i="21"/>
  <c r="G12" i="21"/>
  <c r="H12" i="21"/>
  <c r="I12" i="21"/>
  <c r="J12" i="21"/>
  <c r="F12" i="21"/>
  <c r="B14" i="21"/>
  <c r="B13" i="21"/>
  <c r="B12" i="21"/>
  <c r="F8" i="21"/>
  <c r="G8" i="21"/>
  <c r="H8" i="21"/>
  <c r="I8" i="21"/>
  <c r="J8" i="21"/>
  <c r="G7" i="21"/>
  <c r="H7" i="21"/>
  <c r="I7" i="21"/>
  <c r="J7" i="21"/>
  <c r="F7" i="21"/>
  <c r="F6" i="21"/>
  <c r="G6" i="21"/>
  <c r="H6" i="21"/>
  <c r="I6" i="21"/>
  <c r="J6" i="21"/>
  <c r="G5" i="21"/>
  <c r="H5" i="21"/>
  <c r="I5" i="21"/>
  <c r="J5" i="21"/>
  <c r="F5" i="21"/>
  <c r="B8" i="21"/>
  <c r="B7" i="21"/>
  <c r="B6" i="21"/>
  <c r="B5" i="21"/>
  <c r="D28" i="20"/>
  <c r="E28" i="20"/>
  <c r="F28" i="20"/>
  <c r="G28" i="20"/>
  <c r="H28" i="20"/>
  <c r="I28" i="20"/>
  <c r="J28" i="20"/>
  <c r="K28" i="20"/>
  <c r="L28" i="20"/>
  <c r="M28" i="20"/>
  <c r="N28" i="20"/>
  <c r="C28" i="20"/>
  <c r="J4" i="22" l="1"/>
  <c r="I6" i="22"/>
  <c r="I8" i="22" s="1"/>
  <c r="I12" i="22" s="1"/>
  <c r="H28" i="21"/>
  <c r="H30" i="21" s="1"/>
  <c r="G28" i="21"/>
  <c r="G30" i="21" s="1"/>
  <c r="F28" i="21"/>
  <c r="F30" i="21" s="1"/>
  <c r="J28" i="21"/>
  <c r="J30" i="21" s="1"/>
  <c r="I28" i="21"/>
  <c r="I30" i="21" s="1"/>
  <c r="J9" i="21"/>
  <c r="I15" i="21"/>
  <c r="J15" i="21"/>
  <c r="I9" i="21"/>
  <c r="G15" i="21"/>
  <c r="H9" i="21"/>
  <c r="F15" i="21"/>
  <c r="H15" i="21"/>
  <c r="F9" i="21"/>
  <c r="G9" i="21"/>
  <c r="C39" i="18"/>
  <c r="D39" i="18"/>
  <c r="E39" i="18"/>
  <c r="F39" i="18"/>
  <c r="G39" i="18"/>
  <c r="H39" i="18"/>
  <c r="I39" i="18"/>
  <c r="J39" i="18"/>
  <c r="K39" i="18"/>
  <c r="L39" i="18"/>
  <c r="C40" i="18"/>
  <c r="D40" i="18"/>
  <c r="E40" i="18"/>
  <c r="F40" i="18"/>
  <c r="G40" i="18"/>
  <c r="H40" i="18"/>
  <c r="I40" i="18"/>
  <c r="J40" i="18"/>
  <c r="K40" i="18"/>
  <c r="L40" i="18"/>
  <c r="D38" i="18"/>
  <c r="E38" i="18"/>
  <c r="F38" i="18"/>
  <c r="G38" i="18"/>
  <c r="H38" i="18"/>
  <c r="I38" i="18"/>
  <c r="J38" i="18"/>
  <c r="K38" i="18"/>
  <c r="L38" i="18"/>
  <c r="C38" i="18"/>
  <c r="D37" i="18"/>
  <c r="E37" i="18"/>
  <c r="F37" i="18"/>
  <c r="G37" i="18"/>
  <c r="H37" i="18"/>
  <c r="I37" i="18"/>
  <c r="J37" i="18"/>
  <c r="K37" i="18"/>
  <c r="L37" i="18"/>
  <c r="C37" i="18"/>
  <c r="C35" i="18"/>
  <c r="D35" i="18"/>
  <c r="E35" i="18"/>
  <c r="F35" i="18"/>
  <c r="G35" i="18"/>
  <c r="H35" i="18"/>
  <c r="I35" i="18"/>
  <c r="J35" i="18"/>
  <c r="K35" i="18"/>
  <c r="L35" i="18"/>
  <c r="C36" i="18"/>
  <c r="D36" i="18"/>
  <c r="E36" i="18"/>
  <c r="F36" i="18"/>
  <c r="G36" i="18"/>
  <c r="H36" i="18"/>
  <c r="I36" i="18"/>
  <c r="J36" i="18"/>
  <c r="K36" i="18"/>
  <c r="L36" i="18"/>
  <c r="D34" i="18"/>
  <c r="E34" i="18"/>
  <c r="F34" i="18"/>
  <c r="G34" i="18"/>
  <c r="H34" i="18"/>
  <c r="I34" i="18"/>
  <c r="J34" i="18"/>
  <c r="K34" i="18"/>
  <c r="L34" i="18"/>
  <c r="C34" i="18"/>
  <c r="C33" i="18"/>
  <c r="D33" i="18"/>
  <c r="E33" i="18"/>
  <c r="F33" i="18"/>
  <c r="G33" i="18"/>
  <c r="H33" i="18"/>
  <c r="I33" i="18"/>
  <c r="J33" i="18"/>
  <c r="K33" i="18"/>
  <c r="L33" i="18"/>
  <c r="C74" i="2"/>
  <c r="D74" i="2"/>
  <c r="E74" i="2"/>
  <c r="F74" i="2"/>
  <c r="G74" i="2"/>
  <c r="H74" i="2"/>
  <c r="I74" i="2"/>
  <c r="J74" i="2"/>
  <c r="K74" i="2"/>
  <c r="B74" i="2"/>
  <c r="H73" i="2"/>
  <c r="C76" i="2"/>
  <c r="D76" i="2"/>
  <c r="E76" i="2"/>
  <c r="F76" i="2"/>
  <c r="G76" i="2"/>
  <c r="H76" i="2"/>
  <c r="I76" i="2"/>
  <c r="J76" i="2"/>
  <c r="K76" i="2"/>
  <c r="B76" i="2"/>
  <c r="C29" i="18"/>
  <c r="D29" i="18"/>
  <c r="E29" i="18"/>
  <c r="F29" i="18"/>
  <c r="G29" i="18"/>
  <c r="H29" i="18"/>
  <c r="I29" i="18"/>
  <c r="J29" i="18"/>
  <c r="K29" i="18"/>
  <c r="L29" i="18"/>
  <c r="C30" i="18"/>
  <c r="D30" i="18"/>
  <c r="E30" i="18"/>
  <c r="F30" i="18"/>
  <c r="G30" i="18"/>
  <c r="H30" i="18"/>
  <c r="I30" i="18"/>
  <c r="J30" i="18"/>
  <c r="K30" i="18"/>
  <c r="L30" i="18"/>
  <c r="C31" i="18"/>
  <c r="D31" i="18"/>
  <c r="E31" i="18"/>
  <c r="F31" i="18"/>
  <c r="G31" i="18"/>
  <c r="H31" i="18"/>
  <c r="I31" i="18"/>
  <c r="J31" i="18"/>
  <c r="K31" i="18"/>
  <c r="L31" i="18"/>
  <c r="D28" i="18"/>
  <c r="E28" i="18"/>
  <c r="F28" i="18"/>
  <c r="G28" i="18"/>
  <c r="H28" i="18"/>
  <c r="I28" i="18"/>
  <c r="J28" i="18"/>
  <c r="K28" i="18"/>
  <c r="L28" i="18"/>
  <c r="C28" i="18"/>
  <c r="D27" i="18"/>
  <c r="E27" i="18"/>
  <c r="F27" i="18"/>
  <c r="G27" i="18"/>
  <c r="H27" i="18"/>
  <c r="I27" i="18"/>
  <c r="J27" i="18"/>
  <c r="K27" i="18"/>
  <c r="L27" i="18"/>
  <c r="C27" i="18"/>
  <c r="L25" i="18"/>
  <c r="K25" i="18"/>
  <c r="J25" i="18"/>
  <c r="I25" i="18"/>
  <c r="H25" i="18"/>
  <c r="G25" i="18"/>
  <c r="F25" i="18"/>
  <c r="E25" i="18"/>
  <c r="D25" i="18"/>
  <c r="C25" i="18"/>
  <c r="D4" i="18"/>
  <c r="E4" i="18"/>
  <c r="F4" i="18"/>
  <c r="G4" i="18"/>
  <c r="H4" i="18"/>
  <c r="I4" i="18"/>
  <c r="J4" i="18"/>
  <c r="K4" i="18"/>
  <c r="L4" i="18"/>
  <c r="C4" i="18"/>
  <c r="B29" i="18"/>
  <c r="B30" i="18"/>
  <c r="B31" i="18"/>
  <c r="B34" i="18"/>
  <c r="B35" i="18"/>
  <c r="B36" i="18"/>
  <c r="B37" i="18"/>
  <c r="B38" i="18"/>
  <c r="B39" i="18"/>
  <c r="B40" i="18"/>
  <c r="B28" i="18"/>
  <c r="B23" i="18"/>
  <c r="D21" i="18"/>
  <c r="E21" i="18"/>
  <c r="F21" i="18"/>
  <c r="G21" i="18"/>
  <c r="H21" i="18"/>
  <c r="I21" i="18"/>
  <c r="J21" i="18"/>
  <c r="K21" i="18"/>
  <c r="L21" i="18"/>
  <c r="C21" i="18"/>
  <c r="C7" i="18"/>
  <c r="D7" i="18"/>
  <c r="E7" i="18"/>
  <c r="F7" i="18"/>
  <c r="G7" i="18"/>
  <c r="H7" i="18"/>
  <c r="I7" i="18"/>
  <c r="J7" i="18"/>
  <c r="K7" i="18"/>
  <c r="L7" i="18"/>
  <c r="C8" i="18"/>
  <c r="D8" i="18"/>
  <c r="E8" i="18"/>
  <c r="F8" i="18"/>
  <c r="G8" i="18"/>
  <c r="H8" i="18"/>
  <c r="I8" i="18"/>
  <c r="J8" i="18"/>
  <c r="K8" i="18"/>
  <c r="L8" i="18"/>
  <c r="C9" i="18"/>
  <c r="D9" i="18"/>
  <c r="E9" i="18"/>
  <c r="F9" i="18"/>
  <c r="G9" i="18"/>
  <c r="H9" i="18"/>
  <c r="I9" i="18"/>
  <c r="J9" i="18"/>
  <c r="K9" i="18"/>
  <c r="L9" i="18"/>
  <c r="C10" i="18"/>
  <c r="D10" i="18"/>
  <c r="E10" i="18"/>
  <c r="F10" i="18"/>
  <c r="G10" i="18"/>
  <c r="H10" i="18"/>
  <c r="I10" i="18"/>
  <c r="J10" i="18"/>
  <c r="K10" i="18"/>
  <c r="L10" i="18"/>
  <c r="C11" i="18"/>
  <c r="D11" i="18"/>
  <c r="E11" i="18"/>
  <c r="F11" i="18"/>
  <c r="G11" i="18"/>
  <c r="H11" i="18"/>
  <c r="I11" i="18"/>
  <c r="J11" i="18"/>
  <c r="K11" i="18"/>
  <c r="L11" i="18"/>
  <c r="C12" i="18"/>
  <c r="D12" i="18"/>
  <c r="E12" i="18"/>
  <c r="F12" i="18"/>
  <c r="G12" i="18"/>
  <c r="H12" i="18"/>
  <c r="I12" i="18"/>
  <c r="J12" i="18"/>
  <c r="K12" i="18"/>
  <c r="L12" i="18"/>
  <c r="C13" i="18"/>
  <c r="D13" i="18"/>
  <c r="E13" i="18"/>
  <c r="F13" i="18"/>
  <c r="G13" i="18"/>
  <c r="H13" i="18"/>
  <c r="I13" i="18"/>
  <c r="J13" i="18"/>
  <c r="K13" i="18"/>
  <c r="L13" i="18"/>
  <c r="C14" i="18"/>
  <c r="D14" i="18"/>
  <c r="E14" i="18"/>
  <c r="F14" i="18"/>
  <c r="G14" i="18"/>
  <c r="H14" i="18"/>
  <c r="I14" i="18"/>
  <c r="J14" i="18"/>
  <c r="K14" i="18"/>
  <c r="L14" i="18"/>
  <c r="C15" i="18"/>
  <c r="D15" i="18"/>
  <c r="E15" i="18"/>
  <c r="F15" i="18"/>
  <c r="G15" i="18"/>
  <c r="H15" i="18"/>
  <c r="I15" i="18"/>
  <c r="J15" i="18"/>
  <c r="K15" i="18"/>
  <c r="L15" i="18"/>
  <c r="C16" i="18"/>
  <c r="D16" i="18"/>
  <c r="E16" i="18"/>
  <c r="F16" i="18"/>
  <c r="G16" i="18"/>
  <c r="H16" i="18"/>
  <c r="I16" i="18"/>
  <c r="J16" i="18"/>
  <c r="K16" i="18"/>
  <c r="L16" i="18"/>
  <c r="C17" i="18"/>
  <c r="D17" i="18"/>
  <c r="E17" i="18"/>
  <c r="F17" i="18"/>
  <c r="G17" i="18"/>
  <c r="H17" i="18"/>
  <c r="I17" i="18"/>
  <c r="J17" i="18"/>
  <c r="K17" i="18"/>
  <c r="L17" i="18"/>
  <c r="C18" i="18"/>
  <c r="D18" i="18"/>
  <c r="E18" i="18"/>
  <c r="F18" i="18"/>
  <c r="G18" i="18"/>
  <c r="H18" i="18"/>
  <c r="I18" i="18"/>
  <c r="J18" i="18"/>
  <c r="K18" i="18"/>
  <c r="L18" i="18"/>
  <c r="C19" i="18"/>
  <c r="D19" i="18"/>
  <c r="E19" i="18"/>
  <c r="F19" i="18"/>
  <c r="G19" i="18"/>
  <c r="H19" i="18"/>
  <c r="I19" i="18"/>
  <c r="J19" i="18"/>
  <c r="K19" i="18"/>
  <c r="L19" i="18"/>
  <c r="C20" i="18"/>
  <c r="D20" i="18"/>
  <c r="E20" i="18"/>
  <c r="F20" i="18"/>
  <c r="G20" i="18"/>
  <c r="H20" i="18"/>
  <c r="I20" i="18"/>
  <c r="J20" i="18"/>
  <c r="K20" i="18"/>
  <c r="L20" i="18"/>
  <c r="D6" i="18"/>
  <c r="E6" i="18"/>
  <c r="F6" i="18"/>
  <c r="G6" i="18"/>
  <c r="H6" i="18"/>
  <c r="I6" i="18"/>
  <c r="J6" i="18"/>
  <c r="K6" i="18"/>
  <c r="L6" i="18"/>
  <c r="C6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2" i="18"/>
  <c r="K4" i="22" l="1"/>
  <c r="K6" i="22" s="1"/>
  <c r="K8" i="22" s="1"/>
  <c r="J6" i="22"/>
  <c r="J8" i="22" s="1"/>
  <c r="J12" i="22" s="1"/>
  <c r="J17" i="21"/>
  <c r="G17" i="21"/>
  <c r="I17" i="21"/>
  <c r="H17" i="21"/>
  <c r="F17" i="21"/>
  <c r="F32" i="21" s="1"/>
  <c r="F35" i="21" s="1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5" i="17"/>
  <c r="M4" i="17"/>
  <c r="N15" i="17"/>
  <c r="N16" i="17"/>
  <c r="N17" i="17"/>
  <c r="N18" i="17"/>
  <c r="N14" i="17"/>
  <c r="N4" i="17" a="1"/>
  <c r="N4" i="17" s="1"/>
  <c r="N7" i="17"/>
  <c r="N11" i="17"/>
  <c r="L2" i="17"/>
  <c r="G2" i="17"/>
  <c r="L7" i="17"/>
  <c r="L8" i="17" s="1"/>
  <c r="L9" i="17" s="1"/>
  <c r="L10" i="17" s="1"/>
  <c r="L11" i="17" s="1"/>
  <c r="L12" i="17" s="1"/>
  <c r="L13" i="17" s="1"/>
  <c r="L14" i="17" s="1"/>
  <c r="L6" i="17"/>
  <c r="L5" i="17"/>
  <c r="M5" i="17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B2" i="17"/>
  <c r="I15" i="17"/>
  <c r="I16" i="17"/>
  <c r="I17" i="17"/>
  <c r="I18" i="17"/>
  <c r="I14" i="17"/>
  <c r="I4" i="17" a="1"/>
  <c r="I4" i="17" s="1"/>
  <c r="H4" i="17"/>
  <c r="G6" i="17"/>
  <c r="G7" i="17" s="1"/>
  <c r="G8" i="17" s="1"/>
  <c r="G9" i="17" s="1"/>
  <c r="G10" i="17" s="1"/>
  <c r="G11" i="17" s="1"/>
  <c r="G12" i="17" s="1"/>
  <c r="G13" i="17" s="1"/>
  <c r="G14" i="17" s="1"/>
  <c r="G5" i="17"/>
  <c r="H5" i="17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D16" i="17"/>
  <c r="D15" i="17"/>
  <c r="D17" i="17"/>
  <c r="D18" i="17"/>
  <c r="D14" i="17"/>
  <c r="D4" i="17" a="1"/>
  <c r="D4" i="17" s="1"/>
  <c r="C4" i="17"/>
  <c r="B6" i="17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5" i="17"/>
  <c r="C5" i="17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3" i="16"/>
  <c r="C14" i="16"/>
  <c r="C15" i="16" s="1"/>
  <c r="C16" i="16" s="1"/>
  <c r="C17" i="16" s="1"/>
  <c r="C5" i="16"/>
  <c r="C6" i="16" s="1"/>
  <c r="C7" i="16" s="1"/>
  <c r="C8" i="16" s="1"/>
  <c r="C9" i="16" s="1"/>
  <c r="C10" i="16" s="1"/>
  <c r="C11" i="16" s="1"/>
  <c r="C12" i="16" s="1"/>
  <c r="C4" i="16"/>
  <c r="C3" i="16"/>
  <c r="E15" i="16"/>
  <c r="E16" i="16"/>
  <c r="E17" i="16"/>
  <c r="D16" i="16"/>
  <c r="D17" i="16"/>
  <c r="D15" i="16"/>
  <c r="B15" i="16"/>
  <c r="B16" i="16"/>
  <c r="B17" i="16"/>
  <c r="K12" i="22" l="1"/>
  <c r="E28" i="22" s="1"/>
  <c r="E20" i="22"/>
  <c r="E23" i="22" s="1"/>
  <c r="E29" i="22" s="1"/>
  <c r="H32" i="21"/>
  <c r="H35" i="21" s="1"/>
  <c r="H41" i="21"/>
  <c r="H47" i="21" s="1"/>
  <c r="H49" i="21" s="1"/>
  <c r="I32" i="21"/>
  <c r="I35" i="21" s="1"/>
  <c r="I41" i="21"/>
  <c r="I47" i="21" s="1"/>
  <c r="I49" i="21" s="1"/>
  <c r="G32" i="21"/>
  <c r="G35" i="21" s="1"/>
  <c r="G41" i="21"/>
  <c r="G47" i="21" s="1"/>
  <c r="G49" i="21" s="1"/>
  <c r="J32" i="21"/>
  <c r="J35" i="21" s="1"/>
  <c r="J41" i="21"/>
  <c r="J47" i="21" s="1"/>
  <c r="J49" i="21" s="1"/>
  <c r="N10" i="17"/>
  <c r="N6" i="17"/>
  <c r="N13" i="17"/>
  <c r="N9" i="17"/>
  <c r="N5" i="17"/>
  <c r="N12" i="17"/>
  <c r="N8" i="17"/>
  <c r="L15" i="17"/>
  <c r="I7" i="17"/>
  <c r="I6" i="17"/>
  <c r="I13" i="17"/>
  <c r="I9" i="17"/>
  <c r="I5" i="17"/>
  <c r="I11" i="17"/>
  <c r="I10" i="17"/>
  <c r="I12" i="17"/>
  <c r="I8" i="17"/>
  <c r="G15" i="17"/>
  <c r="D7" i="17"/>
  <c r="D10" i="17"/>
  <c r="D6" i="17"/>
  <c r="D13" i="17"/>
  <c r="D9" i="17"/>
  <c r="D5" i="17"/>
  <c r="D11" i="17"/>
  <c r="D12" i="17"/>
  <c r="D8" i="17"/>
  <c r="B17" i="17"/>
  <c r="E30" i="22" l="1"/>
  <c r="G19" i="22" s="1"/>
  <c r="J52" i="21"/>
  <c r="J51" i="21"/>
  <c r="L16" i="17"/>
  <c r="G16" i="17"/>
  <c r="B18" i="17"/>
  <c r="E34" i="22" l="1"/>
  <c r="E37" i="22" s="1"/>
  <c r="E40" i="22" s="1"/>
  <c r="L17" i="17"/>
  <c r="G17" i="17"/>
  <c r="L18" i="17" l="1"/>
  <c r="G18" i="17"/>
  <c r="E5" i="16"/>
  <c r="E6" i="16"/>
  <c r="E7" i="16"/>
  <c r="E8" i="16"/>
  <c r="E9" i="16"/>
  <c r="E10" i="16"/>
  <c r="E11" i="16"/>
  <c r="E12" i="16"/>
  <c r="E13" i="16"/>
  <c r="E14" i="16"/>
  <c r="E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C3" i="15" l="1"/>
  <c r="D3" i="15"/>
  <c r="E3" i="15"/>
  <c r="F3" i="15"/>
  <c r="G3" i="15"/>
  <c r="H3" i="15"/>
  <c r="I3" i="15"/>
  <c r="J3" i="15"/>
  <c r="K3" i="15"/>
  <c r="L3" i="15"/>
  <c r="N33" i="15"/>
  <c r="N38" i="15"/>
  <c r="O40" i="15"/>
  <c r="N40" i="15"/>
  <c r="O39" i="15"/>
  <c r="N39" i="15"/>
  <c r="O38" i="15"/>
  <c r="O36" i="15"/>
  <c r="N36" i="15"/>
  <c r="O35" i="15"/>
  <c r="N35" i="15"/>
  <c r="O34" i="15"/>
  <c r="N34" i="15"/>
  <c r="O33" i="15"/>
  <c r="O31" i="15"/>
  <c r="N31" i="15"/>
  <c r="O30" i="15"/>
  <c r="N30" i="15"/>
  <c r="O29" i="15"/>
  <c r="N29" i="15"/>
  <c r="O28" i="15"/>
  <c r="N28" i="15"/>
  <c r="O27" i="15"/>
  <c r="N27" i="15"/>
  <c r="O25" i="15"/>
  <c r="N25" i="15"/>
  <c r="O24" i="15"/>
  <c r="N24" i="15"/>
  <c r="O23" i="15"/>
  <c r="N23" i="15"/>
  <c r="O22" i="15"/>
  <c r="N22" i="15"/>
  <c r="N21" i="15"/>
  <c r="O19" i="15"/>
  <c r="N19" i="15"/>
  <c r="O18" i="15"/>
  <c r="N18" i="15"/>
  <c r="O17" i="15"/>
  <c r="N17" i="15"/>
  <c r="O15" i="15"/>
  <c r="N15" i="15"/>
  <c r="O14" i="15"/>
  <c r="N14" i="15"/>
  <c r="O13" i="15"/>
  <c r="N13" i="15"/>
  <c r="O12" i="15"/>
  <c r="N12" i="15"/>
  <c r="O11" i="15"/>
  <c r="N11" i="15"/>
  <c r="O9" i="15"/>
  <c r="N9" i="15"/>
  <c r="O8" i="15"/>
  <c r="N8" i="15"/>
  <c r="O6" i="15"/>
  <c r="N6" i="15"/>
  <c r="O5" i="15"/>
  <c r="N5" i="15"/>
  <c r="L40" i="15"/>
  <c r="K40" i="15"/>
  <c r="J40" i="15"/>
  <c r="I40" i="15"/>
  <c r="H40" i="15"/>
  <c r="G40" i="15"/>
  <c r="F40" i="15"/>
  <c r="E40" i="15"/>
  <c r="D40" i="15"/>
  <c r="L39" i="15"/>
  <c r="K39" i="15"/>
  <c r="J39" i="15"/>
  <c r="I39" i="15"/>
  <c r="H39" i="15"/>
  <c r="G39" i="15"/>
  <c r="F39" i="15"/>
  <c r="E39" i="15"/>
  <c r="D39" i="15"/>
  <c r="L38" i="15"/>
  <c r="K38" i="15"/>
  <c r="J38" i="15"/>
  <c r="I38" i="15"/>
  <c r="H38" i="15"/>
  <c r="G38" i="15"/>
  <c r="F38" i="15"/>
  <c r="E38" i="15"/>
  <c r="D38" i="15"/>
  <c r="C40" i="15"/>
  <c r="C39" i="15"/>
  <c r="C38" i="15"/>
  <c r="J36" i="15"/>
  <c r="I36" i="15"/>
  <c r="E36" i="15"/>
  <c r="L35" i="15"/>
  <c r="K35" i="15"/>
  <c r="J35" i="15"/>
  <c r="I35" i="15"/>
  <c r="H35" i="15"/>
  <c r="G35" i="15"/>
  <c r="F35" i="15"/>
  <c r="F36" i="15" s="1"/>
  <c r="E35" i="15"/>
  <c r="D35" i="15"/>
  <c r="L34" i="15"/>
  <c r="L36" i="15" s="1"/>
  <c r="K34" i="15"/>
  <c r="K36" i="15" s="1"/>
  <c r="J34" i="15"/>
  <c r="I34" i="15"/>
  <c r="H34" i="15"/>
  <c r="H36" i="15" s="1"/>
  <c r="G34" i="15"/>
  <c r="G36" i="15" s="1"/>
  <c r="F34" i="15"/>
  <c r="E34" i="15"/>
  <c r="D34" i="15"/>
  <c r="D36" i="15" s="1"/>
  <c r="L33" i="15"/>
  <c r="K33" i="15"/>
  <c r="J33" i="15"/>
  <c r="I33" i="15"/>
  <c r="H33" i="15"/>
  <c r="G33" i="15"/>
  <c r="F33" i="15"/>
  <c r="E33" i="15"/>
  <c r="D33" i="15"/>
  <c r="C36" i="15"/>
  <c r="C35" i="15"/>
  <c r="C34" i="15"/>
  <c r="C33" i="15"/>
  <c r="L31" i="15"/>
  <c r="K31" i="15"/>
  <c r="J31" i="15"/>
  <c r="I31" i="15"/>
  <c r="H31" i="15"/>
  <c r="G31" i="15"/>
  <c r="F31" i="15"/>
  <c r="E31" i="15"/>
  <c r="D31" i="15"/>
  <c r="L30" i="15"/>
  <c r="K30" i="15"/>
  <c r="J30" i="15"/>
  <c r="I30" i="15"/>
  <c r="H30" i="15"/>
  <c r="G30" i="15"/>
  <c r="F30" i="15"/>
  <c r="E30" i="15"/>
  <c r="D30" i="15"/>
  <c r="L29" i="15"/>
  <c r="K29" i="15"/>
  <c r="J29" i="15"/>
  <c r="I29" i="15"/>
  <c r="H29" i="15"/>
  <c r="G29" i="15"/>
  <c r="F29" i="15"/>
  <c r="E29" i="15"/>
  <c r="D29" i="15"/>
  <c r="L28" i="15"/>
  <c r="K28" i="15"/>
  <c r="J28" i="15"/>
  <c r="I28" i="15"/>
  <c r="H28" i="15"/>
  <c r="G28" i="15"/>
  <c r="F28" i="15"/>
  <c r="E28" i="15"/>
  <c r="D28" i="15"/>
  <c r="L27" i="15"/>
  <c r="K27" i="15"/>
  <c r="J27" i="15"/>
  <c r="I27" i="15"/>
  <c r="H27" i="15"/>
  <c r="G27" i="15"/>
  <c r="F27" i="15"/>
  <c r="E27" i="15"/>
  <c r="D27" i="15"/>
  <c r="C31" i="15"/>
  <c r="C30" i="15"/>
  <c r="C29" i="15"/>
  <c r="C28" i="15"/>
  <c r="C27" i="15"/>
  <c r="L25" i="15"/>
  <c r="K25" i="15"/>
  <c r="J25" i="15"/>
  <c r="I25" i="15"/>
  <c r="H25" i="15"/>
  <c r="G25" i="15"/>
  <c r="F25" i="15"/>
  <c r="E25" i="15"/>
  <c r="D25" i="15"/>
  <c r="J24" i="15"/>
  <c r="F24" i="15"/>
  <c r="L23" i="15"/>
  <c r="K23" i="15"/>
  <c r="K24" i="15" s="1"/>
  <c r="J23" i="15"/>
  <c r="I23" i="15"/>
  <c r="H23" i="15"/>
  <c r="G23" i="15"/>
  <c r="G24" i="15" s="1"/>
  <c r="F23" i="15"/>
  <c r="E23" i="15"/>
  <c r="D23" i="15"/>
  <c r="L22" i="15"/>
  <c r="L24" i="15" s="1"/>
  <c r="K22" i="15"/>
  <c r="J22" i="15"/>
  <c r="I22" i="15"/>
  <c r="I24" i="15" s="1"/>
  <c r="H22" i="15"/>
  <c r="H24" i="15" s="1"/>
  <c r="G22" i="15"/>
  <c r="F22" i="15"/>
  <c r="E22" i="15"/>
  <c r="E24" i="15" s="1"/>
  <c r="D22" i="15"/>
  <c r="D24" i="15" s="1"/>
  <c r="L21" i="15"/>
  <c r="K21" i="15"/>
  <c r="J21" i="15"/>
  <c r="I21" i="15"/>
  <c r="H21" i="15"/>
  <c r="G21" i="15"/>
  <c r="F21" i="15"/>
  <c r="E21" i="15"/>
  <c r="D21" i="15"/>
  <c r="C25" i="15"/>
  <c r="C24" i="15"/>
  <c r="D6" i="15"/>
  <c r="E6" i="15"/>
  <c r="F6" i="15"/>
  <c r="G6" i="15"/>
  <c r="H6" i="15"/>
  <c r="I6" i="15"/>
  <c r="J6" i="15"/>
  <c r="K6" i="15"/>
  <c r="L6" i="15"/>
  <c r="D7" i="15"/>
  <c r="O7" i="15" s="1"/>
  <c r="E7" i="15"/>
  <c r="F7" i="15"/>
  <c r="G7" i="15"/>
  <c r="H7" i="15"/>
  <c r="I7" i="15"/>
  <c r="J7" i="15"/>
  <c r="K7" i="15"/>
  <c r="L7" i="15"/>
  <c r="D8" i="15"/>
  <c r="E8" i="15"/>
  <c r="F8" i="15"/>
  <c r="G8" i="15"/>
  <c r="H8" i="15"/>
  <c r="I8" i="15"/>
  <c r="J8" i="15"/>
  <c r="K8" i="15"/>
  <c r="L8" i="15"/>
  <c r="D9" i="15"/>
  <c r="E9" i="15"/>
  <c r="F9" i="15"/>
  <c r="G9" i="15"/>
  <c r="H9" i="15"/>
  <c r="I9" i="15"/>
  <c r="J9" i="15"/>
  <c r="K9" i="15"/>
  <c r="L9" i="15"/>
  <c r="C23" i="15"/>
  <c r="C22" i="15"/>
  <c r="C21" i="15"/>
  <c r="O21" i="15" s="1"/>
  <c r="L19" i="15"/>
  <c r="L18" i="15"/>
  <c r="K18" i="15"/>
  <c r="J18" i="15"/>
  <c r="I18" i="15"/>
  <c r="H18" i="15"/>
  <c r="G18" i="15"/>
  <c r="F18" i="15"/>
  <c r="E18" i="15"/>
  <c r="D18" i="15"/>
  <c r="L17" i="15"/>
  <c r="K17" i="15"/>
  <c r="J17" i="15"/>
  <c r="I17" i="15"/>
  <c r="H17" i="15"/>
  <c r="G17" i="15"/>
  <c r="F17" i="15"/>
  <c r="E17" i="15"/>
  <c r="D17" i="15"/>
  <c r="C18" i="15"/>
  <c r="C17" i="15"/>
  <c r="L15" i="15"/>
  <c r="K15" i="15"/>
  <c r="J15" i="15"/>
  <c r="I15" i="15"/>
  <c r="H15" i="15"/>
  <c r="G15" i="15"/>
  <c r="F15" i="15"/>
  <c r="E15" i="15"/>
  <c r="D15" i="15"/>
  <c r="L14" i="15"/>
  <c r="K14" i="15"/>
  <c r="J14" i="15"/>
  <c r="I14" i="15"/>
  <c r="H14" i="15"/>
  <c r="G14" i="15"/>
  <c r="F14" i="15"/>
  <c r="E14" i="15"/>
  <c r="D14" i="15"/>
  <c r="L13" i="15"/>
  <c r="K13" i="15"/>
  <c r="K19" i="15" s="1"/>
  <c r="J13" i="15"/>
  <c r="J19" i="15" s="1"/>
  <c r="I13" i="15"/>
  <c r="I19" i="15" s="1"/>
  <c r="H13" i="15"/>
  <c r="H19" i="15" s="1"/>
  <c r="G13" i="15"/>
  <c r="G19" i="15" s="1"/>
  <c r="F13" i="15"/>
  <c r="F19" i="15" s="1"/>
  <c r="E13" i="15"/>
  <c r="E19" i="15" s="1"/>
  <c r="D13" i="15"/>
  <c r="D19" i="15" s="1"/>
  <c r="L12" i="15"/>
  <c r="K12" i="15"/>
  <c r="J12" i="15"/>
  <c r="I12" i="15"/>
  <c r="H12" i="15"/>
  <c r="G12" i="15"/>
  <c r="F12" i="15"/>
  <c r="E12" i="15"/>
  <c r="D12" i="15"/>
  <c r="L11" i="15"/>
  <c r="K11" i="15"/>
  <c r="J11" i="15"/>
  <c r="I11" i="15"/>
  <c r="H11" i="15"/>
  <c r="G11" i="15"/>
  <c r="F11" i="15"/>
  <c r="E11" i="15"/>
  <c r="D11" i="15"/>
  <c r="C13" i="15"/>
  <c r="C19" i="15" s="1"/>
  <c r="C15" i="15"/>
  <c r="C14" i="15"/>
  <c r="C12" i="15"/>
  <c r="C11" i="15"/>
  <c r="B2" i="15"/>
  <c r="N7" i="15" l="1"/>
  <c r="D97" i="12"/>
  <c r="E97" i="12"/>
  <c r="F97" i="12"/>
  <c r="G97" i="12"/>
  <c r="H97" i="12"/>
  <c r="I97" i="12"/>
  <c r="J97" i="12"/>
  <c r="K97" i="12"/>
  <c r="L97" i="12"/>
  <c r="M97" i="12"/>
  <c r="D98" i="12"/>
  <c r="E98" i="12"/>
  <c r="F98" i="12"/>
  <c r="G98" i="12"/>
  <c r="H98" i="12"/>
  <c r="I98" i="12"/>
  <c r="J98" i="12"/>
  <c r="K98" i="12"/>
  <c r="L98" i="12"/>
  <c r="M98" i="12"/>
  <c r="D99" i="12"/>
  <c r="E99" i="12"/>
  <c r="F99" i="12"/>
  <c r="G99" i="12"/>
  <c r="H99" i="12"/>
  <c r="I99" i="12"/>
  <c r="J99" i="12"/>
  <c r="K99" i="12"/>
  <c r="L99" i="12"/>
  <c r="M99" i="12"/>
  <c r="D100" i="12"/>
  <c r="E100" i="12"/>
  <c r="F100" i="12"/>
  <c r="G100" i="12"/>
  <c r="H100" i="12"/>
  <c r="I100" i="12"/>
  <c r="J100" i="12"/>
  <c r="K100" i="12"/>
  <c r="L100" i="12"/>
  <c r="M100" i="12"/>
  <c r="D101" i="12"/>
  <c r="E101" i="12"/>
  <c r="F101" i="12"/>
  <c r="G101" i="12"/>
  <c r="H101" i="12"/>
  <c r="I101" i="12"/>
  <c r="J101" i="12"/>
  <c r="K101" i="12"/>
  <c r="L101" i="12"/>
  <c r="M101" i="12"/>
  <c r="D102" i="12"/>
  <c r="E102" i="12"/>
  <c r="F102" i="12"/>
  <c r="G102" i="12"/>
  <c r="H102" i="12"/>
  <c r="I102" i="12"/>
  <c r="J102" i="12"/>
  <c r="K102" i="12"/>
  <c r="L102" i="12"/>
  <c r="M102" i="12"/>
  <c r="D103" i="12"/>
  <c r="E103" i="12"/>
  <c r="F103" i="12"/>
  <c r="G103" i="12"/>
  <c r="H103" i="12"/>
  <c r="I103" i="12"/>
  <c r="J103" i="12"/>
  <c r="K103" i="12"/>
  <c r="L103" i="12"/>
  <c r="M103" i="12"/>
  <c r="D104" i="12"/>
  <c r="E104" i="12"/>
  <c r="F104" i="12"/>
  <c r="G104" i="12"/>
  <c r="H104" i="12"/>
  <c r="I104" i="12"/>
  <c r="J104" i="12"/>
  <c r="K104" i="12"/>
  <c r="L104" i="12"/>
  <c r="M104" i="12"/>
  <c r="D105" i="12"/>
  <c r="E105" i="12"/>
  <c r="F105" i="12"/>
  <c r="G105" i="12"/>
  <c r="H105" i="12"/>
  <c r="I105" i="12"/>
  <c r="J105" i="12"/>
  <c r="K105" i="12"/>
  <c r="L105" i="12"/>
  <c r="M105" i="12"/>
  <c r="C98" i="12"/>
  <c r="C99" i="12"/>
  <c r="C100" i="12"/>
  <c r="C101" i="12"/>
  <c r="C102" i="12"/>
  <c r="C103" i="12"/>
  <c r="C104" i="12"/>
  <c r="C105" i="12"/>
  <c r="C97" i="12"/>
  <c r="D83" i="12"/>
  <c r="E83" i="12"/>
  <c r="F83" i="12"/>
  <c r="G83" i="12"/>
  <c r="H83" i="12"/>
  <c r="I83" i="12"/>
  <c r="J83" i="12"/>
  <c r="K83" i="12"/>
  <c r="L83" i="12"/>
  <c r="M83" i="12"/>
  <c r="D84" i="12"/>
  <c r="E84" i="12"/>
  <c r="F84" i="12"/>
  <c r="G84" i="12"/>
  <c r="H84" i="12"/>
  <c r="I84" i="12"/>
  <c r="J84" i="12"/>
  <c r="K84" i="12"/>
  <c r="L84" i="12"/>
  <c r="M84" i="12"/>
  <c r="D85" i="12"/>
  <c r="E85" i="12"/>
  <c r="F85" i="12"/>
  <c r="G85" i="12"/>
  <c r="H85" i="12"/>
  <c r="I85" i="12"/>
  <c r="J85" i="12"/>
  <c r="K85" i="12"/>
  <c r="L85" i="12"/>
  <c r="M85" i="12"/>
  <c r="D86" i="12"/>
  <c r="E86" i="12"/>
  <c r="F86" i="12"/>
  <c r="G86" i="12"/>
  <c r="H86" i="12"/>
  <c r="I86" i="12"/>
  <c r="J86" i="12"/>
  <c r="K86" i="12"/>
  <c r="L86" i="12"/>
  <c r="M86" i="12"/>
  <c r="D87" i="12"/>
  <c r="E87" i="12"/>
  <c r="F87" i="12"/>
  <c r="G87" i="12"/>
  <c r="H87" i="12"/>
  <c r="I87" i="12"/>
  <c r="J87" i="12"/>
  <c r="K87" i="12"/>
  <c r="L87" i="12"/>
  <c r="M87" i="12"/>
  <c r="D88" i="12"/>
  <c r="E88" i="12"/>
  <c r="F88" i="12"/>
  <c r="G88" i="12"/>
  <c r="H88" i="12"/>
  <c r="I88" i="12"/>
  <c r="J88" i="12"/>
  <c r="K88" i="12"/>
  <c r="L88" i="12"/>
  <c r="M88" i="12"/>
  <c r="D89" i="12"/>
  <c r="E89" i="12"/>
  <c r="F89" i="12"/>
  <c r="G89" i="12"/>
  <c r="H89" i="12"/>
  <c r="I89" i="12"/>
  <c r="J89" i="12"/>
  <c r="K89" i="12"/>
  <c r="L89" i="12"/>
  <c r="M89" i="12"/>
  <c r="D90" i="12"/>
  <c r="E90" i="12"/>
  <c r="F90" i="12"/>
  <c r="G90" i="12"/>
  <c r="H90" i="12"/>
  <c r="I90" i="12"/>
  <c r="J90" i="12"/>
  <c r="K90" i="12"/>
  <c r="L90" i="12"/>
  <c r="M90" i="12"/>
  <c r="D91" i="12"/>
  <c r="E91" i="12"/>
  <c r="F91" i="12"/>
  <c r="G91" i="12"/>
  <c r="H91" i="12"/>
  <c r="I91" i="12"/>
  <c r="J91" i="12"/>
  <c r="K91" i="12"/>
  <c r="L91" i="12"/>
  <c r="M91" i="12"/>
  <c r="D92" i="12"/>
  <c r="E92" i="12"/>
  <c r="F92" i="12"/>
  <c r="G92" i="12"/>
  <c r="H92" i="12"/>
  <c r="I92" i="12"/>
  <c r="J92" i="12"/>
  <c r="K92" i="12"/>
  <c r="L92" i="12"/>
  <c r="M92" i="12"/>
  <c r="D93" i="12"/>
  <c r="E93" i="12"/>
  <c r="F93" i="12"/>
  <c r="G93" i="12"/>
  <c r="H93" i="12"/>
  <c r="I93" i="12"/>
  <c r="J93" i="12"/>
  <c r="K93" i="12"/>
  <c r="L93" i="12"/>
  <c r="M93" i="12"/>
  <c r="C84" i="12"/>
  <c r="C85" i="12"/>
  <c r="C86" i="12"/>
  <c r="C87" i="12"/>
  <c r="C88" i="12"/>
  <c r="C89" i="12"/>
  <c r="C90" i="12"/>
  <c r="C91" i="12"/>
  <c r="C92" i="12"/>
  <c r="C93" i="12"/>
  <c r="C83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C73" i="12"/>
  <c r="C74" i="12"/>
  <c r="C75" i="12"/>
  <c r="C76" i="12"/>
  <c r="C77" i="12"/>
  <c r="C78" i="12"/>
  <c r="C79" i="12"/>
  <c r="C72" i="12"/>
  <c r="D58" i="12"/>
  <c r="E58" i="12"/>
  <c r="F58" i="12"/>
  <c r="G58" i="12"/>
  <c r="H58" i="12"/>
  <c r="I58" i="12"/>
  <c r="J58" i="12"/>
  <c r="K58" i="12"/>
  <c r="L58" i="12"/>
  <c r="M58" i="12"/>
  <c r="C58" i="12"/>
  <c r="C56" i="12"/>
  <c r="D56" i="12"/>
  <c r="E56" i="12"/>
  <c r="F56" i="12"/>
  <c r="G56" i="12"/>
  <c r="H56" i="12"/>
  <c r="I56" i="12"/>
  <c r="J56" i="12"/>
  <c r="K56" i="12"/>
  <c r="L56" i="12"/>
  <c r="M56" i="12"/>
  <c r="C57" i="12"/>
  <c r="D57" i="12"/>
  <c r="E57" i="12"/>
  <c r="F57" i="12"/>
  <c r="G57" i="12"/>
  <c r="H57" i="12"/>
  <c r="I57" i="12"/>
  <c r="J57" i="12"/>
  <c r="K57" i="12"/>
  <c r="L57" i="12"/>
  <c r="M57" i="12"/>
  <c r="M61" i="12"/>
  <c r="M62" i="12"/>
  <c r="M63" i="12"/>
  <c r="D61" i="12"/>
  <c r="E61" i="12"/>
  <c r="F61" i="12"/>
  <c r="G61" i="12"/>
  <c r="H61" i="12"/>
  <c r="I61" i="12"/>
  <c r="J61" i="12"/>
  <c r="K61" i="12"/>
  <c r="L61" i="12"/>
  <c r="D62" i="12"/>
  <c r="E62" i="12"/>
  <c r="F62" i="12"/>
  <c r="G62" i="12"/>
  <c r="H62" i="12"/>
  <c r="I62" i="12"/>
  <c r="J62" i="12"/>
  <c r="K62" i="12"/>
  <c r="L62" i="12"/>
  <c r="D63" i="12"/>
  <c r="E63" i="12"/>
  <c r="F63" i="12"/>
  <c r="G63" i="12"/>
  <c r="H63" i="12"/>
  <c r="I63" i="12"/>
  <c r="J63" i="12"/>
  <c r="K63" i="12"/>
  <c r="L63" i="12"/>
  <c r="C62" i="12"/>
  <c r="C63" i="12"/>
  <c r="C61" i="12"/>
  <c r="D55" i="12"/>
  <c r="E55" i="12"/>
  <c r="F55" i="12"/>
  <c r="G55" i="12"/>
  <c r="H55" i="12"/>
  <c r="I55" i="12"/>
  <c r="J55" i="12"/>
  <c r="K55" i="12"/>
  <c r="L55" i="12"/>
  <c r="M55" i="12"/>
  <c r="C55" i="12"/>
  <c r="C50" i="12"/>
  <c r="D50" i="12"/>
  <c r="E50" i="12"/>
  <c r="F50" i="12"/>
  <c r="G50" i="12"/>
  <c r="H50" i="12"/>
  <c r="I50" i="12"/>
  <c r="J50" i="12"/>
  <c r="K50" i="12"/>
  <c r="L50" i="12"/>
  <c r="M50" i="12"/>
  <c r="C51" i="12"/>
  <c r="D51" i="12"/>
  <c r="E51" i="12"/>
  <c r="F51" i="12"/>
  <c r="G51" i="12"/>
  <c r="H51" i="12"/>
  <c r="I51" i="12"/>
  <c r="J51" i="12"/>
  <c r="K51" i="12"/>
  <c r="L51" i="12"/>
  <c r="M51" i="12"/>
  <c r="C52" i="12"/>
  <c r="D52" i="12"/>
  <c r="E52" i="12"/>
  <c r="F52" i="12"/>
  <c r="G52" i="12"/>
  <c r="H52" i="12"/>
  <c r="I52" i="12"/>
  <c r="J52" i="12"/>
  <c r="K52" i="12"/>
  <c r="L52" i="12"/>
  <c r="M52" i="12"/>
  <c r="C53" i="12"/>
  <c r="D53" i="12"/>
  <c r="E53" i="12"/>
  <c r="F53" i="12"/>
  <c r="G53" i="12"/>
  <c r="H53" i="12"/>
  <c r="I53" i="12"/>
  <c r="J53" i="12"/>
  <c r="K53" i="12"/>
  <c r="L53" i="12"/>
  <c r="M53" i="12"/>
  <c r="D49" i="12"/>
  <c r="E49" i="12"/>
  <c r="F49" i="12"/>
  <c r="G49" i="12"/>
  <c r="H49" i="12"/>
  <c r="I49" i="12"/>
  <c r="J49" i="12"/>
  <c r="K49" i="12"/>
  <c r="L49" i="12"/>
  <c r="M49" i="12"/>
  <c r="C49" i="12"/>
  <c r="D38" i="12"/>
  <c r="D43" i="12" s="1"/>
  <c r="E38" i="12"/>
  <c r="E43" i="12" s="1"/>
  <c r="F38" i="12"/>
  <c r="F43" i="12" s="1"/>
  <c r="G38" i="12"/>
  <c r="G43" i="12" s="1"/>
  <c r="H38" i="12"/>
  <c r="H43" i="12" s="1"/>
  <c r="I38" i="12"/>
  <c r="I43" i="12" s="1"/>
  <c r="J38" i="12"/>
  <c r="J43" i="12" s="1"/>
  <c r="K38" i="12"/>
  <c r="K43" i="12" s="1"/>
  <c r="L38" i="12"/>
  <c r="L43" i="12" s="1"/>
  <c r="M38" i="12"/>
  <c r="M43" i="12" s="1"/>
  <c r="C38" i="12"/>
  <c r="C43" i="12" s="1"/>
  <c r="M32" i="12"/>
  <c r="D32" i="12"/>
  <c r="E32" i="12"/>
  <c r="F32" i="12"/>
  <c r="G32" i="12"/>
  <c r="H32" i="12"/>
  <c r="I32" i="12"/>
  <c r="J32" i="12"/>
  <c r="K32" i="12"/>
  <c r="L32" i="12"/>
  <c r="C32" i="12"/>
  <c r="M24" i="12"/>
  <c r="D24" i="12"/>
  <c r="E24" i="12"/>
  <c r="F24" i="12"/>
  <c r="G24" i="12"/>
  <c r="H24" i="12"/>
  <c r="I24" i="12"/>
  <c r="J24" i="12"/>
  <c r="K24" i="12"/>
  <c r="L24" i="12"/>
  <c r="C24" i="12"/>
  <c r="M21" i="12"/>
  <c r="D21" i="12"/>
  <c r="E21" i="12"/>
  <c r="F21" i="12"/>
  <c r="G21" i="12"/>
  <c r="H21" i="12"/>
  <c r="I21" i="12"/>
  <c r="J21" i="12"/>
  <c r="K21" i="12"/>
  <c r="L21" i="12"/>
  <c r="C21" i="12"/>
  <c r="M18" i="12"/>
  <c r="D15" i="12"/>
  <c r="E15" i="12"/>
  <c r="F15" i="12"/>
  <c r="G15" i="12"/>
  <c r="H15" i="12"/>
  <c r="I15" i="12"/>
  <c r="J15" i="12"/>
  <c r="K15" i="12"/>
  <c r="L15" i="12"/>
  <c r="C15" i="12"/>
  <c r="M9" i="12"/>
  <c r="D9" i="12"/>
  <c r="E9" i="12"/>
  <c r="F9" i="12"/>
  <c r="G9" i="12"/>
  <c r="H9" i="12"/>
  <c r="I9" i="12"/>
  <c r="J9" i="12"/>
  <c r="K9" i="12"/>
  <c r="L9" i="12"/>
  <c r="C9" i="12"/>
  <c r="M6" i="12"/>
  <c r="M22" i="12" s="1"/>
  <c r="L6" i="12"/>
  <c r="D6" i="12"/>
  <c r="E6" i="12"/>
  <c r="E12" i="12" s="1"/>
  <c r="F6" i="12"/>
  <c r="G6" i="12"/>
  <c r="H6" i="12"/>
  <c r="I6" i="12"/>
  <c r="I12" i="12" s="1"/>
  <c r="J6" i="12"/>
  <c r="K6" i="12"/>
  <c r="C6" i="12"/>
  <c r="K3" i="12"/>
  <c r="L3" i="12"/>
  <c r="D3" i="12"/>
  <c r="E3" i="12"/>
  <c r="F3" i="12"/>
  <c r="G3" i="12"/>
  <c r="H3" i="12"/>
  <c r="I3" i="12"/>
  <c r="J3" i="12"/>
  <c r="C3" i="12"/>
  <c r="B2" i="12"/>
  <c r="J80" i="12" l="1"/>
  <c r="M27" i="12"/>
  <c r="J94" i="12"/>
  <c r="F94" i="12"/>
  <c r="F80" i="12"/>
  <c r="L16" i="12"/>
  <c r="M59" i="12"/>
  <c r="I59" i="12"/>
  <c r="I66" i="12" s="1"/>
  <c r="I68" i="12" s="1"/>
  <c r="E59" i="12"/>
  <c r="I64" i="12"/>
  <c r="E64" i="12"/>
  <c r="K64" i="12"/>
  <c r="K66" i="12" s="1"/>
  <c r="K68" i="12" s="1"/>
  <c r="G64" i="12"/>
  <c r="M64" i="12"/>
  <c r="L59" i="12"/>
  <c r="H59" i="12"/>
  <c r="D59" i="12"/>
  <c r="K59" i="12"/>
  <c r="G59" i="12"/>
  <c r="C80" i="12"/>
  <c r="M80" i="12"/>
  <c r="E80" i="12"/>
  <c r="E18" i="12"/>
  <c r="L94" i="12"/>
  <c r="H94" i="12"/>
  <c r="D94" i="12"/>
  <c r="K106" i="12"/>
  <c r="G106" i="12"/>
  <c r="G108" i="12" s="1"/>
  <c r="M106" i="12"/>
  <c r="I106" i="12"/>
  <c r="E106" i="12"/>
  <c r="I80" i="12"/>
  <c r="K80" i="12"/>
  <c r="G80" i="12"/>
  <c r="C106" i="12"/>
  <c r="I18" i="12"/>
  <c r="C59" i="12"/>
  <c r="J59" i="12"/>
  <c r="F59" i="12"/>
  <c r="F66" i="12" s="1"/>
  <c r="F68" i="12" s="1"/>
  <c r="C64" i="12"/>
  <c r="J64" i="12"/>
  <c r="J66" i="12" s="1"/>
  <c r="J68" i="12" s="1"/>
  <c r="F64" i="12"/>
  <c r="L64" i="12"/>
  <c r="H64" i="12"/>
  <c r="H66" i="12" s="1"/>
  <c r="H68" i="12" s="1"/>
  <c r="D64" i="12"/>
  <c r="D66" i="12" s="1"/>
  <c r="D68" i="12" s="1"/>
  <c r="L80" i="12"/>
  <c r="H80" i="12"/>
  <c r="D80" i="12"/>
  <c r="C94" i="12"/>
  <c r="M94" i="12"/>
  <c r="I94" i="12"/>
  <c r="E94" i="12"/>
  <c r="K94" i="12"/>
  <c r="G94" i="12"/>
  <c r="J106" i="12"/>
  <c r="J108" i="12" s="1"/>
  <c r="F106" i="12"/>
  <c r="L106" i="12"/>
  <c r="H106" i="12"/>
  <c r="D106" i="12"/>
  <c r="M108" i="12"/>
  <c r="M66" i="12"/>
  <c r="L66" i="12"/>
  <c r="L68" i="12" s="1"/>
  <c r="M19" i="12"/>
  <c r="C22" i="12"/>
  <c r="J22" i="12"/>
  <c r="F22" i="12"/>
  <c r="J25" i="12"/>
  <c r="F25" i="12"/>
  <c r="L7" i="12"/>
  <c r="L5" i="15" s="1"/>
  <c r="I16" i="12"/>
  <c r="E16" i="12"/>
  <c r="H12" i="12"/>
  <c r="D12" i="12"/>
  <c r="I10" i="12"/>
  <c r="E10" i="12"/>
  <c r="M29" i="12"/>
  <c r="J12" i="12"/>
  <c r="J13" i="12" s="1"/>
  <c r="F12" i="12"/>
  <c r="F13" i="12" s="1"/>
  <c r="M7" i="12"/>
  <c r="M10" i="12"/>
  <c r="J16" i="12"/>
  <c r="F16" i="12"/>
  <c r="I13" i="12"/>
  <c r="E13" i="12"/>
  <c r="J10" i="12"/>
  <c r="F10" i="12"/>
  <c r="I22" i="12"/>
  <c r="E22" i="12"/>
  <c r="I25" i="12"/>
  <c r="E25" i="12"/>
  <c r="K10" i="12"/>
  <c r="G10" i="12"/>
  <c r="C10" i="12"/>
  <c r="L22" i="12"/>
  <c r="H22" i="12"/>
  <c r="D22" i="12"/>
  <c r="L25" i="12"/>
  <c r="H25" i="12"/>
  <c r="D25" i="12"/>
  <c r="M12" i="12"/>
  <c r="M13" i="12" s="1"/>
  <c r="L12" i="12"/>
  <c r="K16" i="12"/>
  <c r="G16" i="12"/>
  <c r="M16" i="12"/>
  <c r="K22" i="12"/>
  <c r="G22" i="12"/>
  <c r="K25" i="12"/>
  <c r="G25" i="12"/>
  <c r="M25" i="12"/>
  <c r="H7" i="12"/>
  <c r="H5" i="15" s="1"/>
  <c r="K7" i="12"/>
  <c r="K5" i="15" s="1"/>
  <c r="G7" i="12"/>
  <c r="G5" i="15" s="1"/>
  <c r="L10" i="12"/>
  <c r="H10" i="12"/>
  <c r="D10" i="12"/>
  <c r="K12" i="12"/>
  <c r="G12" i="12"/>
  <c r="J7" i="12"/>
  <c r="J5" i="15" s="1"/>
  <c r="F7" i="12"/>
  <c r="F5" i="15" s="1"/>
  <c r="C12" i="12"/>
  <c r="H16" i="12"/>
  <c r="D16" i="12"/>
  <c r="C25" i="12"/>
  <c r="D7" i="12"/>
  <c r="D5" i="15" s="1"/>
  <c r="I7" i="12"/>
  <c r="I5" i="15" s="1"/>
  <c r="E7" i="12"/>
  <c r="E5" i="15" s="1"/>
  <c r="C16" i="12"/>
  <c r="K73" i="2"/>
  <c r="J73" i="2"/>
  <c r="I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K32" i="2"/>
  <c r="J32" i="2"/>
  <c r="I32" i="2"/>
  <c r="H32" i="2"/>
  <c r="G32" i="2"/>
  <c r="F32" i="2"/>
  <c r="E32" i="2"/>
  <c r="D32" i="2"/>
  <c r="C32" i="2"/>
  <c r="B32" i="2"/>
  <c r="K15" i="2"/>
  <c r="B15" i="2"/>
  <c r="B6" i="2"/>
  <c r="E1" i="2"/>
  <c r="H108" i="12" l="1"/>
  <c r="G66" i="12"/>
  <c r="G68" i="12" s="1"/>
  <c r="E66" i="12"/>
  <c r="E68" i="12" s="1"/>
  <c r="F108" i="12"/>
  <c r="C66" i="12"/>
  <c r="C68" i="12" s="1"/>
  <c r="I19" i="12"/>
  <c r="I27" i="12"/>
  <c r="L108" i="12"/>
  <c r="I29" i="12"/>
  <c r="I33" i="12" s="1"/>
  <c r="D108" i="12"/>
  <c r="I108" i="12"/>
  <c r="C108" i="12"/>
  <c r="E108" i="12"/>
  <c r="K108" i="12"/>
  <c r="E19" i="12"/>
  <c r="E27" i="12"/>
  <c r="J18" i="12"/>
  <c r="J27" i="12" s="1"/>
  <c r="E29" i="12"/>
  <c r="E33" i="12" s="1"/>
  <c r="M35" i="12"/>
  <c r="M33" i="12"/>
  <c r="M30" i="12"/>
  <c r="H18" i="12"/>
  <c r="H27" i="12" s="1"/>
  <c r="H13" i="12"/>
  <c r="G18" i="12"/>
  <c r="G13" i="12"/>
  <c r="L18" i="12"/>
  <c r="L13" i="12"/>
  <c r="C18" i="12"/>
  <c r="C13" i="12"/>
  <c r="K18" i="12"/>
  <c r="K13" i="12"/>
  <c r="F18" i="12"/>
  <c r="D18" i="12"/>
  <c r="D27" i="12" s="1"/>
  <c r="D13" i="12"/>
  <c r="J19" i="12"/>
  <c r="E35" i="12"/>
  <c r="I35" i="12"/>
  <c r="I30" i="12"/>
  <c r="E30" i="12" l="1"/>
  <c r="K19" i="12"/>
  <c r="K27" i="12"/>
  <c r="L29" i="12"/>
  <c r="L33" i="12" s="1"/>
  <c r="L27" i="12"/>
  <c r="J29" i="12"/>
  <c r="J30" i="12" s="1"/>
  <c r="F29" i="12"/>
  <c r="F33" i="12" s="1"/>
  <c r="F27" i="12"/>
  <c r="C19" i="12"/>
  <c r="G19" i="12"/>
  <c r="G27" i="12"/>
  <c r="G29" i="12"/>
  <c r="G30" i="12" s="1"/>
  <c r="F19" i="12"/>
  <c r="C29" i="12"/>
  <c r="C35" i="12" s="1"/>
  <c r="K29" i="12"/>
  <c r="K33" i="12" s="1"/>
  <c r="L19" i="12"/>
  <c r="H19" i="12"/>
  <c r="H29" i="12"/>
  <c r="I40" i="12"/>
  <c r="I36" i="12"/>
  <c r="D19" i="12"/>
  <c r="D29" i="12"/>
  <c r="E40" i="12"/>
  <c r="E36" i="12"/>
  <c r="M40" i="12"/>
  <c r="M36" i="12"/>
  <c r="K30" i="12"/>
  <c r="G35" i="12"/>
  <c r="J33" i="12"/>
  <c r="J35" i="12"/>
  <c r="F35" i="12"/>
  <c r="F30" i="12"/>
  <c r="L30" i="12" l="1"/>
  <c r="L35" i="12"/>
  <c r="G33" i="12"/>
  <c r="K35" i="12"/>
  <c r="K36" i="12" s="1"/>
  <c r="C33" i="12"/>
  <c r="C30" i="12"/>
  <c r="M46" i="12"/>
  <c r="M44" i="12"/>
  <c r="E44" i="12"/>
  <c r="E46" i="12" s="1"/>
  <c r="I44" i="12"/>
  <c r="I46" i="12" s="1"/>
  <c r="F40" i="12"/>
  <c r="F36" i="12"/>
  <c r="G36" i="12"/>
  <c r="G40" i="12"/>
  <c r="L36" i="12"/>
  <c r="L40" i="12"/>
  <c r="C40" i="12"/>
  <c r="C36" i="12"/>
  <c r="D33" i="12"/>
  <c r="D35" i="12"/>
  <c r="D30" i="12"/>
  <c r="H35" i="12"/>
  <c r="H30" i="12"/>
  <c r="H33" i="12"/>
  <c r="J40" i="12"/>
  <c r="J36" i="12"/>
  <c r="K40" i="12"/>
  <c r="J41" i="12" l="1"/>
  <c r="J44" i="12"/>
  <c r="J46" i="12" s="1"/>
  <c r="L41" i="12"/>
  <c r="L44" i="12"/>
  <c r="L46" i="12" s="1"/>
  <c r="F41" i="12"/>
  <c r="F44" i="12"/>
  <c r="F46" i="12" s="1"/>
  <c r="M41" i="12"/>
  <c r="C44" i="12"/>
  <c r="C46" i="12" s="1"/>
  <c r="K41" i="12"/>
  <c r="K44" i="12"/>
  <c r="K46" i="12" s="1"/>
  <c r="G41" i="12"/>
  <c r="G44" i="12"/>
  <c r="G46" i="12" s="1"/>
  <c r="H36" i="12"/>
  <c r="H40" i="12"/>
  <c r="D36" i="12"/>
  <c r="D40" i="12"/>
  <c r="H41" i="12" l="1"/>
  <c r="H44" i="12"/>
  <c r="H46" i="12" s="1"/>
  <c r="I41" i="12"/>
  <c r="D41" i="12"/>
  <c r="D44" i="12"/>
  <c r="D46" i="12" s="1"/>
  <c r="E41" i="12"/>
</calcChain>
</file>

<file path=xl/sharedStrings.xml><?xml version="1.0" encoding="utf-8"?>
<sst xmlns="http://schemas.openxmlformats.org/spreadsheetml/2006/main" count="463" uniqueCount="262">
  <si>
    <t>COMPANY NAME</t>
  </si>
  <si>
    <t>MARICO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</si>
  <si>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</si>
  <si>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</si>
  <si>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</si>
  <si>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</si>
  <si>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</si>
  <si>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</si>
  <si>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</si>
  <si>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</si>
  <si>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</si>
  <si>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</si>
  <si>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</si>
  <si>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</si>
  <si>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</si>
  <si>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</si>
  <si>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</si>
  <si>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</si>
  <si>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</si>
  <si>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</si>
  <si>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</si>
  <si>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</si>
  <si>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</si>
  <si>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</si>
  <si>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</si>
  <si>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</si>
  <si>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</si>
  <si>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</si>
  <si>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</si>
  <si>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</si>
  <si>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</si>
  <si>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</si>
  <si>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</si>
  <si>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</si>
  <si>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</si>
  <si>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</si>
  <si>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</si>
  <si>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</si>
  <si>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</si>
  <si>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</si>
  <si>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</si>
  <si>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</si>
  <si>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</si>
  <si>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</si>
  <si>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</si>
  <si>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</si>
  <si>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</si>
  <si>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</si>
  <si>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</si>
  <si>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</si>
  <si>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</si>
  <si>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</si>
  <si>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</si>
  <si>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</si>
  <si>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</si>
  <si>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</si>
  <si>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</si>
  <si>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</si>
  <si>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</si>
  <si>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</si>
  <si>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</si>
  <si>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</si>
  <si>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</si>
  <si>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</si>
  <si>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</si>
  <si>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</si>
  <si>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</si>
  <si>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</si>
  <si>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Gross Margins</t>
  </si>
  <si>
    <t>Earnings Before Tax</t>
  </si>
  <si>
    <t>EBT % Sales</t>
  </si>
  <si>
    <t>Net Profit</t>
  </si>
  <si>
    <t>Net Margins</t>
  </si>
  <si>
    <t>EPS Growth %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</si>
  <si>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</si>
  <si>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</si>
  <si>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</si>
  <si>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</si>
  <si>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</si>
  <si>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</si>
  <si>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</si>
  <si>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</si>
  <si>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</si>
  <si>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 xml:space="preserve"> </t>
  </si>
  <si>
    <t>Income Staement</t>
  </si>
  <si>
    <t>Depreciation % Sales</t>
  </si>
  <si>
    <t>No Of Equity Shares</t>
  </si>
  <si>
    <t>Earnings Per Share</t>
  </si>
  <si>
    <t>Dividend Per Share</t>
  </si>
  <si>
    <t>Dividend Payout Ratio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</si>
  <si>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</si>
  <si>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</si>
  <si>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</si>
  <si>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</si>
  <si>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</si>
  <si>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</si>
  <si>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</si>
  <si>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</si>
  <si>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</si>
  <si>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</si>
  <si>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</si>
  <si>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</si>
  <si>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</si>
  <si>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</si>
  <si>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</si>
  <si>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</si>
  <si>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</si>
  <si>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</si>
  <si>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</si>
  <si>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</si>
  <si>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</si>
  <si>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Proceeds from debentures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</si>
  <si>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</si>
  <si>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</si>
  <si>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</si>
  <si>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</si>
  <si>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</si>
  <si>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</si>
  <si>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</si>
  <si>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</si>
  <si>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</si>
  <si>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</si>
  <si>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</si>
  <si>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</si>
  <si>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</si>
  <si>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Gross Margin</t>
  </si>
  <si>
    <t>EBITDA Growth</t>
  </si>
  <si>
    <t>EBIT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</si>
  <si>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</si>
  <si>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</si>
  <si>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</si>
  <si>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</si>
  <si>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</si>
  <si>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</si>
  <si>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 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</si>
  <si>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</si>
  <si>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</si>
  <si>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</si>
  <si>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</si>
  <si>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</si>
  <si>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</si>
  <si>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</si>
  <si>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</si>
  <si>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</si>
  <si>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</si>
  <si>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</si>
  <si>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</si>
  <si>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</si>
  <si>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</si>
  <si>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</si>
  <si>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EBIT</t>
  </si>
  <si>
    <t>CFO/Sales</t>
  </si>
  <si>
    <t>CFO/Total Assets</t>
  </si>
  <si>
    <t>CFO/Total Debts</t>
  </si>
  <si>
    <t>Mean</t>
  </si>
  <si>
    <t>Median</t>
  </si>
  <si>
    <t>Cash Conversion Cycle(in days)</t>
  </si>
  <si>
    <t>Trend</t>
  </si>
  <si>
    <t>Year Weight</t>
  </si>
  <si>
    <t>Year</t>
  </si>
  <si>
    <t>Marico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</si>
  <si>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</si>
  <si>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</si>
  <si>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</si>
  <si>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</si>
  <si>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</si>
  <si>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</si>
  <si>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</si>
  <si>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</si>
  <si>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</si>
  <si>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</si>
  <si>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</si>
  <si>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</si>
  <si>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</si>
  <si>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</si>
  <si>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</si>
  <si>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</si>
  <si>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</si>
  <si>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</si>
  <si>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</si>
  <si>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</si>
  <si>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</si>
  <si>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</si>
  <si>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</si>
  <si>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Particulars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</si>
  <si>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</si>
  <si>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</si>
  <si>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</si>
  <si>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</si>
  <si>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</si>
  <si>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</si>
  <si>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</si>
  <si>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</si>
  <si>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</si>
  <si>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</si>
  <si>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</si>
  <si>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</si>
  <si>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</si>
  <si>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</si>
  <si>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</si>
  <si>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</si>
  <si>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</si>
  <si>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</si>
  <si>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</si>
  <si>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</si>
  <si>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</si>
  <si>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</si>
  <si>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</si>
  <si>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</si>
  <si>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</si>
  <si>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Cash Equivalents</t>
  </si>
  <si>
    <t>Loans n Advances</t>
  </si>
  <si>
    <t>Other asset items</t>
  </si>
  <si>
    <t xml:space="preserve">Trade receivables </t>
  </si>
  <si>
    <t>Calculation of ROIC</t>
  </si>
  <si>
    <t>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</si>
  <si>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</si>
  <si>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</si>
  <si>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</si>
  <si>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</si>
  <si>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</si>
  <si>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</si>
  <si>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ROIC</t>
  </si>
  <si>
    <t>Calculation of Reinvestment Rate</t>
  </si>
  <si>
    <t>Cash from Operating Activity -</t>
  </si>
  <si>
    <t>Cash from Investing Activity -</t>
  </si>
  <si>
    <t>Cash from Financing Activity -</t>
  </si>
  <si>
    <t>Net Capex</t>
  </si>
  <si>
    <t>Changes in Working Capital</t>
  </si>
  <si>
    <t>Marginal Tax Rate</t>
  </si>
  <si>
    <t>Reinvestment</t>
  </si>
  <si>
    <t>EBIT(1-T)</t>
  </si>
  <si>
    <t>Reinvestment Rate</t>
  </si>
  <si>
    <t>4 Year Average</t>
  </si>
  <si>
    <t>4 Year Median</t>
  </si>
  <si>
    <t>Calculation of Growth Rate</t>
  </si>
  <si>
    <t>Intrinsic Growth</t>
  </si>
  <si>
    <t>Calculation of PV of FCFF</t>
  </si>
  <si>
    <t>Tax Rate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</si>
  <si>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</si>
  <si>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</si>
  <si>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</si>
  <si>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</si>
  <si>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</si>
  <si>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</si>
  <si>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</si>
  <si>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WACC</t>
  </si>
  <si>
    <t>Calculation of Terminal Value</t>
  </si>
  <si>
    <t>FCFF 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</si>
  <si>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</si>
  <si>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</si>
  <si>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</si>
  <si>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</si>
  <si>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</si>
  <si>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</si>
  <si>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</si>
  <si>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</si>
  <si>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 of Shares</t>
  </si>
  <si>
    <t>Equity Value per Share</t>
  </si>
  <si>
    <t>Share Price</t>
  </si>
  <si>
    <t>Discount/Premium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</si>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</sst>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0"/>
    <numFmt numFmtId="167" formatCode="&quot;₹&quot;\ #,##0.00;\(&quot;₹&quot;\ #,##0.00\);\ \-"/>
    <numFmt numFmtId="168" formatCode="0.00&quot;x&quot;"/>
    <numFmt numFmtId="169" formatCode="#,##0.0"/>
    <numFmt numFmtId="170" formatCode="yyyy&quot;A&quot;"/>
    <numFmt numFmtId="171" formatCode="yyyy&quot;E&quot;"/>
    <numFmt numFmtId="172" formatCode="#,##0;\(#,##0\);\-"/>
    <numFmt numFmtId="173" formatCode="#,##0.0;\(#,##0.0\);\ \-"/>
    <numFmt numFmtId="174" formatCode="mmm/yy&quot;A&quot;"/>
    <numFmt numFmtId="175" formatCode="mmm/yy&quot;F&quot;"/>
    <numFmt numFmtId="176" formatCode="0.000"/>
    <numFmt numFmtId="177" formatCode="0.00\x"/>
  </numFmts>
  <fonts count="28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0" tint="-0.249977111117893"/>
      <name val="Calibri"/>
      <family val="2"/>
    </font>
    <font>
      <sz val="11"/>
      <color theme="4" tint="-0.249977111117893"/>
      <name val="Calibri"/>
      <family val="2"/>
    </font>
    <font>
      <b/>
      <sz val="11"/>
      <name val="calibri"/>
      <family val="2"/>
    </font>
    <font>
      <sz val="11"/>
      <color rgb="FF22222F"/>
      <name val="Arial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rgb="FF3409BD"/>
      <name val="Calibri"/>
      <family val="2"/>
    </font>
    <font>
      <b/>
      <sz val="11"/>
      <color theme="0"/>
      <name val="Calibiri"/>
    </font>
    <font>
      <b/>
      <sz val="11"/>
      <color rgb="FF22222F"/>
      <name val="Calibiri"/>
    </font>
    <font>
      <sz val="11"/>
      <color rgb="FF22222F"/>
      <name val="Calibiri"/>
    </font>
    <font>
      <b/>
      <sz val="11"/>
      <color theme="1"/>
      <name val="Calibiri"/>
    </font>
    <font>
      <sz val="11"/>
      <color theme="1"/>
      <name val="Calibiri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2060"/>
      </top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auto="1"/>
      </top>
      <bottom style="medium">
        <color rgb="FF002060"/>
      </bottom>
      <diagonal/>
    </border>
    <border>
      <left/>
      <right/>
      <top style="thin">
        <color rgb="FF002060"/>
      </top>
      <bottom style="thick">
        <color rgb="FF002060"/>
      </bottom>
      <diagonal/>
    </border>
    <border>
      <left/>
      <right/>
      <top style="thin">
        <color auto="1"/>
      </top>
      <bottom style="thick">
        <color rgb="FF002060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165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0" fontId="0" fillId="0" borderId="0" xfId="1" applyNumberFormat="1" applyFont="1"/>
    <xf numFmtId="166" fontId="0" fillId="0" borderId="0" xfId="0" applyNumberFormat="1"/>
    <xf numFmtId="0" fontId="2" fillId="4" borderId="0" xfId="0" applyFont="1" applyFill="1"/>
    <xf numFmtId="17" fontId="2" fillId="4" borderId="0" xfId="0" applyNumberFormat="1" applyFont="1" applyFill="1" applyAlignment="1">
      <alignment horizontal="right"/>
    </xf>
    <xf numFmtId="17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right"/>
    </xf>
    <xf numFmtId="10" fontId="13" fillId="0" borderId="0" xfId="1" applyNumberFormat="1" applyFont="1"/>
    <xf numFmtId="167" fontId="0" fillId="0" borderId="0" xfId="0" applyNumberFormat="1"/>
    <xf numFmtId="0" fontId="0" fillId="5" borderId="0" xfId="0" applyFill="1"/>
    <xf numFmtId="0" fontId="2" fillId="5" borderId="0" xfId="0" applyFont="1" applyFill="1"/>
    <xf numFmtId="17" fontId="2" fillId="5" borderId="0" xfId="0" applyNumberFormat="1" applyFont="1" applyFill="1" applyAlignment="1">
      <alignment horizontal="right"/>
    </xf>
    <xf numFmtId="0" fontId="3" fillId="6" borderId="0" xfId="0" applyFont="1" applyFill="1"/>
    <xf numFmtId="0" fontId="0" fillId="6" borderId="0" xfId="0" applyFill="1"/>
    <xf numFmtId="167" fontId="3" fillId="0" borderId="0" xfId="0" applyNumberFormat="1" applyFont="1"/>
    <xf numFmtId="3" fontId="0" fillId="0" borderId="0" xfId="0" applyNumberFormat="1"/>
    <xf numFmtId="43" fontId="6" fillId="0" borderId="1" xfId="2" applyFont="1" applyBorder="1"/>
    <xf numFmtId="167" fontId="3" fillId="0" borderId="1" xfId="0" applyNumberFormat="1" applyFont="1" applyBorder="1"/>
    <xf numFmtId="43" fontId="6" fillId="0" borderId="1" xfId="2" applyFont="1" applyFill="1" applyBorder="1"/>
    <xf numFmtId="167" fontId="0" fillId="0" borderId="1" xfId="0" applyNumberFormat="1" applyBorder="1"/>
    <xf numFmtId="0" fontId="3" fillId="0" borderId="1" xfId="0" applyFont="1" applyBorder="1"/>
    <xf numFmtId="166" fontId="3" fillId="0" borderId="1" xfId="0" applyNumberFormat="1" applyFont="1" applyBorder="1"/>
    <xf numFmtId="0" fontId="2" fillId="5" borderId="0" xfId="0" applyFont="1" applyFill="1" applyAlignment="1"/>
    <xf numFmtId="0" fontId="0" fillId="0" borderId="2" xfId="0" applyBorder="1"/>
    <xf numFmtId="10" fontId="0" fillId="0" borderId="2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3" xfId="0" applyBorder="1"/>
    <xf numFmtId="10" fontId="0" fillId="0" borderId="3" xfId="1" applyNumberFormat="1" applyFont="1" applyBorder="1"/>
    <xf numFmtId="168" fontId="0" fillId="0" borderId="2" xfId="0" applyNumberFormat="1" applyBorder="1"/>
    <xf numFmtId="168" fontId="0" fillId="0" borderId="0" xfId="0" applyNumberFormat="1" applyBorder="1"/>
    <xf numFmtId="168" fontId="0" fillId="0" borderId="3" xfId="0" applyNumberFormat="1" applyBorder="1"/>
    <xf numFmtId="10" fontId="0" fillId="0" borderId="3" xfId="0" applyNumberFormat="1" applyBorder="1"/>
    <xf numFmtId="0" fontId="2" fillId="4" borderId="0" xfId="0" applyFont="1" applyFill="1" applyAlignment="1">
      <alignment horizontal="right"/>
    </xf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  <xf numFmtId="17" fontId="2" fillId="4" borderId="0" xfId="0" applyNumberFormat="1" applyFont="1" applyFill="1" applyAlignment="1">
      <alignment horizontal="center"/>
    </xf>
    <xf numFmtId="169" fontId="14" fillId="0" borderId="0" xfId="0" applyNumberFormat="1" applyFont="1"/>
    <xf numFmtId="0" fontId="0" fillId="0" borderId="0" xfId="0" applyAlignment="1">
      <alignment horizontal="left"/>
    </xf>
    <xf numFmtId="3" fontId="16" fillId="7" borderId="0" xfId="0" applyNumberFormat="1" applyFont="1" applyFill="1" applyAlignment="1">
      <alignment horizontal="right" vertical="center" wrapText="1"/>
    </xf>
    <xf numFmtId="0" fontId="2" fillId="5" borderId="0" xfId="0" applyFont="1" applyFill="1" applyAlignment="1">
      <alignment horizontal="right"/>
    </xf>
    <xf numFmtId="0" fontId="0" fillId="0" borderId="0" xfId="0" applyFill="1" applyBorder="1" applyAlignment="1"/>
    <xf numFmtId="0" fontId="0" fillId="0" borderId="4" xfId="0" applyFill="1" applyBorder="1" applyAlignment="1"/>
    <xf numFmtId="0" fontId="17" fillId="0" borderId="5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Continuous"/>
    </xf>
    <xf numFmtId="169" fontId="18" fillId="0" borderId="0" xfId="0" applyNumberFormat="1" applyFont="1"/>
    <xf numFmtId="169" fontId="19" fillId="0" borderId="0" xfId="0" applyNumberFormat="1" applyFont="1"/>
    <xf numFmtId="170" fontId="0" fillId="0" borderId="0" xfId="0" applyNumberFormat="1"/>
    <xf numFmtId="171" fontId="0" fillId="0" borderId="0" xfId="0" applyNumberFormat="1"/>
    <xf numFmtId="0" fontId="0" fillId="8" borderId="0" xfId="0" applyFill="1" applyAlignment="1">
      <alignment horizontal="left"/>
    </xf>
    <xf numFmtId="171" fontId="0" fillId="8" borderId="0" xfId="0" applyNumberFormat="1" applyFill="1"/>
    <xf numFmtId="10" fontId="0" fillId="8" borderId="0" xfId="1" applyNumberFormat="1" applyFont="1" applyFill="1"/>
    <xf numFmtId="169" fontId="18" fillId="8" borderId="0" xfId="0" applyNumberFormat="1" applyFont="1" applyFill="1"/>
    <xf numFmtId="0" fontId="3" fillId="0" borderId="6" xfId="0" applyFont="1" applyBorder="1"/>
    <xf numFmtId="17" fontId="3" fillId="0" borderId="6" xfId="0" applyNumberFormat="1" applyFont="1" applyBorder="1"/>
    <xf numFmtId="43" fontId="0" fillId="0" borderId="0" xfId="0" applyNumberFormat="1"/>
    <xf numFmtId="0" fontId="2" fillId="5" borderId="0" xfId="0" applyFont="1" applyFill="1" applyAlignment="1">
      <alignment horizontal="center"/>
    </xf>
    <xf numFmtId="0" fontId="3" fillId="0" borderId="0" xfId="0" applyFont="1" applyBorder="1"/>
    <xf numFmtId="17" fontId="3" fillId="0" borderId="0" xfId="0" applyNumberFormat="1" applyFont="1" applyBorder="1"/>
    <xf numFmtId="43" fontId="3" fillId="0" borderId="0" xfId="0" applyNumberFormat="1" applyFont="1"/>
    <xf numFmtId="10" fontId="3" fillId="0" borderId="0" xfId="1" applyNumberFormat="1" applyFont="1" applyBorder="1"/>
    <xf numFmtId="0" fontId="16" fillId="7" borderId="0" xfId="0" applyFont="1" applyFill="1" applyAlignment="1">
      <alignment horizontal="right" vertical="center" wrapText="1"/>
    </xf>
    <xf numFmtId="0" fontId="20" fillId="4" borderId="0" xfId="0" applyFont="1" applyFill="1"/>
    <xf numFmtId="17" fontId="20" fillId="4" borderId="0" xfId="0" applyNumberFormat="1" applyFont="1" applyFill="1"/>
    <xf numFmtId="0" fontId="23" fillId="0" borderId="0" xfId="0" applyFont="1"/>
    <xf numFmtId="3" fontId="24" fillId="0" borderId="0" xfId="0" applyNumberFormat="1" applyFont="1"/>
    <xf numFmtId="0" fontId="24" fillId="0" borderId="0" xfId="0" applyFont="1"/>
    <xf numFmtId="0" fontId="23" fillId="0" borderId="7" xfId="0" applyFont="1" applyBorder="1"/>
    <xf numFmtId="3" fontId="23" fillId="0" borderId="7" xfId="0" applyNumberFormat="1" applyFont="1" applyBorder="1"/>
    <xf numFmtId="0" fontId="21" fillId="7" borderId="8" xfId="0" applyFont="1" applyFill="1" applyBorder="1" applyAlignment="1">
      <alignment horizontal="left" vertical="center"/>
    </xf>
    <xf numFmtId="0" fontId="23" fillId="0" borderId="8" xfId="0" applyFont="1" applyBorder="1"/>
    <xf numFmtId="0" fontId="24" fillId="0" borderId="8" xfId="0" applyFont="1" applyBorder="1"/>
    <xf numFmtId="172" fontId="22" fillId="7" borderId="8" xfId="0" applyNumberFormat="1" applyFont="1" applyFill="1" applyBorder="1" applyAlignment="1">
      <alignment horizontal="right" vertical="center" wrapText="1"/>
    </xf>
    <xf numFmtId="172" fontId="24" fillId="0" borderId="8" xfId="0" applyNumberFormat="1" applyFont="1" applyBorder="1"/>
    <xf numFmtId="172" fontId="24" fillId="0" borderId="0" xfId="0" applyNumberFormat="1" applyFont="1"/>
    <xf numFmtId="172" fontId="23" fillId="0" borderId="0" xfId="0" applyNumberFormat="1" applyFont="1"/>
    <xf numFmtId="0" fontId="23" fillId="0" borderId="9" xfId="0" applyFont="1" applyBorder="1"/>
    <xf numFmtId="172" fontId="24" fillId="0" borderId="9" xfId="0" applyNumberFormat="1" applyFont="1" applyBorder="1"/>
    <xf numFmtId="172" fontId="24" fillId="0" borderId="1" xfId="0" applyNumberFormat="1" applyFont="1" applyBorder="1"/>
    <xf numFmtId="172" fontId="24" fillId="0" borderId="2" xfId="0" applyNumberFormat="1" applyFont="1" applyBorder="1"/>
    <xf numFmtId="172" fontId="23" fillId="0" borderId="7" xfId="0" applyNumberFormat="1" applyFont="1" applyBorder="1"/>
    <xf numFmtId="0" fontId="23" fillId="0" borderId="10" xfId="0" applyFont="1" applyBorder="1"/>
    <xf numFmtId="0" fontId="2" fillId="4" borderId="0" xfId="0" applyFont="1" applyFill="1" applyAlignment="1"/>
    <xf numFmtId="17" fontId="2" fillId="4" borderId="0" xfId="0" applyNumberFormat="1" applyFont="1" applyFill="1" applyAlignment="1"/>
    <xf numFmtId="0" fontId="3" fillId="0" borderId="11" xfId="0" applyFont="1" applyBorder="1"/>
    <xf numFmtId="0" fontId="0" fillId="0" borderId="11" xfId="0" applyBorder="1"/>
    <xf numFmtId="0" fontId="0" fillId="0" borderId="1" xfId="0" applyBorder="1"/>
    <xf numFmtId="0" fontId="0" fillId="0" borderId="8" xfId="0" applyBorder="1"/>
    <xf numFmtId="0" fontId="0" fillId="0" borderId="12" xfId="0" applyBorder="1"/>
    <xf numFmtId="0" fontId="3" fillId="0" borderId="13" xfId="0" applyFont="1" applyBorder="1"/>
    <xf numFmtId="0" fontId="0" fillId="0" borderId="13" xfId="0" applyBorder="1"/>
    <xf numFmtId="0" fontId="3" fillId="0" borderId="0" xfId="0" applyFont="1" applyFill="1" applyBorder="1"/>
    <xf numFmtId="0" fontId="3" fillId="0" borderId="14" xfId="0" applyFont="1" applyBorder="1"/>
    <xf numFmtId="10" fontId="3" fillId="0" borderId="14" xfId="1" applyNumberFormat="1" applyFont="1" applyBorder="1"/>
    <xf numFmtId="0" fontId="0" fillId="7" borderId="0" xfId="0" applyFill="1"/>
    <xf numFmtId="17" fontId="25" fillId="7" borderId="0" xfId="0" applyNumberFormat="1" applyFont="1" applyFill="1" applyAlignment="1">
      <alignment horizontal="right" vertical="center" wrapText="1"/>
    </xf>
    <xf numFmtId="0" fontId="26" fillId="7" borderId="0" xfId="0" applyFont="1" applyFill="1" applyAlignment="1">
      <alignment horizontal="left" vertical="center"/>
    </xf>
    <xf numFmtId="3" fontId="26" fillId="7" borderId="0" xfId="0" applyNumberFormat="1" applyFont="1" applyFill="1" applyAlignment="1">
      <alignment horizontal="right" vertical="center" wrapText="1"/>
    </xf>
    <xf numFmtId="0" fontId="26" fillId="7" borderId="0" xfId="0" applyFont="1" applyFill="1" applyAlignment="1">
      <alignment horizontal="right" vertical="center" wrapText="1"/>
    </xf>
    <xf numFmtId="0" fontId="16" fillId="7" borderId="0" xfId="0" applyFont="1" applyFill="1" applyAlignment="1">
      <alignment horizontal="left" vertical="center"/>
    </xf>
    <xf numFmtId="173" fontId="0" fillId="0" borderId="1" xfId="0" applyNumberFormat="1" applyBorder="1"/>
    <xf numFmtId="173" fontId="0" fillId="0" borderId="2" xfId="0" applyNumberFormat="1" applyBorder="1"/>
    <xf numFmtId="173" fontId="3" fillId="0" borderId="11" xfId="0" applyNumberFormat="1" applyFont="1" applyBorder="1"/>
    <xf numFmtId="173" fontId="0" fillId="0" borderId="0" xfId="0" applyNumberFormat="1"/>
    <xf numFmtId="173" fontId="0" fillId="0" borderId="8" xfId="0" applyNumberFormat="1" applyBorder="1"/>
    <xf numFmtId="173" fontId="0" fillId="0" borderId="11" xfId="0" applyNumberFormat="1" applyBorder="1"/>
    <xf numFmtId="173" fontId="3" fillId="0" borderId="13" xfId="0" applyNumberFormat="1" applyFont="1" applyBorder="1"/>
    <xf numFmtId="173" fontId="3" fillId="0" borderId="0" xfId="0" applyNumberFormat="1" applyFont="1"/>
    <xf numFmtId="10" fontId="19" fillId="0" borderId="1" xfId="1" applyNumberFormat="1" applyFont="1" applyBorder="1"/>
    <xf numFmtId="0" fontId="3" fillId="8" borderId="0" xfId="0" applyFont="1" applyFill="1"/>
    <xf numFmtId="10" fontId="3" fillId="8" borderId="0" xfId="0" applyNumberFormat="1" applyFont="1" applyFill="1"/>
    <xf numFmtId="10" fontId="0" fillId="0" borderId="1" xfId="0" applyNumberFormat="1" applyBorder="1"/>
    <xf numFmtId="174" fontId="2" fillId="4" borderId="0" xfId="0" applyNumberFormat="1" applyFont="1" applyFill="1"/>
    <xf numFmtId="175" fontId="2" fillId="4" borderId="0" xfId="0" applyNumberFormat="1" applyFont="1" applyFill="1"/>
    <xf numFmtId="10" fontId="0" fillId="0" borderId="0" xfId="0" applyNumberFormat="1"/>
    <xf numFmtId="0" fontId="0" fillId="0" borderId="15" xfId="0" applyBorder="1"/>
    <xf numFmtId="0" fontId="0" fillId="8" borderId="0" xfId="0" applyFill="1"/>
    <xf numFmtId="10" fontId="19" fillId="8" borderId="0" xfId="1" applyNumberFormat="1" applyFont="1" applyFill="1"/>
    <xf numFmtId="0" fontId="0" fillId="0" borderId="0" xfId="0" applyFont="1"/>
    <xf numFmtId="10" fontId="19" fillId="9" borderId="8" xfId="1" applyNumberFormat="1" applyFont="1" applyFill="1" applyBorder="1" applyAlignment="1">
      <alignment horizontal="left"/>
    </xf>
    <xf numFmtId="10" fontId="0" fillId="0" borderId="8" xfId="0" applyNumberFormat="1" applyBorder="1" applyAlignment="1">
      <alignment horizontal="left"/>
    </xf>
    <xf numFmtId="0" fontId="0" fillId="9" borderId="8" xfId="0" applyFill="1" applyBorder="1" applyAlignment="1">
      <alignment horizontal="left"/>
    </xf>
    <xf numFmtId="10" fontId="1" fillId="9" borderId="8" xfId="1" applyNumberFormat="1" applyFont="1" applyFill="1" applyBorder="1" applyAlignment="1">
      <alignment horizontal="left"/>
    </xf>
    <xf numFmtId="10" fontId="19" fillId="0" borderId="8" xfId="0" applyNumberFormat="1" applyFont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176" fontId="0" fillId="0" borderId="8" xfId="0" applyNumberFormat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15" xfId="0" applyFill="1" applyBorder="1" applyAlignment="1">
      <alignment horizontal="left"/>
    </xf>
    <xf numFmtId="4" fontId="0" fillId="9" borderId="8" xfId="0" applyNumberFormat="1" applyFill="1" applyBorder="1" applyAlignment="1">
      <alignment horizontal="left"/>
    </xf>
    <xf numFmtId="4" fontId="0" fillId="0" borderId="8" xfId="0" applyNumberFormat="1" applyBorder="1" applyAlignment="1">
      <alignment horizontal="left"/>
    </xf>
    <xf numFmtId="4" fontId="0" fillId="0" borderId="0" xfId="0" applyNumberFormat="1" applyBorder="1" applyAlignment="1">
      <alignment horizontal="left"/>
    </xf>
    <xf numFmtId="4" fontId="0" fillId="5" borderId="0" xfId="0" applyNumberFormat="1" applyFill="1" applyBorder="1" applyAlignment="1">
      <alignment horizontal="left"/>
    </xf>
    <xf numFmtId="4" fontId="3" fillId="5" borderId="0" xfId="0" applyNumberFormat="1" applyFont="1" applyFill="1" applyBorder="1" applyAlignment="1">
      <alignment horizontal="left"/>
    </xf>
    <xf numFmtId="0" fontId="3" fillId="0" borderId="16" xfId="0" applyFont="1" applyBorder="1"/>
    <xf numFmtId="4" fontId="3" fillId="5" borderId="16" xfId="0" applyNumberFormat="1" applyFont="1" applyFill="1" applyBorder="1" applyAlignment="1">
      <alignment horizontal="left"/>
    </xf>
    <xf numFmtId="4" fontId="0" fillId="5" borderId="0" xfId="0" applyNumberFormat="1" applyFont="1" applyFill="1" applyBorder="1" applyAlignment="1">
      <alignment horizontal="left"/>
    </xf>
    <xf numFmtId="177" fontId="0" fillId="0" borderId="0" xfId="1" applyNumberFormat="1" applyFont="1"/>
    <xf numFmtId="0" fontId="2" fillId="4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43" fontId="15" fillId="5" borderId="0" xfId="0" applyNumberFormat="1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4" fontId="0" fillId="5" borderId="0" xfId="0" applyNumberFormat="1" applyFill="1" applyBorder="1" applyAlignment="1">
      <alignment horizontal="right"/>
    </xf>
    <xf numFmtId="4" fontId="3" fillId="5" borderId="16" xfId="0" applyNumberFormat="1" applyFont="1" applyFill="1" applyBorder="1" applyAlignment="1">
      <alignment horizontal="right"/>
    </xf>
    <xf numFmtId="0" fontId="2" fillId="4" borderId="0" xfId="0" applyFont="1" applyFill="1" applyAlignment="1">
      <alignment horizontal="left"/>
    </xf>
    <xf numFmtId="4" fontId="27" fillId="0" borderId="0" xfId="0" applyNumberFormat="1" applyFont="1"/>
    <xf numFmtId="9" fontId="3" fillId="0" borderId="0" xfId="1" applyFont="1" applyAlignment="1">
      <alignment horizontal="left"/>
    </xf>
    <xf numFmtId="10" fontId="3" fillId="0" borderId="0" xfId="1" applyNumberFormat="1" applyFont="1" applyAlignment="1">
      <alignment horizontal="lef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8" borderId="0" xfId="0" applyNumberFormat="1" applyFill="1" applyAlignment="1">
      <alignment horizontal="left"/>
    </xf>
  </cellXfs>
  <cellStyles count="8">
    <cellStyle name="Accent6 2" xfId="4" xr:uid="{BBDB2BF0-232B-4C01-AC19-E13AE7790424}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40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0115923009624"/>
          <c:y val="0.15319444444444447"/>
          <c:w val="0.8070857392825896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Analysis'!$D$2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flat">
                <a:solidFill>
                  <a:schemeClr val="tx1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Analysis'!$C$3:$C$14</c:f>
              <c:numCache>
                <c:formatCode>yyyy"A"</c:formatCode>
                <c:ptCount val="12"/>
                <c:pt idx="0">
                  <c:v>42094</c:v>
                </c:pt>
                <c:pt idx="1">
                  <c:v>42459</c:v>
                </c:pt>
                <c:pt idx="2">
                  <c:v>42824</c:v>
                </c:pt>
                <c:pt idx="3">
                  <c:v>43189</c:v>
                </c:pt>
                <c:pt idx="4">
                  <c:v>43554</c:v>
                </c:pt>
                <c:pt idx="5">
                  <c:v>43919</c:v>
                </c:pt>
                <c:pt idx="6">
                  <c:v>44284</c:v>
                </c:pt>
                <c:pt idx="7">
                  <c:v>44649</c:v>
                </c:pt>
                <c:pt idx="8">
                  <c:v>45014</c:v>
                </c:pt>
                <c:pt idx="9">
                  <c:v>45379</c:v>
                </c:pt>
                <c:pt idx="10" formatCode="yyyy&quot;E&quot;">
                  <c:v>45744</c:v>
                </c:pt>
                <c:pt idx="11" formatCode="yyyy&quot;E&quot;">
                  <c:v>46109</c:v>
                </c:pt>
              </c:numCache>
            </c:numRef>
          </c:xVal>
          <c:yVal>
            <c:numRef>
              <c:f>'Regression Analysis'!$D$3:$D$14</c:f>
              <c:numCache>
                <c:formatCode>#,##0.0</c:formatCode>
                <c:ptCount val="12"/>
                <c:pt idx="0">
                  <c:v>4596</c:v>
                </c:pt>
                <c:pt idx="1">
                  <c:v>4687</c:v>
                </c:pt>
                <c:pt idx="2">
                  <c:v>5733</c:v>
                </c:pt>
                <c:pt idx="3">
                  <c:v>6017</c:v>
                </c:pt>
                <c:pt idx="4">
                  <c:v>5918</c:v>
                </c:pt>
                <c:pt idx="5">
                  <c:v>6322</c:v>
                </c:pt>
                <c:pt idx="6">
                  <c:v>7334</c:v>
                </c:pt>
                <c:pt idx="7">
                  <c:v>7315</c:v>
                </c:pt>
                <c:pt idx="8">
                  <c:v>8048</c:v>
                </c:pt>
                <c:pt idx="9">
                  <c:v>9512</c:v>
                </c:pt>
                <c:pt idx="10">
                  <c:v>9764</c:v>
                </c:pt>
                <c:pt idx="11">
                  <c:v>9653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04-43E9-A7FC-48BCD1590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17839"/>
        <c:axId val="109139503"/>
      </c:scatterChart>
      <c:valAx>
        <c:axId val="11671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39503"/>
        <c:crosses val="autoZero"/>
        <c:crossBetween val="midCat"/>
      </c:valAx>
      <c:valAx>
        <c:axId val="10913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596899</xdr:colOff>
      <xdr:row>0</xdr:row>
      <xdr:rowOff>28575</xdr:rowOff>
    </xdr:from>
    <xdr:to>
      <xdr:col>12</xdr:col>
      <xdr:colOff>273050</xdr:colOff>
      <xdr:row>12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C82F7-E9B6-4C19-B726-D79928678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5995-A7B3-46FC-85B4-A6867D964674}">
  <sheetPr>
    <tabColor rgb="FF002060"/>
  </sheetPr>
  <dimension ref="A1"/>
  <sheetViews>
    <sheetView workbookViewId="0"/>
  </sheetViews>
  <sheetFormatPr defaultRowHeight="14.5"/>
  <sheetData>
    <row r="1" spans="1:1">
      <c r="A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41EF-5F05-47A7-8FE3-E89CA613E565}">
  <sheetPr>
    <tabColor rgb="FF002060"/>
  </sheetPr>
  <dimension ref="A1"/>
  <sheetViews>
    <sheetView workbookViewId="0">
      <selection activeCell="B26" sqref="B26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50F0-7C2E-4888-89AB-63564692852E}">
  <dimension ref="B2:X40"/>
  <sheetViews>
    <sheetView showGridLines="0" workbookViewId="0">
      <selection activeCell="L43" sqref="L43"/>
    </sheetView>
  </sheetViews>
  <sheetFormatPr defaultRowHeight="14.5"/>
  <cols>
    <col min="1" max="1" width="1.81640625" customWidth="1"/>
    <col min="2" max="2" width="31.90625" customWidth="1"/>
    <col min="13" max="13" width="19.1796875" style="21" customWidth="1"/>
    <col min="14" max="14" width="13.1796875" customWidth="1"/>
    <col min="15" max="15" width="13" customWidth="1"/>
  </cols>
  <sheetData>
    <row r="2" spans="2:24">
      <c r="B2" s="151" t="str">
        <f>"Ratio Analysis - "&amp;'Data Sheet'!B1</f>
        <v>Ratio Analysis - MARICO LTD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</row>
    <row r="3" spans="2:24">
      <c r="B3" s="14" t="s">
        <v>56</v>
      </c>
      <c r="C3" s="15">
        <f>'Data Sheet'!B16</f>
        <v>42094</v>
      </c>
      <c r="D3" s="15">
        <f>'Data Sheet'!C16</f>
        <v>42460</v>
      </c>
      <c r="E3" s="15">
        <f>'Data Sheet'!D16</f>
        <v>42825</v>
      </c>
      <c r="F3" s="15">
        <f>'Data Sheet'!E16</f>
        <v>43190</v>
      </c>
      <c r="G3" s="15">
        <f>'Data Sheet'!F16</f>
        <v>43555</v>
      </c>
      <c r="H3" s="15">
        <f>'Data Sheet'!G16</f>
        <v>43921</v>
      </c>
      <c r="I3" s="15">
        <f>'Data Sheet'!H16</f>
        <v>44286</v>
      </c>
      <c r="J3" s="15">
        <f>'Data Sheet'!I16</f>
        <v>44651</v>
      </c>
      <c r="K3" s="15">
        <f>'Data Sheet'!J16</f>
        <v>45016</v>
      </c>
      <c r="L3" s="15">
        <f>'Data Sheet'!K16</f>
        <v>45382</v>
      </c>
      <c r="M3" s="49" t="s">
        <v>157</v>
      </c>
      <c r="N3" s="45" t="s">
        <v>154</v>
      </c>
      <c r="O3" s="45" t="s">
        <v>155</v>
      </c>
      <c r="P3" s="34"/>
      <c r="Q3" s="34"/>
      <c r="R3" s="34"/>
      <c r="S3" s="34"/>
      <c r="T3" s="34"/>
      <c r="U3" s="34"/>
      <c r="V3" s="34"/>
      <c r="W3" s="34"/>
      <c r="X3" s="34"/>
    </row>
    <row r="5" spans="2:24">
      <c r="B5" s="35" t="s">
        <v>59</v>
      </c>
      <c r="C5" s="36"/>
      <c r="D5" s="36">
        <f>IFERROR(HistoricalFS!D7,0)</f>
        <v>4.9597242620766258E-2</v>
      </c>
      <c r="E5" s="36">
        <f>IFERROR(HistoricalFS!E7,0)</f>
        <v>-1.6540586174575989E-2</v>
      </c>
      <c r="F5" s="36">
        <f>IFERROR(HistoricalFS!F7,0)</f>
        <v>6.8304214918069039E-2</v>
      </c>
      <c r="G5" s="36">
        <f>IFERROR(HistoricalFS!G7,0)</f>
        <v>0.1600759253400823</v>
      </c>
      <c r="H5" s="36">
        <f>IFERROR(HistoricalFS!H7,0)</f>
        <v>-2.5906735751295429E-3</v>
      </c>
      <c r="I5" s="36">
        <f>IFERROR(HistoricalFS!I7,0)</f>
        <v>0.10020505809979485</v>
      </c>
      <c r="J5" s="36">
        <f>IFERROR(HistoricalFS!J7,0)</f>
        <v>0.18190854870775341</v>
      </c>
      <c r="K5" s="36">
        <f>IFERROR(HistoricalFS!K7,0)</f>
        <v>2.6492851135407891E-2</v>
      </c>
      <c r="L5" s="36">
        <f>IFERROR(HistoricalFS!L7,0)</f>
        <v>-1.1368291683736209E-2</v>
      </c>
      <c r="N5" s="12">
        <f>IFERROR(AVERAGE(C5:L5),0)</f>
        <v>6.1787143265381338E-2</v>
      </c>
      <c r="O5" s="12">
        <f>IFERROR(MEDIAN(C5:L5),0)</f>
        <v>4.9597242620766258E-2</v>
      </c>
    </row>
    <row r="6" spans="2:24">
      <c r="B6" s="37" t="s">
        <v>126</v>
      </c>
      <c r="C6" s="37"/>
      <c r="D6" s="38">
        <f>IFERROR(HistoricalFS!D18/HistoricalFS!C18-1,0)</f>
        <v>0.13083677628428569</v>
      </c>
      <c r="E6" s="38">
        <f>IFERROR(HistoricalFS!E18/HistoricalFS!D18-1,0)</f>
        <v>-0.11631456757175951</v>
      </c>
      <c r="F6" s="38">
        <f>IFERROR(HistoricalFS!F18/HistoricalFS!E18-1,0)</f>
        <v>0.18850609297427412</v>
      </c>
      <c r="G6" s="38">
        <f>IFERROR(HistoricalFS!G18/HistoricalFS!F18-1,0)</f>
        <v>0.16080637599624947</v>
      </c>
      <c r="H6" s="38">
        <f>IFERROR(HistoricalFS!H18/HistoricalFS!G18-1,0)</f>
        <v>-8.2996768982229407E-2</v>
      </c>
      <c r="I6" s="38">
        <f>IFERROR(HistoricalFS!I18/HistoricalFS!H18-1,0)</f>
        <v>0.17705351244219325</v>
      </c>
      <c r="J6" s="38">
        <f>IFERROR(HistoricalFS!J18/HistoricalFS!I18-1,0)</f>
        <v>0.24845650140318054</v>
      </c>
      <c r="K6" s="38">
        <f>IFERROR(HistoricalFS!K18/HistoricalFS!J18-1,0)</f>
        <v>-4.2559568410010518E-2</v>
      </c>
      <c r="L6" s="38">
        <f>IFERROR(HistoricalFS!L18/HistoricalFS!K18-1,0)</f>
        <v>-3.3495069650962606E-2</v>
      </c>
      <c r="N6" s="12">
        <f t="shared" ref="N6:N9" si="0">IFERROR(AVERAGE(C6:L6),0)</f>
        <v>7.0032587165024557E-2</v>
      </c>
      <c r="O6" s="12">
        <f t="shared" ref="O6:O9" si="1">IFERROR(MEDIAN(C6:L6),0)</f>
        <v>0.13083677628428569</v>
      </c>
    </row>
    <row r="7" spans="2:24">
      <c r="B7" s="37" t="s">
        <v>127</v>
      </c>
      <c r="C7" s="37"/>
      <c r="D7" s="38">
        <f>IFERROR(HistoricalFS!D27/HistoricalFS!C27-1,0)</f>
        <v>0.1309835383203044</v>
      </c>
      <c r="E7" s="38">
        <f>IFERROR(HistoricalFS!E27/HistoricalFS!D27-1,0)</f>
        <v>-0.11794644275101651</v>
      </c>
      <c r="F7" s="38">
        <f>IFERROR(HistoricalFS!F27/HistoricalFS!E27-1,0)</f>
        <v>0.19374235513334948</v>
      </c>
      <c r="G7" s="38">
        <f>IFERROR(HistoricalFS!G27/HistoricalFS!F27-1,0)</f>
        <v>0.15417763945415364</v>
      </c>
      <c r="H7" s="38">
        <f>IFERROR(HistoricalFS!H27/HistoricalFS!G27-1,0)</f>
        <v>-8.711885500933414E-2</v>
      </c>
      <c r="I7" s="38">
        <f>IFERROR(HistoricalFS!I27/HistoricalFS!H27-1,0)</f>
        <v>0.18291297432401721</v>
      </c>
      <c r="J7" s="38">
        <f>IFERROR(HistoricalFS!J27/HistoricalFS!I27-1,0)</f>
        <v>0.25509028044563964</v>
      </c>
      <c r="K7" s="38">
        <f>IFERROR(HistoricalFS!K27/HistoricalFS!J27-1,0)</f>
        <v>-4.5913682277318624E-2</v>
      </c>
      <c r="L7" s="38">
        <f>IFERROR(HistoricalFS!L27/HistoricalFS!K27-1,0)</f>
        <v>-3.4809111324991981E-2</v>
      </c>
      <c r="N7" s="12">
        <f t="shared" si="0"/>
        <v>7.0124299590533679E-2</v>
      </c>
      <c r="O7" s="12">
        <f t="shared" si="1"/>
        <v>0.1309835383203044</v>
      </c>
    </row>
    <row r="8" spans="2:24">
      <c r="B8" s="37" t="s">
        <v>128</v>
      </c>
      <c r="C8" s="37"/>
      <c r="D8" s="38">
        <f>IFERROR(HistoricalFS!D35/HistoricalFS!C35-1,0)</f>
        <v>0.12105350665985193</v>
      </c>
      <c r="E8" s="38">
        <f>IFERROR(HistoricalFS!E35/HistoricalFS!D35-1,0)</f>
        <v>-0.13628473652697903</v>
      </c>
      <c r="F8" s="38">
        <f>IFERROR(HistoricalFS!F35/HistoricalFS!E35-1,0)</f>
        <v>0.23093262782333857</v>
      </c>
      <c r="G8" s="38">
        <f>IFERROR(HistoricalFS!G35/HistoricalFS!F35-1,0)</f>
        <v>0.20253164556962022</v>
      </c>
      <c r="H8" s="38">
        <f>IFERROR(HistoricalFS!H35/HistoricalFS!G35-1,0)</f>
        <v>-0.13641245972073035</v>
      </c>
      <c r="I8" s="38">
        <f>IFERROR(HistoricalFS!I35/HistoricalFS!H35-1,0)</f>
        <v>0.20597014925373136</v>
      </c>
      <c r="J8" s="38">
        <f>IFERROR(HistoricalFS!J35/HistoricalFS!I35-1,0)</f>
        <v>0.26835808580858078</v>
      </c>
      <c r="K8" s="38">
        <f>IFERROR(HistoricalFS!K35/HistoricalFS!J35-1,0)</f>
        <v>-6.3750203285086959E-2</v>
      </c>
      <c r="L8" s="38">
        <f>IFERROR(HistoricalFS!L35/HistoricalFS!K35-1,0)</f>
        <v>-4.3077992009727284E-2</v>
      </c>
      <c r="N8" s="12">
        <f t="shared" si="0"/>
        <v>7.2146735952511032E-2</v>
      </c>
      <c r="O8" s="12">
        <f t="shared" si="1"/>
        <v>0.12105350665985193</v>
      </c>
    </row>
    <row r="9" spans="2:24">
      <c r="B9" s="39" t="s">
        <v>129</v>
      </c>
      <c r="C9" s="39"/>
      <c r="D9" s="40">
        <f>IFERROR(HistoricalFS!D43/HistoricalFS!C43-1,0)</f>
        <v>2.4000310029452798</v>
      </c>
      <c r="E9" s="40">
        <f>IFERROR(HistoricalFS!E43/HistoricalFS!D43-1,0)</f>
        <v>-0.17646898122030175</v>
      </c>
      <c r="F9" s="40">
        <f>IFERROR(HistoricalFS!F43/HistoricalFS!E43-1,0)</f>
        <v>0.21342569633803032</v>
      </c>
      <c r="G9" s="40">
        <f>IFERROR(HistoricalFS!G43/HistoricalFS!F43-1,0)</f>
        <v>0.11764705882352944</v>
      </c>
      <c r="H9" s="40">
        <f>IFERROR(HistoricalFS!H43/HistoricalFS!G43-1,0)</f>
        <v>0.42094255778874001</v>
      </c>
      <c r="I9" s="40">
        <f>IFERROR(HistoricalFS!I43/HistoricalFS!H43-1,0)</f>
        <v>0.11076695403782288</v>
      </c>
      <c r="J9" s="40">
        <f>IFERROR(HistoricalFS!J43/HistoricalFS!I43-1,0)</f>
        <v>0.23199773102310228</v>
      </c>
      <c r="K9" s="40">
        <f>IFERROR(HistoricalFS!K43/HistoricalFS!J43-1,0)</f>
        <v>-0.51362637867935224</v>
      </c>
      <c r="L9" s="40">
        <f>IFERROR(HistoricalFS!L43/HistoricalFS!K43-1,0)</f>
        <v>1.1094797757343158</v>
      </c>
      <c r="N9" s="12">
        <f t="shared" si="0"/>
        <v>0.4349106018656852</v>
      </c>
      <c r="O9" s="12">
        <f t="shared" si="1"/>
        <v>0.21342569633803032</v>
      </c>
    </row>
    <row r="11" spans="2:24">
      <c r="B11" s="35" t="s">
        <v>125</v>
      </c>
      <c r="C11" s="36">
        <f>IFERROR(HistoricalFS!C13,0)</f>
        <v>0.82312863467167163</v>
      </c>
      <c r="D11" s="36">
        <f>IFERROR(HistoricalFS!D13,0)</f>
        <v>0.87901424554452812</v>
      </c>
      <c r="E11" s="36">
        <f>IFERROR(HistoricalFS!E13,0)</f>
        <v>0.81346245811358631</v>
      </c>
      <c r="F11" s="36">
        <f>IFERROR(HistoricalFS!F13,0)</f>
        <v>0.84735843087630491</v>
      </c>
      <c r="G11" s="36">
        <f>IFERROR(HistoricalFS!G13,0)</f>
        <v>0.83569675484046901</v>
      </c>
      <c r="H11" s="36">
        <f>IFERROR(HistoricalFS!H13,0)</f>
        <v>0.79439507860560488</v>
      </c>
      <c r="I11" s="36">
        <f>IFERROR(HistoricalFS!I13,0)</f>
        <v>0.82405566600397617</v>
      </c>
      <c r="J11" s="36">
        <f>IFERROR(HistoricalFS!J13,0)</f>
        <v>0.85470984020185026</v>
      </c>
      <c r="K11" s="36">
        <f>IFERROR(HistoricalFS!K13,0)</f>
        <v>0.81800491601802539</v>
      </c>
      <c r="L11" s="36">
        <f>IFERROR(HistoricalFS!L13,0)</f>
        <v>0.82160986221899923</v>
      </c>
      <c r="N11" s="12">
        <f>IFERROR(AVERAGE(C11:L11),0)</f>
        <v>0.83114358870950156</v>
      </c>
      <c r="O11" s="12">
        <f>IFERROR(MEDIAN(C11:L11),0)</f>
        <v>0.82359215033782385</v>
      </c>
    </row>
    <row r="12" spans="2:24">
      <c r="B12" s="37" t="s">
        <v>130</v>
      </c>
      <c r="C12" s="38">
        <f>IFERROR(HistoricalFS!C19,0)</f>
        <v>0.6265293093644142</v>
      </c>
      <c r="D12" s="38">
        <f>IFERROR(HistoricalFS!D19,0)</f>
        <v>0.67502309998471077</v>
      </c>
      <c r="E12" s="38">
        <f>IFERROR(HistoricalFS!E19,0)</f>
        <v>0.60654061735884501</v>
      </c>
      <c r="F12" s="38">
        <f>IFERROR(HistoricalFS!F19,0)</f>
        <v>0.67478645998101872</v>
      </c>
      <c r="G12" s="38">
        <f>IFERROR(HistoricalFS!G19,0)</f>
        <v>0.67521134442323427</v>
      </c>
      <c r="H12" s="38">
        <f>IFERROR(HistoricalFS!H19,0)</f>
        <v>0.62077922077922076</v>
      </c>
      <c r="I12" s="38">
        <f>IFERROR(HistoricalFS!I19,0)</f>
        <v>0.66414015904572565</v>
      </c>
      <c r="J12" s="38">
        <f>IFERROR(HistoricalFS!J19,0)</f>
        <v>0.70153490328006729</v>
      </c>
      <c r="K12" s="38">
        <f>IFERROR(HistoricalFS!K19,0)</f>
        <v>0.65434248258910288</v>
      </c>
      <c r="L12" s="38">
        <f>IFERROR(HistoricalFS!L19,0)</f>
        <v>0.63969750336682896</v>
      </c>
      <c r="N12" s="12">
        <f t="shared" ref="N12:N15" si="2">IFERROR(AVERAGE(C12:L12),0)</f>
        <v>0.65385851001731687</v>
      </c>
      <c r="O12" s="12">
        <f t="shared" ref="O12:O15" si="3">IFERROR(MEDIAN(C12:L12),0)</f>
        <v>0.65924132081741427</v>
      </c>
    </row>
    <row r="13" spans="2:24">
      <c r="B13" s="37" t="s">
        <v>131</v>
      </c>
      <c r="C13" s="38">
        <f>IFERROR((HistoricalFS!C18-HistoricalFS!C24)/HistoricalFS!C6,0)</f>
        <v>0.61181793761708558</v>
      </c>
      <c r="D13" s="38">
        <f>IFERROR((HistoricalFS!D18-HistoricalFS!D24)/HistoricalFS!D6,0)</f>
        <v>0.6592586068216415</v>
      </c>
      <c r="E13" s="38">
        <f>IFERROR((HistoricalFS!E18-HistoricalFS!E24)/HistoricalFS!E6,0)</f>
        <v>0.59128154260289723</v>
      </c>
      <c r="F13" s="38">
        <f>IFERROR((HistoricalFS!F18-HistoricalFS!F24)/HistoricalFS!F6,0)</f>
        <v>0.66070863650743439</v>
      </c>
      <c r="G13" s="38">
        <f>IFERROR((HistoricalFS!G18-HistoricalFS!G24)/HistoricalFS!G6,0)</f>
        <v>0.65734933187892008</v>
      </c>
      <c r="H13" s="38">
        <f>IFERROR((HistoricalFS!H18-HistoricalFS!H24)/HistoricalFS!H6,0)</f>
        <v>0.60164046479835953</v>
      </c>
      <c r="I13" s="38">
        <f>IFERROR((HistoricalFS!I18-HistoricalFS!I24)/HistoricalFS!I6,0)</f>
        <v>0.64686878727634189</v>
      </c>
      <c r="J13" s="38">
        <f>IFERROR((HistoricalFS!J18-HistoricalFS!J24)/HistoricalFS!J6,0)</f>
        <v>0.68692178301093354</v>
      </c>
      <c r="K13" s="38">
        <f>IFERROR((HistoricalFS!K18-HistoricalFS!K24)/HistoricalFS!K6,0)</f>
        <v>0.63846784104875054</v>
      </c>
      <c r="L13" s="38">
        <f>IFERROR((HistoricalFS!L18-HistoricalFS!L24)/HistoricalFS!L6,0)</f>
        <v>0.62332953485962916</v>
      </c>
      <c r="N13" s="12">
        <f t="shared" si="2"/>
        <v>0.63776444664219933</v>
      </c>
      <c r="O13" s="12">
        <f t="shared" si="3"/>
        <v>0.64266831416254622</v>
      </c>
    </row>
    <row r="14" spans="2:24">
      <c r="B14" s="37" t="s">
        <v>132</v>
      </c>
      <c r="C14" s="38">
        <f>IFERROR(HistoricalFS!C30,0)</f>
        <v>0.60781478393435862</v>
      </c>
      <c r="D14" s="38">
        <f>IFERROR(HistoricalFS!D30,0)</f>
        <v>0.65583183211130536</v>
      </c>
      <c r="E14" s="38">
        <f>IFERROR(HistoricalFS!E30,0)</f>
        <v>0.58847982101426366</v>
      </c>
      <c r="F14" s="38">
        <f>IFERROR(HistoricalFS!F30,0)</f>
        <v>0.65817779183802594</v>
      </c>
      <c r="G14" s="38">
        <f>IFERROR(HistoricalFS!G30,0)</f>
        <v>0.6518952822470685</v>
      </c>
      <c r="H14" s="38">
        <f>IFERROR(HistoricalFS!H30,0)</f>
        <v>0.59480519480519478</v>
      </c>
      <c r="I14" s="38">
        <f>IFERROR(HistoricalFS!I30,0)</f>
        <v>0.64264413518886676</v>
      </c>
      <c r="J14" s="38">
        <f>IFERROR(HistoricalFS!J30,0)</f>
        <v>0.68282169890664424</v>
      </c>
      <c r="K14" s="38">
        <f>IFERROR(HistoricalFS!K30,0)</f>
        <v>0.63273248668578452</v>
      </c>
      <c r="L14" s="38">
        <f>IFERROR(HistoricalFS!L30,0)</f>
        <v>0.6157671190303533</v>
      </c>
      <c r="N14" s="12">
        <f t="shared" si="2"/>
        <v>0.63309701457618661</v>
      </c>
      <c r="O14" s="12">
        <f t="shared" si="3"/>
        <v>0.6376883109373257</v>
      </c>
    </row>
    <row r="15" spans="2:24">
      <c r="B15" s="39" t="s">
        <v>133</v>
      </c>
      <c r="C15" s="40">
        <f>IFERROR(HistoricalFS!C36,0)</f>
        <v>0.56651514570083961</v>
      </c>
      <c r="D15" s="40">
        <f>IFERROR(HistoricalFS!D36,0)</f>
        <v>0.60508332613189919</v>
      </c>
      <c r="E15" s="40">
        <f>IFERROR(HistoricalFS!E36,0)</f>
        <v>0.53140952957100529</v>
      </c>
      <c r="F15" s="40">
        <f>IFERROR(HistoricalFS!F36,0)</f>
        <v>0.61230623220499847</v>
      </c>
      <c r="G15" s="40">
        <f>IFERROR(HistoricalFS!G36,0)</f>
        <v>0.63471502590673579</v>
      </c>
      <c r="H15" s="40">
        <f>IFERROR(HistoricalFS!H36,0)</f>
        <v>0.54955570745044424</v>
      </c>
      <c r="I15" s="40">
        <f>IFERROR(HistoricalFS!I36,0)</f>
        <v>0.60238568588469188</v>
      </c>
      <c r="J15" s="40">
        <f>IFERROR(HistoricalFS!J36,0)</f>
        <v>0.64644659377628255</v>
      </c>
      <c r="K15" s="40">
        <f>IFERROR(HistoricalFS!K36,0)</f>
        <v>0.58961491192134374</v>
      </c>
      <c r="L15" s="40">
        <f>IFERROR(HistoricalFS!L36,0)</f>
        <v>0.57070340826686006</v>
      </c>
      <c r="N15" s="12">
        <f t="shared" si="2"/>
        <v>0.59087355668151009</v>
      </c>
      <c r="O15" s="12">
        <f t="shared" si="3"/>
        <v>0.59600029890301776</v>
      </c>
    </row>
    <row r="17" spans="2:15">
      <c r="B17" s="35" t="s">
        <v>134</v>
      </c>
      <c r="C17" s="36">
        <f>IFERROR(HistoricalFS!C16,0)</f>
        <v>0.19659932530725735</v>
      </c>
      <c r="D17" s="36">
        <f>IFERROR(HistoricalFS!D16,0)</f>
        <v>0.20399114555981734</v>
      </c>
      <c r="E17" s="36">
        <f>IFERROR(HistoricalFS!E16,0)</f>
        <v>0.20692184075474121</v>
      </c>
      <c r="F17" s="36">
        <f>IFERROR(HistoricalFS!F16,0)</f>
        <v>0.17257197089528631</v>
      </c>
      <c r="G17" s="36">
        <f>IFERROR(HistoricalFS!G16,0)</f>
        <v>0.1604854104172348</v>
      </c>
      <c r="H17" s="36">
        <f>IFERROR(HistoricalFS!H16,0)</f>
        <v>0.17361585782638414</v>
      </c>
      <c r="I17" s="36">
        <f>IFERROR(HistoricalFS!I16,0)</f>
        <v>0.15991550695825049</v>
      </c>
      <c r="J17" s="36">
        <f>IFERROR(HistoricalFS!J16,0)</f>
        <v>0.15317493692178302</v>
      </c>
      <c r="K17" s="36">
        <f>IFERROR(HistoricalFS!K16,0)</f>
        <v>0.16366243342892256</v>
      </c>
      <c r="L17" s="36">
        <f>IFERROR(HistoricalFS!L16,0)</f>
        <v>0.1819123588521703</v>
      </c>
      <c r="N17" s="12">
        <f>IFERROR(AVERAGE(C17:L17),0)</f>
        <v>0.17728507869218474</v>
      </c>
      <c r="O17" s="12">
        <f>IFERROR(MEDIAN(C17:L17),0)</f>
        <v>0.17309391436083521</v>
      </c>
    </row>
    <row r="18" spans="2:15">
      <c r="B18" s="37" t="s">
        <v>135</v>
      </c>
      <c r="C18" s="38">
        <f>IFERROR(HistoricalFS!C25,0)</f>
        <v>1.4711371747328617E-2</v>
      </c>
      <c r="D18" s="38">
        <f>IFERROR(HistoricalFS!D25,0)</f>
        <v>1.5764493163069274E-2</v>
      </c>
      <c r="E18" s="38">
        <f>IFERROR(HistoricalFS!E25,0)</f>
        <v>1.5259074755947743E-2</v>
      </c>
      <c r="F18" s="38">
        <f>IFERROR(HistoricalFS!F25,0)</f>
        <v>1.4077823473584309E-2</v>
      </c>
      <c r="G18" s="38">
        <f>IFERROR(HistoricalFS!G25,0)</f>
        <v>1.7862012544314153E-2</v>
      </c>
      <c r="H18" s="38">
        <f>IFERROR(HistoricalFS!H25,0)</f>
        <v>1.9138755980861243E-2</v>
      </c>
      <c r="I18" s="38">
        <f>IFERROR(HistoricalFS!I25,0)</f>
        <v>1.7271371769383696E-2</v>
      </c>
      <c r="J18" s="38">
        <f>IFERROR(HistoricalFS!J25,0)</f>
        <v>1.4613120269133726E-2</v>
      </c>
      <c r="K18" s="38">
        <f>IFERROR(HistoricalFS!K25,0)</f>
        <v>1.5874641540352313E-2</v>
      </c>
      <c r="L18" s="38">
        <f>IFERROR(HistoricalFS!L25,0)</f>
        <v>1.6367968507199834E-2</v>
      </c>
      <c r="N18" s="12">
        <f t="shared" ref="N18:N19" si="4">IFERROR(AVERAGE(C18:L18),0)</f>
        <v>1.6094063375117491E-2</v>
      </c>
      <c r="O18" s="12">
        <f t="shared" ref="O18:O19" si="5">IFERROR(MEDIAN(C18:L18),0)</f>
        <v>1.5819567351710792E-2</v>
      </c>
    </row>
    <row r="19" spans="2:15">
      <c r="B19" s="39" t="s">
        <v>136</v>
      </c>
      <c r="C19" s="44">
        <f>C13</f>
        <v>0.61181793761708558</v>
      </c>
      <c r="D19" s="44">
        <f t="shared" ref="D19:L19" si="6">D13</f>
        <v>0.6592586068216415</v>
      </c>
      <c r="E19" s="44">
        <f t="shared" si="6"/>
        <v>0.59128154260289723</v>
      </c>
      <c r="F19" s="44">
        <f t="shared" si="6"/>
        <v>0.66070863650743439</v>
      </c>
      <c r="G19" s="44">
        <f t="shared" si="6"/>
        <v>0.65734933187892008</v>
      </c>
      <c r="H19" s="44">
        <f t="shared" si="6"/>
        <v>0.60164046479835953</v>
      </c>
      <c r="I19" s="44">
        <f t="shared" si="6"/>
        <v>0.64686878727634189</v>
      </c>
      <c r="J19" s="44">
        <f t="shared" si="6"/>
        <v>0.68692178301093354</v>
      </c>
      <c r="K19" s="44">
        <f t="shared" si="6"/>
        <v>0.63846784104875054</v>
      </c>
      <c r="L19" s="44">
        <f t="shared" si="6"/>
        <v>0.62332953485962916</v>
      </c>
      <c r="N19" s="12">
        <f t="shared" si="4"/>
        <v>0.63776444664219933</v>
      </c>
      <c r="O19" s="12">
        <f t="shared" si="5"/>
        <v>0.64266831416254622</v>
      </c>
    </row>
    <row r="21" spans="2:15">
      <c r="B21" s="35" t="s">
        <v>137</v>
      </c>
      <c r="C21" s="36">
        <f>IFERROR(HistoricalFS!C27/SUM(HistoricalFS!C49:C51),0)</f>
        <v>1.5570382208017044</v>
      </c>
      <c r="D21" s="36">
        <f>IFERROR(HistoricalFS!D27/SUM(HistoricalFS!D49:D51),0)</f>
        <v>1.6890138758201376</v>
      </c>
      <c r="E21" s="36">
        <f>IFERROR(HistoricalFS!E27/SUM(HistoricalFS!E49:E51),0)</f>
        <v>1.3644403543798349</v>
      </c>
      <c r="F21" s="36">
        <f>IFERROR(HistoricalFS!F27/SUM(HistoricalFS!F49:F51),0)</f>
        <v>1.4630472854640981</v>
      </c>
      <c r="G21" s="36">
        <f>IFERROR(HistoricalFS!G27/SUM(HistoricalFS!G49:G51),0)</f>
        <v>1.4490532010820558</v>
      </c>
      <c r="H21" s="36">
        <f>IFERROR(HistoricalFS!H27/SUM(HistoricalFS!H49:H51),0)</f>
        <v>1.309431716750967</v>
      </c>
      <c r="I21" s="36">
        <f>IFERROR(HistoricalFS!I27/SUM(HistoricalFS!I49:I51),0)</f>
        <v>1.3878965609170888</v>
      </c>
      <c r="J21" s="36">
        <f>IFERROR(HistoricalFS!J27/SUM(HistoricalFS!J49:J51),0)</f>
        <v>1.7073425659785733</v>
      </c>
      <c r="K21" s="36">
        <f>IFERROR(HistoricalFS!K27/SUM(HistoricalFS!K49:K51),0)</f>
        <v>1.4145677331518038</v>
      </c>
      <c r="L21" s="36">
        <f>IFERROR(HistoricalFS!L27/SUM(HistoricalFS!L49:L51),0)</f>
        <v>1.3800458715596331</v>
      </c>
      <c r="N21" s="12">
        <f>IFERROR(AVERAGE(C21:L21),0)</f>
        <v>1.4721877385905897</v>
      </c>
      <c r="O21" s="12">
        <f>IFERROR(MEDIAN(C21:L21),0)</f>
        <v>1.4318104671169298</v>
      </c>
    </row>
    <row r="22" spans="2:15">
      <c r="B22" s="37" t="s">
        <v>138</v>
      </c>
      <c r="C22" s="38">
        <f>IFERROR(HistoricalFS!C46,0)</f>
        <v>0.95035131257274108</v>
      </c>
      <c r="D22" s="38">
        <f>IFERROR(HistoricalFS!D46,0)</f>
        <v>0.84939768963301088</v>
      </c>
      <c r="E22" s="38">
        <f>IFERROR(HistoricalFS!E46,0)</f>
        <v>0.85637105416294357</v>
      </c>
      <c r="F22" s="38">
        <f>IFERROR(HistoricalFS!F46,0)</f>
        <v>0.85836993025058117</v>
      </c>
      <c r="G22" s="38">
        <f>IFERROR(HistoricalFS!G46,0)</f>
        <v>0.86836734693877549</v>
      </c>
      <c r="H22" s="38">
        <f>IFERROR(HistoricalFS!H46,0)</f>
        <v>0.78339552238805976</v>
      </c>
      <c r="I22" s="38">
        <f>IFERROR(HistoricalFS!I46,0)</f>
        <v>0.80043316831683164</v>
      </c>
      <c r="J22" s="38">
        <f>IFERROR(HistoricalFS!J46,0)</f>
        <v>0.80594405594405594</v>
      </c>
      <c r="K22" s="38">
        <f>IFERROR(HistoricalFS!K46,0)</f>
        <v>0.89916623241271498</v>
      </c>
      <c r="L22" s="38">
        <f>IFERROR(HistoricalFS!L46,0)</f>
        <v>0.77754583408967148</v>
      </c>
      <c r="N22" s="12">
        <f t="shared" ref="N22:N25" si="7">IFERROR(AVERAGE(C22:L22),0)</f>
        <v>0.84493421467093854</v>
      </c>
      <c r="O22" s="12">
        <f t="shared" ref="O22:O25" si="8">IFERROR(MEDIAN(C22:L22),0)</f>
        <v>0.85288437189797728</v>
      </c>
    </row>
    <row r="23" spans="2:15">
      <c r="B23" s="37" t="s">
        <v>139</v>
      </c>
      <c r="C23" s="38">
        <f>IFERROR(HistoricalFS!C35/SUM(HistoricalFS!C49:C50),0)</f>
        <v>1.7798419535505645</v>
      </c>
      <c r="D23" s="38">
        <f>IFERROR(HistoricalFS!D35/SUM(HistoricalFS!D49:D50),0)</f>
        <v>1.8048151801603076</v>
      </c>
      <c r="E23" s="38">
        <f>IFERROR(HistoricalFS!E35/SUM(HistoricalFS!E49:E50),0)</f>
        <v>1.3521937669842794</v>
      </c>
      <c r="F23" s="38">
        <f>IFERROR(HistoricalFS!F35/SUM(HistoricalFS!F49:F50),0)</f>
        <v>1.5222178529296106</v>
      </c>
      <c r="G23" s="38">
        <f>IFERROR(HistoricalFS!G35/SUM(HistoricalFS!G49:G50),0)</f>
        <v>1.5647058823529412</v>
      </c>
      <c r="H23" s="38">
        <f>IFERROR(HistoricalFS!H35/SUM(HistoricalFS!H49:H50),0)</f>
        <v>1.3298048296394309</v>
      </c>
      <c r="I23" s="38">
        <f>IFERROR(HistoricalFS!I35/SUM(HistoricalFS!I49:I50),0)</f>
        <v>1.4962962962962962</v>
      </c>
      <c r="J23" s="38">
        <f>IFERROR(HistoricalFS!J35/SUM(HistoricalFS!J49:J50),0)</f>
        <v>1.8366188769414575</v>
      </c>
      <c r="K23" s="38">
        <f>IFERROR(HistoricalFS!K35/SUM(HistoricalFS!K49:K50),0)</f>
        <v>1.5153987891550409</v>
      </c>
      <c r="L23" s="38">
        <f>IFERROR(HistoricalFS!L35/SUM(HistoricalFS!L49:L50),0)</f>
        <v>1.4376304801670146</v>
      </c>
      <c r="N23" s="12">
        <f t="shared" si="7"/>
        <v>1.5639523908176944</v>
      </c>
      <c r="O23" s="12">
        <f t="shared" si="8"/>
        <v>1.5188083210423258</v>
      </c>
    </row>
    <row r="24" spans="2:15">
      <c r="B24" s="37" t="s">
        <v>140</v>
      </c>
      <c r="C24" s="38">
        <f>IFERROR(C22*C23,0)</f>
        <v>1.6914751367288106</v>
      </c>
      <c r="D24" s="38">
        <f t="shared" ref="D24:L24" si="9">IFERROR(D22*D23,0)</f>
        <v>1.5330058442427517</v>
      </c>
      <c r="E24" s="38">
        <f t="shared" si="9"/>
        <v>1.1579796016648891</v>
      </c>
      <c r="F24" s="38">
        <f t="shared" si="9"/>
        <v>1.3066260322453793</v>
      </c>
      <c r="G24" s="38">
        <f t="shared" si="9"/>
        <v>1.3587394957983192</v>
      </c>
      <c r="H24" s="38">
        <f t="shared" si="9"/>
        <v>1.0417631491895467</v>
      </c>
      <c r="I24" s="38">
        <f t="shared" si="9"/>
        <v>1.1976851851851851</v>
      </c>
      <c r="J24" s="38">
        <f t="shared" si="9"/>
        <v>1.4802120669056151</v>
      </c>
      <c r="K24" s="38">
        <f t="shared" si="9"/>
        <v>1.3625954198473285</v>
      </c>
      <c r="L24" s="38">
        <f t="shared" si="9"/>
        <v>1.1178235908141962</v>
      </c>
      <c r="N24" s="12">
        <f t="shared" si="7"/>
        <v>1.3247905522622023</v>
      </c>
      <c r="O24" s="12">
        <f t="shared" si="8"/>
        <v>1.3326827640218493</v>
      </c>
    </row>
    <row r="25" spans="2:15">
      <c r="B25" s="39" t="s">
        <v>141</v>
      </c>
      <c r="C25" s="43">
        <f>IFERROR((HistoricalFS!C18-HistoricalFS!C24)/HistoricalFS!C21,0)</f>
        <v>152.83398692810454</v>
      </c>
      <c r="D25" s="43">
        <f>IFERROR((HistoricalFS!D18-HistoricalFS!D24)/HistoricalFS!D21,0)</f>
        <v>192.38457807953438</v>
      </c>
      <c r="E25" s="43">
        <f>IFERROR((HistoricalFS!E18-HistoricalFS!E24)/HistoricalFS!E21,0)</f>
        <v>211.04221954161639</v>
      </c>
      <c r="F25" s="43">
        <f>IFERROR((HistoricalFS!F18-HistoricalFS!F24)/HistoricalFS!F21,0)</f>
        <v>261.0625</v>
      </c>
      <c r="G25" s="43">
        <f>IFERROR((HistoricalFS!G18-HistoricalFS!G24)/HistoricalFS!G21,0)</f>
        <v>120.52500000000001</v>
      </c>
      <c r="H25" s="43">
        <f>IFERROR((HistoricalFS!H18-HistoricalFS!H24)/HistoricalFS!H21,0)</f>
        <v>88.02</v>
      </c>
      <c r="I25" s="43">
        <f>IFERROR((HistoricalFS!I18-HistoricalFS!I24)/HistoricalFS!I21,0)</f>
        <v>153.11764705882354</v>
      </c>
      <c r="J25" s="43">
        <f>IFERROR((HistoricalFS!J18-HistoricalFS!J24)/HistoricalFS!J21,0)</f>
        <v>167.53846153846155</v>
      </c>
      <c r="K25" s="43">
        <f>IFERROR((HistoricalFS!K18-HistoricalFS!K24)/HistoricalFS!K21,0)</f>
        <v>111.32142857142857</v>
      </c>
      <c r="L25" s="43">
        <f>IFERROR((HistoricalFS!L18-HistoricalFS!L24)/HistoricalFS!L21,0)</f>
        <v>82.424657534246577</v>
      </c>
      <c r="N25" s="43">
        <f t="shared" si="7"/>
        <v>154.02704792522155</v>
      </c>
      <c r="O25" s="43">
        <f t="shared" si="8"/>
        <v>152.97581699346404</v>
      </c>
    </row>
    <row r="27" spans="2:15">
      <c r="B27" s="35" t="s">
        <v>142</v>
      </c>
      <c r="C27" s="41">
        <f>IFERROR(HistoricalFS!C6/HistoricalFS!C61,0)</f>
        <v>32.435530410183873</v>
      </c>
      <c r="D27" s="41">
        <f>IFERROR(HistoricalFS!D6/HistoricalFS!D61,0)</f>
        <v>23.869729065016461</v>
      </c>
      <c r="E27" s="41">
        <f>IFERROR(HistoricalFS!E6/HistoricalFS!E61,0)</f>
        <v>23.95963399327908</v>
      </c>
      <c r="F27" s="41">
        <f>IFERROR(HistoricalFS!F6/HistoricalFS!F61,0)</f>
        <v>18.594117647058823</v>
      </c>
      <c r="G27" s="41">
        <f>IFERROR(HistoricalFS!G6/HistoricalFS!G61,0)</f>
        <v>14.185686653771761</v>
      </c>
      <c r="H27" s="41">
        <f>IFERROR(HistoricalFS!H6/HistoricalFS!H61,0)</f>
        <v>13.571428571428571</v>
      </c>
      <c r="I27" s="41">
        <f>IFERROR(HistoricalFS!I6/HistoricalFS!I61,0)</f>
        <v>20.742268041237114</v>
      </c>
      <c r="J27" s="41">
        <f>IFERROR(HistoricalFS!J6/HistoricalFS!J61,0)</f>
        <v>14.588957055214724</v>
      </c>
      <c r="K27" s="41">
        <f>IFERROR(HistoricalFS!K6/HistoricalFS!K61,0)</f>
        <v>9.619704433497537</v>
      </c>
      <c r="L27" s="41">
        <f>IFERROR(HistoricalFS!L6/HistoricalFS!L61,0)</f>
        <v>9.0299345182413475</v>
      </c>
      <c r="N27" s="41">
        <f>IFERROR(AVERAGE(C27:L27),0)</f>
        <v>18.059699038892933</v>
      </c>
      <c r="O27" s="41">
        <f>IFERROR(MEDIAN(C27:L27),0)</f>
        <v>16.591537351136772</v>
      </c>
    </row>
    <row r="28" spans="2:15">
      <c r="B28" s="37" t="s">
        <v>143</v>
      </c>
      <c r="C28" s="42">
        <f>IFERROR(HistoricalFS!C6/HistoricalFS!C52,0)</f>
        <v>6.5701482958582584</v>
      </c>
      <c r="D28" s="42">
        <f>IFERROR(HistoricalFS!D6/HistoricalFS!D52,0)</f>
        <v>5.9598668832455131</v>
      </c>
      <c r="E28" s="42">
        <f>IFERROR(HistoricalFS!E6/HistoricalFS!E52,0)</f>
        <v>5.5895176296128382</v>
      </c>
      <c r="F28" s="42">
        <f>IFERROR(HistoricalFS!F6/HistoricalFS!F52,0)</f>
        <v>5.1947411668036159</v>
      </c>
      <c r="G28" s="42">
        <f>IFERROR(HistoricalFS!G6/HistoricalFS!G52,0)</f>
        <v>4.6743148502230722</v>
      </c>
      <c r="H28" s="42">
        <f>IFERROR(HistoricalFS!H6/HistoricalFS!H52,0)</f>
        <v>4.5633187772925767</v>
      </c>
      <c r="I28" s="42">
        <f>IFERROR(HistoricalFS!I6/HistoricalFS!I52,0)</f>
        <v>4.8047761194029848</v>
      </c>
      <c r="J28" s="42">
        <f>IFERROR(HistoricalFS!J6/HistoricalFS!J52,0)</f>
        <v>5.1416216216216215</v>
      </c>
      <c r="K28" s="42">
        <f>IFERROR(HistoricalFS!K6/HistoricalFS!K52,0)</f>
        <v>4.0802340158796486</v>
      </c>
      <c r="L28" s="42">
        <f>IFERROR(HistoricalFS!L6/HistoricalFS!L52,0)</f>
        <v>3.2251921149348481</v>
      </c>
      <c r="N28" s="41">
        <f t="shared" ref="N28:N31" si="10">IFERROR(AVERAGE(C28:L28),0)</f>
        <v>4.9803731474874988</v>
      </c>
      <c r="O28" s="41">
        <f t="shared" ref="O28:O31" si="11">IFERROR(MEDIAN(C28:L28),0)</f>
        <v>4.9731988705123031</v>
      </c>
    </row>
    <row r="29" spans="2:15">
      <c r="B29" s="37" t="s">
        <v>144</v>
      </c>
      <c r="C29" s="42">
        <f>IFERROR(HistoricalFS!C6/HistoricalFS!C62,0)</f>
        <v>5.7634687496858374</v>
      </c>
      <c r="D29" s="42">
        <f>IFERROR(HistoricalFS!D6/HistoricalFS!D62,0)</f>
        <v>6.5012749038419981</v>
      </c>
      <c r="E29" s="42">
        <f>IFERROR(HistoricalFS!E6/HistoricalFS!E62,0)</f>
        <v>4.7212391498595858</v>
      </c>
      <c r="F29" s="42">
        <f>IFERROR(HistoricalFS!F6/HistoricalFS!F62,0)</f>
        <v>4.1839841164791531</v>
      </c>
      <c r="G29" s="42">
        <f>IFERROR(HistoricalFS!G6/HistoricalFS!G62,0)</f>
        <v>5.1977321048901493</v>
      </c>
      <c r="H29" s="42">
        <f>IFERROR(HistoricalFS!H6/HistoricalFS!H62,0)</f>
        <v>5.3007246376811592</v>
      </c>
      <c r="I29" s="42">
        <f>IFERROR(HistoricalFS!I6/HistoricalFS!I62,0)</f>
        <v>7.1474245115452932</v>
      </c>
      <c r="J29" s="42">
        <f>IFERROR(HistoricalFS!J6/HistoricalFS!J62,0)</f>
        <v>6.736543909348442</v>
      </c>
      <c r="K29" s="42">
        <f>IFERROR(HistoricalFS!K6/HistoricalFS!K62,0)</f>
        <v>7.9706122448979588</v>
      </c>
      <c r="L29" s="42">
        <f>IFERROR(HistoricalFS!L6/HistoricalFS!L62,0)</f>
        <v>7.2252994011976046</v>
      </c>
      <c r="N29" s="41">
        <f t="shared" si="10"/>
        <v>6.074830372942718</v>
      </c>
      <c r="O29" s="41">
        <f t="shared" si="11"/>
        <v>6.1323718267639178</v>
      </c>
    </row>
    <row r="30" spans="2:15">
      <c r="B30" s="37" t="s">
        <v>145</v>
      </c>
      <c r="C30" s="42">
        <f>IFERROR(HistoricalFS!C6/HistoricalFS!C55,0)</f>
        <v>5.3284444940144242</v>
      </c>
      <c r="D30" s="42">
        <f>IFERROR(HistoricalFS!D6/HistoricalFS!D55,0)</f>
        <v>5.7284350218481945</v>
      </c>
      <c r="E30" s="42">
        <f>IFERROR(HistoricalFS!E6/HistoricalFS!E55,0)</f>
        <v>5.4556928182907711</v>
      </c>
      <c r="F30" s="42">
        <f>IFERROR(HistoricalFS!F6/HistoricalFS!F55,0)</f>
        <v>5.6954954954954955</v>
      </c>
      <c r="G30" s="42">
        <f>IFERROR(HistoricalFS!G6/HistoricalFS!G55,0)</f>
        <v>5.6415384615384614</v>
      </c>
      <c r="H30" s="42">
        <f>IFERROR(HistoricalFS!H6/HistoricalFS!H55,0)</f>
        <v>5.2399713467048707</v>
      </c>
      <c r="I30" s="42">
        <f>IFERROR(HistoricalFS!I6/HistoricalFS!I55,0)</f>
        <v>4.9925558312655083</v>
      </c>
      <c r="J30" s="42">
        <f>IFERROR(HistoricalFS!J6/HistoricalFS!J55,0)</f>
        <v>5.4045454545454543</v>
      </c>
      <c r="K30" s="42">
        <f>IFERROR(HistoricalFS!K6/HistoricalFS!K55,0)</f>
        <v>4.3472840605520924</v>
      </c>
      <c r="L30" s="42">
        <f>IFERROR(HistoricalFS!L6/HistoricalFS!L55,0)</f>
        <v>3.5436857562408224</v>
      </c>
      <c r="N30" s="41">
        <f t="shared" si="10"/>
        <v>5.1377648740496094</v>
      </c>
      <c r="O30" s="41">
        <f t="shared" si="11"/>
        <v>5.3664949742799397</v>
      </c>
    </row>
    <row r="31" spans="2:15">
      <c r="B31" s="39" t="s">
        <v>146</v>
      </c>
      <c r="C31" s="43">
        <f>IFERROR(HistoricalFS!C6/SUM(HistoricalFS!C49:C50),0)</f>
        <v>3.1417376341257572</v>
      </c>
      <c r="D31" s="43">
        <f>IFERROR(HistoricalFS!D6/SUM(HistoricalFS!D49:D50),0)</f>
        <v>2.9827547747810268</v>
      </c>
      <c r="E31" s="43">
        <f>IFERROR(HistoricalFS!E6/SUM(HistoricalFS!E49:E50),0)</f>
        <v>2.5445418114271949</v>
      </c>
      <c r="F31" s="43">
        <f>IFERROR(HistoricalFS!F6/SUM(HistoricalFS!F49:F50),0)</f>
        <v>2.486040110106174</v>
      </c>
      <c r="G31" s="43">
        <f>IFERROR(HistoricalFS!G6/SUM(HistoricalFS!G49:G50),0)</f>
        <v>2.4652100840336133</v>
      </c>
      <c r="H31" s="43">
        <f>IFERROR(HistoricalFS!H6/SUM(HistoricalFS!H49:H50),0)</f>
        <v>2.4197816738339397</v>
      </c>
      <c r="I31" s="43">
        <f>IFERROR(HistoricalFS!I6/SUM(HistoricalFS!I49:I50),0)</f>
        <v>2.4839506172839507</v>
      </c>
      <c r="J31" s="43">
        <f>IFERROR(HistoricalFS!J6/SUM(HistoricalFS!J49:J50),0)</f>
        <v>2.8410991636798086</v>
      </c>
      <c r="K31" s="43">
        <f>IFERROR(HistoricalFS!K6/SUM(HistoricalFS!K49:K50),0)</f>
        <v>2.5701500394840746</v>
      </c>
      <c r="L31" s="43">
        <f>IFERROR(HistoricalFS!L6/SUM(HistoricalFS!L49:L50),0)</f>
        <v>2.5190501043841338</v>
      </c>
      <c r="N31" s="41">
        <f t="shared" si="10"/>
        <v>2.6454316013139674</v>
      </c>
      <c r="O31" s="41">
        <f t="shared" si="11"/>
        <v>2.5317959579056644</v>
      </c>
    </row>
    <row r="33" spans="2:15">
      <c r="B33" s="35" t="s">
        <v>147</v>
      </c>
      <c r="C33" s="46">
        <f>IFERROR(365/C27,0)</f>
        <v>11.253091760306159</v>
      </c>
      <c r="D33" s="46">
        <f t="shared" ref="D33:L33" si="12">IFERROR(365/D27,0)</f>
        <v>15.291334015807703</v>
      </c>
      <c r="E33" s="46">
        <f t="shared" si="12"/>
        <v>15.233955581391026</v>
      </c>
      <c r="F33" s="46">
        <f t="shared" si="12"/>
        <v>19.62986396709902</v>
      </c>
      <c r="G33" s="46">
        <f t="shared" si="12"/>
        <v>25.730160894464138</v>
      </c>
      <c r="H33" s="46">
        <f t="shared" si="12"/>
        <v>26.894736842105264</v>
      </c>
      <c r="I33" s="46">
        <f t="shared" si="12"/>
        <v>17.596918489065605</v>
      </c>
      <c r="J33" s="46">
        <f t="shared" si="12"/>
        <v>25.018923465096719</v>
      </c>
      <c r="K33" s="46">
        <f t="shared" si="12"/>
        <v>37.942953707496926</v>
      </c>
      <c r="L33" s="46">
        <f t="shared" si="12"/>
        <v>40.421112607479536</v>
      </c>
      <c r="N33" s="46">
        <f>IFERROR(AVERAGE(C33:L33),0)</f>
        <v>23.501305133031206</v>
      </c>
      <c r="O33" s="46">
        <f>IFERROR(MEDIAN(C33:L33),0)</f>
        <v>22.32439371609787</v>
      </c>
    </row>
    <row r="34" spans="2:15">
      <c r="B34" s="37" t="s">
        <v>148</v>
      </c>
      <c r="C34" s="47">
        <f>IFERROR(365/C28,0)</f>
        <v>55.554301602308058</v>
      </c>
      <c r="D34" s="47">
        <f t="shared" ref="D34:L34" si="13">IFERROR(365/D28,0)</f>
        <v>61.242978601769558</v>
      </c>
      <c r="E34" s="47">
        <f t="shared" si="13"/>
        <v>65.30080486127423</v>
      </c>
      <c r="F34" s="47">
        <f t="shared" si="13"/>
        <v>70.263366023410313</v>
      </c>
      <c r="G34" s="47">
        <f t="shared" si="13"/>
        <v>78.086310335424045</v>
      </c>
      <c r="H34" s="47">
        <f t="shared" si="13"/>
        <v>79.985645933014354</v>
      </c>
      <c r="I34" s="47">
        <f t="shared" si="13"/>
        <v>75.96607852882704</v>
      </c>
      <c r="J34" s="47">
        <f t="shared" si="13"/>
        <v>70.989276703111855</v>
      </c>
      <c r="K34" s="47">
        <f t="shared" si="13"/>
        <v>89.45565342072922</v>
      </c>
      <c r="L34" s="47">
        <f t="shared" si="13"/>
        <v>113.17155288511343</v>
      </c>
      <c r="N34" s="46">
        <f t="shared" ref="N34:N36" si="14">IFERROR(AVERAGE(C34:L34),0)</f>
        <v>76.001596889498231</v>
      </c>
      <c r="O34" s="46">
        <f t="shared" ref="O34:O36" si="15">IFERROR(MEDIAN(C34:L34),0)</f>
        <v>73.477677615969441</v>
      </c>
    </row>
    <row r="35" spans="2:15">
      <c r="B35" s="37" t="s">
        <v>149</v>
      </c>
      <c r="C35" s="47">
        <f>IFERROR(365/C29,0)</f>
        <v>63.329917425143648</v>
      </c>
      <c r="D35" s="47">
        <f t="shared" ref="D35:L35" si="16">IFERROR(365/D29,0)</f>
        <v>56.142834351505321</v>
      </c>
      <c r="E35" s="47">
        <f t="shared" si="16"/>
        <v>77.310212089310383</v>
      </c>
      <c r="F35" s="47">
        <f t="shared" si="16"/>
        <v>87.237424865548874</v>
      </c>
      <c r="G35" s="47">
        <f t="shared" si="16"/>
        <v>70.222934278701928</v>
      </c>
      <c r="H35" s="47">
        <f t="shared" si="16"/>
        <v>68.858509911141496</v>
      </c>
      <c r="I35" s="47">
        <f t="shared" si="16"/>
        <v>51.067345924453278</v>
      </c>
      <c r="J35" s="47">
        <f t="shared" si="16"/>
        <v>54.182085786375104</v>
      </c>
      <c r="K35" s="47">
        <f t="shared" si="16"/>
        <v>45.793219991806637</v>
      </c>
      <c r="L35" s="47">
        <f t="shared" si="16"/>
        <v>50.516937739562835</v>
      </c>
      <c r="N35" s="46">
        <f t="shared" si="14"/>
        <v>62.466142236354948</v>
      </c>
      <c r="O35" s="46">
        <f t="shared" si="15"/>
        <v>59.736375888324488</v>
      </c>
    </row>
    <row r="36" spans="2:15">
      <c r="B36" s="39" t="s">
        <v>156</v>
      </c>
      <c r="C36" s="48">
        <f>SUM(C33,C35)-C34</f>
        <v>19.028707583141752</v>
      </c>
      <c r="D36" s="48">
        <f t="shared" ref="D36:L36" si="17">SUM(D33,D35)-D34</f>
        <v>10.191189765543463</v>
      </c>
      <c r="E36" s="48">
        <f t="shared" si="17"/>
        <v>27.243362809427182</v>
      </c>
      <c r="F36" s="48">
        <f t="shared" si="17"/>
        <v>36.603922809237574</v>
      </c>
      <c r="G36" s="48">
        <f t="shared" si="17"/>
        <v>17.866784837742017</v>
      </c>
      <c r="H36" s="48">
        <f t="shared" si="17"/>
        <v>15.767600820232403</v>
      </c>
      <c r="I36" s="48">
        <f t="shared" si="17"/>
        <v>-7.3018141153081615</v>
      </c>
      <c r="J36" s="48">
        <f t="shared" si="17"/>
        <v>8.2117325483599615</v>
      </c>
      <c r="K36" s="48">
        <f t="shared" si="17"/>
        <v>-5.7194797214256567</v>
      </c>
      <c r="L36" s="48">
        <f t="shared" si="17"/>
        <v>-22.23350253807105</v>
      </c>
      <c r="N36" s="46">
        <f t="shared" si="14"/>
        <v>9.9658504798879477</v>
      </c>
      <c r="O36" s="46">
        <f t="shared" si="15"/>
        <v>12.979395292887933</v>
      </c>
    </row>
    <row r="38" spans="2:15">
      <c r="B38" s="35" t="s">
        <v>151</v>
      </c>
      <c r="C38" s="36">
        <f>IFERROR('Data Sheet'!B82/HistoricalFS!C6,0)</f>
        <v>0.11596761195748112</v>
      </c>
      <c r="D38" s="36">
        <f>IFERROR('Data Sheet'!C82/HistoricalFS!D6,0)</f>
        <v>0.13587776618162239</v>
      </c>
      <c r="E38" s="36">
        <f>IFERROR('Data Sheet'!D82/HistoricalFS!E6,0)</f>
        <v>0.10962369398035415</v>
      </c>
      <c r="F38" s="36">
        <f>IFERROR('Data Sheet'!E82/HistoricalFS!F6,0)</f>
        <v>8.1619740588421391E-2</v>
      </c>
      <c r="G38" s="36">
        <f>IFERROR('Data Sheet'!F82/HistoricalFS!G6,0)</f>
        <v>0.14480501772566132</v>
      </c>
      <c r="H38" s="36">
        <f>IFERROR('Data Sheet'!G82/HistoricalFS!H6,0)</f>
        <v>0.16596035543403964</v>
      </c>
      <c r="I38" s="36">
        <f>IFERROR('Data Sheet'!H82/HistoricalFS!I6,0)</f>
        <v>0.24937872763419483</v>
      </c>
      <c r="J38" s="36">
        <f>IFERROR('Data Sheet'!I82/HistoricalFS!J6,0)</f>
        <v>0.10681244743481917</v>
      </c>
      <c r="K38" s="36">
        <f>IFERROR('Data Sheet'!J82/HistoricalFS!K6,0)</f>
        <v>0.14532978287587053</v>
      </c>
      <c r="L38" s="36">
        <f>IFERROR('Data Sheet'!K82/HistoricalFS!L6,0)</f>
        <v>0.14876204288822129</v>
      </c>
      <c r="N38" s="12">
        <f>IFERROR(AVERAGE(C38:L38),0)</f>
        <v>0.14041371867006858</v>
      </c>
      <c r="O38" s="12">
        <f>IFERROR(MEDIAN(C38:L38),0)</f>
        <v>0.14034139195364187</v>
      </c>
    </row>
    <row r="39" spans="2:15">
      <c r="B39" s="37" t="s">
        <v>152</v>
      </c>
      <c r="C39" s="38">
        <f>IFERROR('Data Sheet'!B82/HistoricalFS!C66,0)</f>
        <v>0.21272973941534842</v>
      </c>
      <c r="D39" s="38">
        <f>IFERROR('Data Sheet'!C82/HistoricalFS!D66,0)</f>
        <v>0.24346029127572336</v>
      </c>
      <c r="E39" s="38">
        <f>IFERROR('Data Sheet'!D82/HistoricalFS!E66,0)</f>
        <v>0.17904841287145928</v>
      </c>
      <c r="F39" s="38">
        <f>IFERROR('Data Sheet'!E82/HistoricalFS!F66,0)</f>
        <v>0.12671905697445973</v>
      </c>
      <c r="G39" s="38">
        <f>IFERROR('Data Sheet'!F82/HistoricalFS!G66,0)</f>
        <v>0.21691176470588236</v>
      </c>
      <c r="H39" s="38">
        <f>IFERROR('Data Sheet'!G82/HistoricalFS!H66,0)</f>
        <v>0.24456083803384368</v>
      </c>
      <c r="I39" s="38">
        <f>IFERROR('Data Sheet'!H82/HistoricalFS!I66,0)</f>
        <v>0.36988573534832286</v>
      </c>
      <c r="J39" s="38">
        <f>IFERROR('Data Sheet'!I82/HistoricalFS!J66,0)</f>
        <v>0.17896776466443545</v>
      </c>
      <c r="K39" s="38">
        <f>IFERROR('Data Sheet'!J82/HistoricalFS!K66,0)</f>
        <v>0.2086764705882353</v>
      </c>
      <c r="L39" s="38">
        <f>IFERROR('Data Sheet'!K82/HistoricalFS!L66,0)</f>
        <v>0.19529443764449883</v>
      </c>
      <c r="N39" s="12">
        <f t="shared" ref="N39:N40" si="18">IFERROR(AVERAGE(C39:L39),0)</f>
        <v>0.21762545115222096</v>
      </c>
      <c r="O39" s="12">
        <f t="shared" ref="O39:O40" si="19">IFERROR(MEDIAN(C39:L39),0)</f>
        <v>0.21070310500179185</v>
      </c>
    </row>
    <row r="40" spans="2:15">
      <c r="B40" s="39" t="s">
        <v>153</v>
      </c>
      <c r="C40" s="40">
        <f>IFERROR('Data Sheet'!B82/HistoricalFS!C51,0)</f>
        <v>1.5536548887642549</v>
      </c>
      <c r="D40" s="40">
        <f>IFERROR('Data Sheet'!C82/HistoricalFS!D51,0)</f>
        <v>2.467765302426657</v>
      </c>
      <c r="E40" s="40">
        <f>IFERROR('Data Sheet'!D82/HistoricalFS!E51,0)</f>
        <v>2.7166247906197656</v>
      </c>
      <c r="F40" s="40">
        <f>IFERROR('Data Sheet'!E82/HistoricalFS!F51,0)</f>
        <v>1.6538461538461537</v>
      </c>
      <c r="G40" s="40">
        <f>IFERROR('Data Sheet'!F82/HistoricalFS!G51,0)</f>
        <v>3.0170454545454546</v>
      </c>
      <c r="H40" s="40">
        <f>IFERROR('Data Sheet'!G82/HistoricalFS!H51,0)</f>
        <v>3.5917159763313609</v>
      </c>
      <c r="I40" s="40">
        <f>IFERROR('Data Sheet'!H82/HistoricalFS!I51,0)</f>
        <v>3.9275929549902151</v>
      </c>
      <c r="J40" s="40">
        <f>IFERROR('Data Sheet'!I82/HistoricalFS!J51,0)</f>
        <v>2.1210855949895615</v>
      </c>
      <c r="K40" s="40">
        <f>IFERROR('Data Sheet'!J82/HistoricalFS!K51,0)</f>
        <v>2.3338815789473686</v>
      </c>
      <c r="L40" s="40">
        <f>IFERROR('Data Sheet'!K82/HistoricalFS!L51,0)</f>
        <v>2.7196969696969697</v>
      </c>
      <c r="N40" s="12">
        <f t="shared" si="18"/>
        <v>2.6102909665157763</v>
      </c>
      <c r="O40" s="12">
        <f t="shared" si="19"/>
        <v>2.5921950465232113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C329ACEC-032E-4BC2-81CF-57EF7A4331C5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 xr2:uid="{546A70B0-3984-44FF-AC43-BFC1B6E69441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</x14:sparklines>
        </x14:sparklineGroup>
        <x14:sparklineGroup displayEmptyCellsAs="gap" markers="1" xr2:uid="{E3D6938E-D448-4C3E-8259-0EBBAB86DE8C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</x14:sparklines>
        </x14:sparklineGroup>
        <x14:sparklineGroup displayEmptyCellsAs="gap" markers="1" xr2:uid="{5617E60B-CED9-44F5-A21F-D4D2E52844C7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</x14:sparklines>
        </x14:sparklineGroup>
        <x14:sparklineGroup displayEmptyCellsAs="gap" markers="1" xr2:uid="{F5CAB608-8419-47FE-AA2C-3ADBCC39258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</x14:sparklines>
        </x14:sparklineGroup>
        <x14:sparklineGroup displayEmptyCellsAs="gap" markers="1" xr2:uid="{730C101A-5BA1-4E87-9C9B-FA8BF8749DB7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</x14:sparklines>
        </x14:sparklineGroup>
        <x14:sparklineGroup displayEmptyCellsAs="gap" markers="1" xr2:uid="{DA5FC7AE-77DD-4840-B025-564BE1FE1D8C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Analysis'!C5:L5</xm:f>
              <xm:sqref>M5</xm:sqref>
            </x14:sparkline>
            <x14:sparkline>
              <xm:f>'Ratio Analysis'!C6:L6</xm:f>
              <xm:sqref>M6</xm:sqref>
            </x14:sparkline>
            <x14:sparkline>
              <xm:f>'Ratio Analysis'!C7:L7</xm:f>
              <xm:sqref>M7</xm:sqref>
            </x14:sparkline>
            <x14:sparkline>
              <xm:f>'Ratio Analysis'!C8:L8</xm:f>
              <xm:sqref>M8</xm:sqref>
            </x14:sparkline>
            <x14:sparkline>
              <xm:f>'Ratio Analysis'!C9:L9</xm:f>
              <xm:sqref>M9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2949-11A2-4A90-B977-FFDF67296C9B}">
  <sheetPr>
    <tabColor rgb="FF92D050"/>
  </sheetPr>
  <dimension ref="B1:W30"/>
  <sheetViews>
    <sheetView showGridLines="0" workbookViewId="0">
      <selection activeCell="F1" sqref="F1"/>
    </sheetView>
  </sheetViews>
  <sheetFormatPr defaultRowHeight="14.5"/>
  <cols>
    <col min="1" max="1" width="1.81640625" customWidth="1"/>
    <col min="2" max="2" width="13.08984375" customWidth="1"/>
    <col min="3" max="3" width="9.54296875" bestFit="1" customWidth="1"/>
    <col min="4" max="4" width="12.453125" customWidth="1"/>
    <col min="5" max="5" width="13.26953125" customWidth="1"/>
    <col min="7" max="7" width="11.7265625" customWidth="1"/>
    <col min="10" max="10" width="12.6328125" customWidth="1"/>
    <col min="12" max="12" width="15.90625" customWidth="1"/>
  </cols>
  <sheetData>
    <row r="1" spans="2:23">
      <c r="B1" s="152" t="s">
        <v>160</v>
      </c>
      <c r="C1" s="152"/>
      <c r="D1" s="152"/>
      <c r="E1" s="152"/>
      <c r="G1" s="152"/>
      <c r="H1" s="152"/>
      <c r="I1" s="152"/>
      <c r="J1" s="152"/>
    </row>
    <row r="2" spans="2:23">
      <c r="B2" s="14" t="s">
        <v>158</v>
      </c>
      <c r="C2" s="14" t="s">
        <v>159</v>
      </c>
      <c r="D2" s="45" t="s">
        <v>12</v>
      </c>
      <c r="E2" s="45" t="s">
        <v>59</v>
      </c>
      <c r="G2" s="22"/>
      <c r="H2" s="22"/>
      <c r="I2" s="53"/>
      <c r="J2" s="53"/>
    </row>
    <row r="3" spans="2:23">
      <c r="B3" s="51">
        <v>1</v>
      </c>
      <c r="C3" s="60">
        <f>'Data Sheet'!B16</f>
        <v>42094</v>
      </c>
      <c r="D3" s="59">
        <v>4596</v>
      </c>
      <c r="G3" s="51"/>
      <c r="I3" s="50"/>
      <c r="O3" s="27"/>
    </row>
    <row r="4" spans="2:23">
      <c r="B4" s="51">
        <f>B3+1</f>
        <v>2</v>
      </c>
      <c r="C4" s="60">
        <f>C3+365</f>
        <v>42459</v>
      </c>
      <c r="D4" s="59">
        <v>4687</v>
      </c>
      <c r="E4" s="12">
        <f>D4/D3-1</f>
        <v>1.979982593559626E-2</v>
      </c>
      <c r="G4" s="51"/>
      <c r="I4" s="50"/>
      <c r="J4" s="12"/>
    </row>
    <row r="5" spans="2:23">
      <c r="B5" s="51">
        <f t="shared" ref="B5:B12" si="0">B4+1</f>
        <v>3</v>
      </c>
      <c r="C5" s="60">
        <f t="shared" ref="C5:C17" si="1">C4+365</f>
        <v>42824</v>
      </c>
      <c r="D5" s="59">
        <v>5733</v>
      </c>
      <c r="E5" s="12">
        <f t="shared" ref="E5:E17" si="2">D5/D4-1</f>
        <v>0.22317047151696179</v>
      </c>
      <c r="G5" s="51"/>
      <c r="I5" s="50"/>
      <c r="J5" s="12"/>
    </row>
    <row r="6" spans="2:23">
      <c r="B6" s="51">
        <f t="shared" si="0"/>
        <v>4</v>
      </c>
      <c r="C6" s="60">
        <f t="shared" si="1"/>
        <v>43189</v>
      </c>
      <c r="D6" s="59">
        <v>6017</v>
      </c>
      <c r="E6" s="12">
        <f t="shared" si="2"/>
        <v>4.9537763823478187E-2</v>
      </c>
      <c r="G6" s="51"/>
      <c r="I6" s="50"/>
      <c r="J6" s="12"/>
    </row>
    <row r="7" spans="2:23">
      <c r="B7" s="51">
        <f t="shared" si="0"/>
        <v>5</v>
      </c>
      <c r="C7" s="60">
        <f t="shared" si="1"/>
        <v>43554</v>
      </c>
      <c r="D7" s="59">
        <v>5918</v>
      </c>
      <c r="E7" s="12">
        <f t="shared" si="2"/>
        <v>-1.6453382084095081E-2</v>
      </c>
      <c r="G7" s="51"/>
      <c r="I7" s="50"/>
      <c r="J7" s="12"/>
    </row>
    <row r="8" spans="2:23">
      <c r="B8" s="51">
        <f t="shared" si="0"/>
        <v>6</v>
      </c>
      <c r="C8" s="60">
        <f t="shared" si="1"/>
        <v>43919</v>
      </c>
      <c r="D8" s="59">
        <v>6322</v>
      </c>
      <c r="E8" s="12">
        <f t="shared" si="2"/>
        <v>6.8266306184521897E-2</v>
      </c>
      <c r="G8" s="51"/>
      <c r="I8" s="50"/>
      <c r="J8" s="1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spans="2:23">
      <c r="B9" s="51">
        <f t="shared" si="0"/>
        <v>7</v>
      </c>
      <c r="C9" s="60">
        <f t="shared" si="1"/>
        <v>44284</v>
      </c>
      <c r="D9" s="59">
        <v>7334</v>
      </c>
      <c r="E9" s="12">
        <f t="shared" si="2"/>
        <v>0.1600759253400823</v>
      </c>
      <c r="G9" s="51"/>
      <c r="I9" s="50"/>
      <c r="J9" s="12"/>
    </row>
    <row r="10" spans="2:23">
      <c r="B10" s="51">
        <f t="shared" si="0"/>
        <v>8</v>
      </c>
      <c r="C10" s="60">
        <f t="shared" si="1"/>
        <v>44649</v>
      </c>
      <c r="D10" s="59">
        <v>7315</v>
      </c>
      <c r="E10" s="12">
        <f t="shared" si="2"/>
        <v>-2.5906735751295429E-3</v>
      </c>
      <c r="G10" s="51"/>
      <c r="I10" s="50"/>
      <c r="J10" s="12"/>
    </row>
    <row r="11" spans="2:23">
      <c r="B11" s="51">
        <f t="shared" si="0"/>
        <v>9</v>
      </c>
      <c r="C11" s="60">
        <f t="shared" si="1"/>
        <v>45014</v>
      </c>
      <c r="D11" s="59">
        <v>8048</v>
      </c>
      <c r="E11" s="12">
        <f t="shared" si="2"/>
        <v>0.10020505809979485</v>
      </c>
      <c r="G11" s="51"/>
      <c r="I11" s="50"/>
      <c r="J11" s="12"/>
    </row>
    <row r="12" spans="2:23">
      <c r="B12" s="51">
        <f t="shared" si="0"/>
        <v>10</v>
      </c>
      <c r="C12" s="60">
        <f t="shared" si="1"/>
        <v>45379</v>
      </c>
      <c r="D12" s="59">
        <v>9512</v>
      </c>
      <c r="E12" s="12">
        <f t="shared" si="2"/>
        <v>0.18190854870775341</v>
      </c>
      <c r="G12" s="51"/>
      <c r="I12" s="50"/>
      <c r="J12" s="12"/>
    </row>
    <row r="13" spans="2:23">
      <c r="B13" s="51">
        <f t="shared" ref="B13:B14" si="3">B12+1</f>
        <v>11</v>
      </c>
      <c r="C13" s="61">
        <f t="shared" si="1"/>
        <v>45744</v>
      </c>
      <c r="D13" s="59">
        <v>9764</v>
      </c>
      <c r="E13" s="12">
        <f t="shared" si="2"/>
        <v>2.6492851135407891E-2</v>
      </c>
      <c r="G13" t="s">
        <v>161</v>
      </c>
    </row>
    <row r="14" spans="2:23" ht="15" thickBot="1">
      <c r="B14" s="51">
        <f t="shared" si="3"/>
        <v>12</v>
      </c>
      <c r="C14" s="61">
        <f t="shared" si="1"/>
        <v>46109</v>
      </c>
      <c r="D14" s="59">
        <v>9653</v>
      </c>
      <c r="E14" s="12">
        <f t="shared" si="2"/>
        <v>-1.1368291683736209E-2</v>
      </c>
    </row>
    <row r="15" spans="2:23">
      <c r="B15" s="51">
        <f t="shared" ref="B15:B17" si="4">B14+1</f>
        <v>13</v>
      </c>
      <c r="C15" s="61">
        <f t="shared" si="1"/>
        <v>46474</v>
      </c>
      <c r="D15" s="58">
        <f>FORECAST(B15,$D$3:$D$14,$B$3:$B$14)</f>
        <v>10327.89393939394</v>
      </c>
      <c r="E15" s="12">
        <f t="shared" si="2"/>
        <v>6.9915460415822972E-2</v>
      </c>
      <c r="G15" s="57" t="s">
        <v>162</v>
      </c>
      <c r="H15" s="57"/>
    </row>
    <row r="16" spans="2:23">
      <c r="B16" s="51">
        <f t="shared" si="4"/>
        <v>14</v>
      </c>
      <c r="C16" s="61">
        <f t="shared" si="1"/>
        <v>46839</v>
      </c>
      <c r="D16" s="58">
        <f t="shared" ref="D16:D17" si="5">FORECAST(B16,$D$3:$D$14,$B$3:$B$14)</f>
        <v>10828.351981351983</v>
      </c>
      <c r="E16" s="12">
        <f t="shared" si="2"/>
        <v>4.8456930802623255E-2</v>
      </c>
      <c r="G16" s="54" t="s">
        <v>163</v>
      </c>
      <c r="H16" s="54">
        <v>0.9764864526983863</v>
      </c>
    </row>
    <row r="17" spans="2:15">
      <c r="B17" s="51">
        <f t="shared" si="4"/>
        <v>15</v>
      </c>
      <c r="C17" s="61">
        <f t="shared" si="1"/>
        <v>47204</v>
      </c>
      <c r="D17" s="58">
        <f t="shared" si="5"/>
        <v>11328.810023310025</v>
      </c>
      <c r="E17" s="12">
        <f t="shared" si="2"/>
        <v>4.6217378491196337E-2</v>
      </c>
      <c r="G17" s="54" t="s">
        <v>164</v>
      </c>
      <c r="H17" s="54">
        <v>0.95352579230347778</v>
      </c>
    </row>
    <row r="18" spans="2:15">
      <c r="B18" s="51"/>
      <c r="C18" s="61"/>
      <c r="D18" s="58"/>
      <c r="E18" s="12"/>
      <c r="G18" s="54" t="s">
        <v>165</v>
      </c>
      <c r="H18" s="54">
        <v>0.94887837153382559</v>
      </c>
    </row>
    <row r="19" spans="2:15">
      <c r="B19" s="51"/>
      <c r="C19" s="61"/>
      <c r="D19" s="58"/>
      <c r="E19" s="12"/>
      <c r="G19" s="54" t="s">
        <v>166</v>
      </c>
      <c r="H19" s="54">
        <v>417.80676333903614</v>
      </c>
    </row>
    <row r="20" spans="2:15" ht="15" thickBot="1">
      <c r="D20" s="12"/>
      <c r="G20" s="55" t="s">
        <v>167</v>
      </c>
      <c r="H20" s="55">
        <v>12</v>
      </c>
    </row>
    <row r="22" spans="2:15" ht="15" thickBot="1">
      <c r="G22" t="s">
        <v>168</v>
      </c>
    </row>
    <row r="23" spans="2:15">
      <c r="G23" s="56"/>
      <c r="H23" s="56" t="s">
        <v>172</v>
      </c>
      <c r="I23" s="56" t="s">
        <v>173</v>
      </c>
      <c r="J23" s="56" t="s">
        <v>174</v>
      </c>
      <c r="K23" s="56" t="s">
        <v>175</v>
      </c>
      <c r="L23" s="56" t="s">
        <v>176</v>
      </c>
    </row>
    <row r="24" spans="2:15">
      <c r="G24" s="54" t="s">
        <v>169</v>
      </c>
      <c r="H24" s="54">
        <v>1</v>
      </c>
      <c r="I24" s="54">
        <v>35815530.001748249</v>
      </c>
      <c r="J24" s="54">
        <v>35815530.001748249</v>
      </c>
      <c r="K24" s="54">
        <v>205.17311419917596</v>
      </c>
      <c r="L24" s="54">
        <v>5.4418307246746752E-8</v>
      </c>
    </row>
    <row r="25" spans="2:15">
      <c r="G25" s="54" t="s">
        <v>170</v>
      </c>
      <c r="H25" s="54">
        <v>10</v>
      </c>
      <c r="I25" s="54">
        <v>1745624.9149184136</v>
      </c>
      <c r="J25" s="54">
        <v>174562.49149184136</v>
      </c>
      <c r="K25" s="54"/>
      <c r="L25" s="54"/>
    </row>
    <row r="26" spans="2:15" ht="15" thickBot="1">
      <c r="G26" s="55" t="s">
        <v>37</v>
      </c>
      <c r="H26" s="55">
        <v>11</v>
      </c>
      <c r="I26" s="55">
        <v>37561154.916666664</v>
      </c>
      <c r="J26" s="55"/>
      <c r="K26" s="55"/>
      <c r="L26" s="55"/>
    </row>
    <row r="27" spans="2:15" ht="15" thickBot="1"/>
    <row r="28" spans="2:15">
      <c r="G28" s="56"/>
      <c r="H28" s="56" t="s">
        <v>177</v>
      </c>
      <c r="I28" s="56" t="s">
        <v>166</v>
      </c>
      <c r="J28" s="56" t="s">
        <v>178</v>
      </c>
      <c r="K28" s="56" t="s">
        <v>179</v>
      </c>
      <c r="L28" s="56" t="s">
        <v>180</v>
      </c>
      <c r="M28" s="56" t="s">
        <v>181</v>
      </c>
      <c r="N28" s="56" t="s">
        <v>182</v>
      </c>
      <c r="O28" s="56" t="s">
        <v>183</v>
      </c>
    </row>
    <row r="29" spans="2:15">
      <c r="G29" s="54" t="s">
        <v>171</v>
      </c>
      <c r="H29" s="54">
        <v>3821.939393939394</v>
      </c>
      <c r="I29" s="54">
        <v>257.14228720325588</v>
      </c>
      <c r="J29" s="54">
        <v>14.863130586212666</v>
      </c>
      <c r="K29" s="54">
        <v>3.8181228017796502E-8</v>
      </c>
      <c r="L29" s="54">
        <v>3248.9906733332064</v>
      </c>
      <c r="M29" s="54">
        <v>4394.8881145455816</v>
      </c>
      <c r="N29" s="54">
        <v>3248.9906733332064</v>
      </c>
      <c r="O29" s="54">
        <v>4394.8881145455816</v>
      </c>
    </row>
    <row r="30" spans="2:15" ht="15" thickBot="1">
      <c r="G30" s="55" t="s">
        <v>158</v>
      </c>
      <c r="H30" s="55">
        <v>500.45804195804203</v>
      </c>
      <c r="I30" s="55">
        <v>34.938756756919247</v>
      </c>
      <c r="J30" s="55">
        <v>14.323865197605569</v>
      </c>
      <c r="K30" s="55">
        <v>5.4418307246746653E-8</v>
      </c>
      <c r="L30" s="55">
        <v>422.60964058785231</v>
      </c>
      <c r="M30" s="55">
        <v>578.30644332823181</v>
      </c>
      <c r="N30" s="55">
        <v>422.60964058785231</v>
      </c>
      <c r="O30" s="55">
        <v>578.30644332823181</v>
      </c>
    </row>
  </sheetData>
  <mergeCells count="2">
    <mergeCell ref="B1:E1"/>
    <mergeCell ref="G1:J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2325-CDE4-4EDE-A547-E8BE909E612C}">
  <sheetPr>
    <tabColor rgb="FF92D050"/>
  </sheetPr>
  <dimension ref="B2:O18"/>
  <sheetViews>
    <sheetView showGridLines="0" workbookViewId="0">
      <selection activeCell="O21" sqref="O21"/>
    </sheetView>
  </sheetViews>
  <sheetFormatPr defaultRowHeight="14.5"/>
  <cols>
    <col min="1" max="1" width="1.81640625" customWidth="1"/>
    <col min="2" max="2" width="11.1796875" customWidth="1"/>
    <col min="4" max="4" width="10.90625" customWidth="1"/>
    <col min="5" max="5" width="11.7265625" customWidth="1"/>
    <col min="6" max="6" width="2.6328125" customWidth="1"/>
    <col min="7" max="7" width="12.453125" customWidth="1"/>
    <col min="8" max="8" width="9.453125" customWidth="1"/>
    <col min="9" max="9" width="10.1796875" customWidth="1"/>
    <col min="10" max="10" width="14.6328125" customWidth="1"/>
    <col min="11" max="11" width="2.6328125" customWidth="1"/>
    <col min="12" max="12" width="12.08984375" customWidth="1"/>
    <col min="14" max="14" width="8.7265625" customWidth="1"/>
    <col min="15" max="15" width="13.08984375" customWidth="1"/>
  </cols>
  <sheetData>
    <row r="2" spans="2:15">
      <c r="B2" s="153" t="str">
        <f>'Data Sheet'!B1&amp;" - "&amp;'Data Sheet'!A17&amp;" Forecasting"</f>
        <v>MARICO LTD - Sales Forecasting</v>
      </c>
      <c r="C2" s="152"/>
      <c r="D2" s="152"/>
      <c r="E2" s="152"/>
      <c r="G2" s="153" t="str">
        <f>'Data Sheet'!B1&amp;" - "&amp;'Data Sheet'!A34&amp;" Forecasting"</f>
        <v>MARICO LTD - EBITDA Forecasting</v>
      </c>
      <c r="H2" s="152"/>
      <c r="I2" s="152"/>
      <c r="J2" s="152"/>
      <c r="L2" s="153" t="str">
        <f>'Data Sheet'!B1&amp;" - "&amp;HistoricalFS!B40&amp;" Forecasting"</f>
        <v>MARICO LTD - Earnings Per Share Forecasting</v>
      </c>
      <c r="M2" s="152"/>
      <c r="N2" s="152"/>
      <c r="O2" s="152"/>
    </row>
    <row r="3" spans="2:15">
      <c r="B3" s="14" t="s">
        <v>158</v>
      </c>
      <c r="C3" s="14" t="s">
        <v>159</v>
      </c>
      <c r="D3" s="45" t="s">
        <v>12</v>
      </c>
      <c r="E3" s="45" t="s">
        <v>59</v>
      </c>
      <c r="G3" s="14" t="s">
        <v>158</v>
      </c>
      <c r="H3" s="14" t="s">
        <v>159</v>
      </c>
      <c r="I3" s="45" t="s">
        <v>12</v>
      </c>
      <c r="J3" s="45" t="s">
        <v>59</v>
      </c>
      <c r="L3" s="14" t="s">
        <v>158</v>
      </c>
      <c r="M3" s="14" t="s">
        <v>159</v>
      </c>
      <c r="N3" s="45" t="s">
        <v>12</v>
      </c>
      <c r="O3" s="45" t="s">
        <v>59</v>
      </c>
    </row>
    <row r="4" spans="2:15">
      <c r="B4" s="51">
        <v>1</v>
      </c>
      <c r="C4" s="60">
        <f>'Data Sheet'!B16</f>
        <v>42094</v>
      </c>
      <c r="D4" s="58">
        <f t="array" ref="D4:D13">TRANSPOSE('Data Sheet'!B17:K17)</f>
        <v>5732.98</v>
      </c>
      <c r="G4" s="51">
        <v>1</v>
      </c>
      <c r="H4" s="60">
        <f>'Data Sheet'!B16</f>
        <v>42094</v>
      </c>
      <c r="I4" s="58">
        <f t="array" ref="I4:I13">TRANSPOSE('Data Sheet'!B34:K34)</f>
        <v>917.5100000000001</v>
      </c>
      <c r="L4" s="51">
        <v>1</v>
      </c>
      <c r="M4" s="60">
        <f>'Data Sheet'!B16</f>
        <v>42094</v>
      </c>
      <c r="N4" s="58">
        <f t="array" ref="N4:N13">TRANSPOSE(HistoricalFS!C40:L40)</f>
        <v>25.176899224806196</v>
      </c>
    </row>
    <row r="5" spans="2:15">
      <c r="B5" s="51">
        <f>B4+1</f>
        <v>2</v>
      </c>
      <c r="C5" s="60">
        <f>C4+365</f>
        <v>42459</v>
      </c>
      <c r="D5" s="58">
        <v>6017.32</v>
      </c>
      <c r="E5" s="12">
        <f>IFERROR(D5/D4-1,0)</f>
        <v>4.9597242620766258E-2</v>
      </c>
      <c r="G5" s="51">
        <f>G4+1</f>
        <v>2</v>
      </c>
      <c r="H5" s="60">
        <f>H4+365</f>
        <v>42459</v>
      </c>
      <c r="I5" s="58">
        <v>1132.33</v>
      </c>
      <c r="J5" s="12">
        <f>IFERROR(I5/I4-1,0)</f>
        <v>0.2341336879162077</v>
      </c>
      <c r="L5" s="51">
        <f>L4+1</f>
        <v>2</v>
      </c>
      <c r="M5" s="60">
        <f>M4+365</f>
        <v>42459</v>
      </c>
      <c r="N5" s="58">
        <v>28.220275926212985</v>
      </c>
      <c r="O5" s="12">
        <f>IFERROR(N5/N4-1,0)</f>
        <v>0.12087972685723836</v>
      </c>
    </row>
    <row r="6" spans="2:15">
      <c r="B6" s="51">
        <f t="shared" ref="B6:B18" si="0">B5+1</f>
        <v>3</v>
      </c>
      <c r="C6" s="60">
        <f t="shared" ref="C6:C18" si="1">C5+365</f>
        <v>42824</v>
      </c>
      <c r="D6" s="58">
        <v>5917.79</v>
      </c>
      <c r="E6" s="12">
        <f t="shared" ref="E6:E18" si="2">IFERROR(D6/D5-1,0)</f>
        <v>-1.6540586174575989E-2</v>
      </c>
      <c r="G6" s="51">
        <f t="shared" ref="G6:G18" si="3">G5+1</f>
        <v>3</v>
      </c>
      <c r="H6" s="60">
        <f t="shared" ref="H6:H18" si="4">H5+365</f>
        <v>42824</v>
      </c>
      <c r="I6" s="58">
        <v>1243.2</v>
      </c>
      <c r="J6" s="12">
        <f t="shared" ref="J6:J18" si="5">IFERROR(I6/I5-1,0)</f>
        <v>9.7913152526207137E-2</v>
      </c>
      <c r="L6" s="51">
        <f t="shared" ref="L6:L18" si="6">L5+1</f>
        <v>3</v>
      </c>
      <c r="M6" s="60">
        <f t="shared" ref="M6:M18" si="7">M5+365</f>
        <v>42824</v>
      </c>
      <c r="N6" s="58">
        <v>24.368616815187906</v>
      </c>
      <c r="O6" s="12">
        <f t="shared" ref="O6:O18" si="8">IFERROR(N6/N5-1,0)</f>
        <v>-0.13648552271763525</v>
      </c>
    </row>
    <row r="7" spans="2:15">
      <c r="B7" s="51">
        <f t="shared" si="0"/>
        <v>4</v>
      </c>
      <c r="C7" s="60">
        <f t="shared" si="1"/>
        <v>43189</v>
      </c>
      <c r="D7" s="58">
        <v>6322</v>
      </c>
      <c r="E7" s="12">
        <f t="shared" si="2"/>
        <v>6.8304214918069039E-2</v>
      </c>
      <c r="G7" s="51">
        <f t="shared" si="3"/>
        <v>4</v>
      </c>
      <c r="H7" s="60">
        <f t="shared" si="4"/>
        <v>43189</v>
      </c>
      <c r="I7" s="58">
        <v>1209</v>
      </c>
      <c r="J7" s="12">
        <f t="shared" si="5"/>
        <v>-2.7509652509652538E-2</v>
      </c>
      <c r="L7" s="51">
        <f t="shared" si="6"/>
        <v>4</v>
      </c>
      <c r="M7" s="60">
        <f t="shared" si="7"/>
        <v>43189</v>
      </c>
      <c r="N7" s="58">
        <v>29.986830893175302</v>
      </c>
      <c r="O7" s="12">
        <f t="shared" si="8"/>
        <v>0.23055120939346074</v>
      </c>
    </row>
    <row r="8" spans="2:15">
      <c r="B8" s="51">
        <f t="shared" si="0"/>
        <v>5</v>
      </c>
      <c r="C8" s="60">
        <f t="shared" si="1"/>
        <v>43554</v>
      </c>
      <c r="D8" s="58">
        <v>7334</v>
      </c>
      <c r="E8" s="12">
        <f t="shared" si="2"/>
        <v>0.1600759253400823</v>
      </c>
      <c r="G8" s="51">
        <f t="shared" si="3"/>
        <v>5</v>
      </c>
      <c r="H8" s="60">
        <f t="shared" si="4"/>
        <v>43554</v>
      </c>
      <c r="I8" s="58">
        <v>1411</v>
      </c>
      <c r="J8" s="12">
        <f t="shared" si="5"/>
        <v>0.16708023159636065</v>
      </c>
      <c r="L8" s="51">
        <f t="shared" si="6"/>
        <v>5</v>
      </c>
      <c r="M8" s="60">
        <f t="shared" si="7"/>
        <v>43554</v>
      </c>
      <c r="N8" s="58">
        <v>36.060113099388026</v>
      </c>
      <c r="O8" s="12">
        <f t="shared" si="8"/>
        <v>0.20253164556962044</v>
      </c>
    </row>
    <row r="9" spans="2:15">
      <c r="B9" s="51">
        <f t="shared" si="0"/>
        <v>6</v>
      </c>
      <c r="C9" s="60">
        <f t="shared" si="1"/>
        <v>43919</v>
      </c>
      <c r="D9" s="58">
        <v>7315</v>
      </c>
      <c r="E9" s="12">
        <f t="shared" si="2"/>
        <v>-2.5906735751295429E-3</v>
      </c>
      <c r="G9" s="51">
        <f t="shared" si="3"/>
        <v>6</v>
      </c>
      <c r="H9" s="60">
        <f t="shared" si="4"/>
        <v>43919</v>
      </c>
      <c r="I9" s="58">
        <v>1542</v>
      </c>
      <c r="J9" s="12">
        <f t="shared" si="5"/>
        <v>9.284195605953216E-2</v>
      </c>
      <c r="L9" s="51">
        <f t="shared" si="6"/>
        <v>6</v>
      </c>
      <c r="M9" s="60">
        <f t="shared" si="7"/>
        <v>43919</v>
      </c>
      <c r="N9" s="58">
        <v>31.138652207591015</v>
      </c>
      <c r="O9" s="12">
        <f t="shared" si="8"/>
        <v>-0.13647935263632138</v>
      </c>
    </row>
    <row r="10" spans="2:15">
      <c r="B10" s="51">
        <f t="shared" si="0"/>
        <v>7</v>
      </c>
      <c r="C10" s="60">
        <f t="shared" si="1"/>
        <v>44284</v>
      </c>
      <c r="D10" s="58">
        <v>8048</v>
      </c>
      <c r="E10" s="12">
        <f t="shared" si="2"/>
        <v>0.10020505809979485</v>
      </c>
      <c r="G10" s="51">
        <f t="shared" si="3"/>
        <v>7</v>
      </c>
      <c r="H10" s="60">
        <f t="shared" si="4"/>
        <v>44284</v>
      </c>
      <c r="I10" s="58">
        <v>1669</v>
      </c>
      <c r="J10" s="12">
        <f t="shared" si="5"/>
        <v>8.2360570687418866E-2</v>
      </c>
      <c r="L10" s="51">
        <f t="shared" si="6"/>
        <v>7</v>
      </c>
      <c r="M10" s="60">
        <f t="shared" si="7"/>
        <v>44284</v>
      </c>
      <c r="N10" s="58">
        <v>37.54065355428218</v>
      </c>
      <c r="O10" s="12">
        <f t="shared" si="8"/>
        <v>0.20559661041239541</v>
      </c>
    </row>
    <row r="11" spans="2:15">
      <c r="B11" s="51">
        <f t="shared" si="0"/>
        <v>8</v>
      </c>
      <c r="C11" s="60">
        <f t="shared" si="1"/>
        <v>44649</v>
      </c>
      <c r="D11" s="58">
        <v>9512</v>
      </c>
      <c r="E11" s="12">
        <f t="shared" si="2"/>
        <v>0.18190854870775341</v>
      </c>
      <c r="G11" s="51">
        <f t="shared" si="3"/>
        <v>8</v>
      </c>
      <c r="H11" s="60">
        <f t="shared" si="4"/>
        <v>44649</v>
      </c>
      <c r="I11" s="58">
        <v>1749</v>
      </c>
      <c r="J11" s="12">
        <f t="shared" si="5"/>
        <v>4.7932893948472222E-2</v>
      </c>
      <c r="L11" s="51">
        <f t="shared" si="6"/>
        <v>8</v>
      </c>
      <c r="M11" s="60">
        <f t="shared" si="7"/>
        <v>44649</v>
      </c>
      <c r="N11" s="58">
        <v>47.56342821782178</v>
      </c>
      <c r="O11" s="12">
        <f t="shared" si="8"/>
        <v>0.26698455446565661</v>
      </c>
    </row>
    <row r="12" spans="2:15">
      <c r="B12" s="51">
        <f t="shared" si="0"/>
        <v>9</v>
      </c>
      <c r="C12" s="60">
        <f t="shared" si="1"/>
        <v>45014</v>
      </c>
      <c r="D12" s="58">
        <v>9764</v>
      </c>
      <c r="E12" s="12">
        <f t="shared" si="2"/>
        <v>2.6492851135407891E-2</v>
      </c>
      <c r="G12" s="51">
        <f t="shared" si="3"/>
        <v>9</v>
      </c>
      <c r="H12" s="60">
        <f t="shared" si="4"/>
        <v>45014</v>
      </c>
      <c r="I12" s="58">
        <v>1934</v>
      </c>
      <c r="J12" s="12">
        <f t="shared" si="5"/>
        <v>0.10577472841623781</v>
      </c>
      <c r="L12" s="51">
        <f t="shared" si="6"/>
        <v>9</v>
      </c>
      <c r="M12" s="60">
        <f t="shared" si="7"/>
        <v>45014</v>
      </c>
      <c r="N12" s="58">
        <v>44.520918722449927</v>
      </c>
      <c r="O12" s="12">
        <f t="shared" si="8"/>
        <v>-6.3967413817152874E-2</v>
      </c>
    </row>
    <row r="13" spans="2:15">
      <c r="B13" s="51">
        <f t="shared" si="0"/>
        <v>10</v>
      </c>
      <c r="C13" s="60">
        <f t="shared" si="1"/>
        <v>45379</v>
      </c>
      <c r="D13" s="58">
        <v>9653</v>
      </c>
      <c r="E13" s="12">
        <f t="shared" si="2"/>
        <v>-1.1368291683736209E-2</v>
      </c>
      <c r="G13" s="51">
        <f t="shared" si="3"/>
        <v>10</v>
      </c>
      <c r="H13" s="60">
        <f t="shared" si="4"/>
        <v>45379</v>
      </c>
      <c r="I13" s="58">
        <v>2147</v>
      </c>
      <c r="J13" s="12">
        <f t="shared" si="5"/>
        <v>0.11013443640124088</v>
      </c>
      <c r="L13" s="51">
        <f t="shared" si="6"/>
        <v>10</v>
      </c>
      <c r="M13" s="60">
        <f t="shared" si="7"/>
        <v>45379</v>
      </c>
      <c r="N13" s="58">
        <v>42.570125956263041</v>
      </c>
      <c r="O13" s="12">
        <f t="shared" si="8"/>
        <v>-4.3817441826580872E-2</v>
      </c>
    </row>
    <row r="14" spans="2:15">
      <c r="B14" s="62">
        <f t="shared" si="0"/>
        <v>11</v>
      </c>
      <c r="C14" s="63">
        <f t="shared" si="1"/>
        <v>45744</v>
      </c>
      <c r="D14" s="65">
        <f>FORECAST(B14,$D$4:$D$13,$B$4:$B$13)</f>
        <v>10382.842000000001</v>
      </c>
      <c r="E14" s="64">
        <f t="shared" si="2"/>
        <v>7.5607790324251578E-2</v>
      </c>
      <c r="G14" s="62">
        <f t="shared" si="3"/>
        <v>11</v>
      </c>
      <c r="H14" s="63">
        <f t="shared" si="4"/>
        <v>45744</v>
      </c>
      <c r="I14" s="65">
        <f>FORECAST(G14,$I$4:$I$13,$G$4:$G$13)</f>
        <v>2185.9740000000002</v>
      </c>
      <c r="J14" s="64">
        <f t="shared" si="5"/>
        <v>1.8152771308802995E-2</v>
      </c>
      <c r="L14" s="62">
        <f t="shared" si="6"/>
        <v>11</v>
      </c>
      <c r="M14" s="63">
        <f t="shared" si="7"/>
        <v>45744</v>
      </c>
      <c r="N14" s="65">
        <f>FORECAST(L14,$N$4:$N$13,$L$4:$L$13)</f>
        <v>48.193238270433284</v>
      </c>
      <c r="O14" s="64">
        <f t="shared" si="8"/>
        <v>0.13209057262239443</v>
      </c>
    </row>
    <row r="15" spans="2:15">
      <c r="B15" s="62">
        <f t="shared" si="0"/>
        <v>12</v>
      </c>
      <c r="C15" s="63">
        <f t="shared" si="1"/>
        <v>46109</v>
      </c>
      <c r="D15" s="65">
        <f t="shared" ref="D15:D18" si="9">FORECAST(B15,$D$4:$D$13,$B$4:$B$13)</f>
        <v>10895.793454545455</v>
      </c>
      <c r="E15" s="64">
        <f t="shared" si="2"/>
        <v>4.940376195125129E-2</v>
      </c>
      <c r="G15" s="62">
        <f t="shared" si="3"/>
        <v>12</v>
      </c>
      <c r="H15" s="63">
        <f t="shared" si="4"/>
        <v>46109</v>
      </c>
      <c r="I15" s="65">
        <f t="shared" ref="I15:I18" si="10">FORECAST(G15,$I$4:$I$13,$G$4:$G$13)</f>
        <v>2311.5321818181819</v>
      </c>
      <c r="J15" s="64">
        <f t="shared" si="5"/>
        <v>5.7438094788950789E-2</v>
      </c>
      <c r="L15" s="62">
        <f t="shared" si="6"/>
        <v>12</v>
      </c>
      <c r="M15" s="63">
        <f t="shared" si="7"/>
        <v>46109</v>
      </c>
      <c r="N15" s="65">
        <f t="shared" ref="N15:N18" si="11">FORECAST(L15,$N$4:$N$13,$L$4:$L$13)</f>
        <v>50.643890417472448</v>
      </c>
      <c r="O15" s="64">
        <f t="shared" si="8"/>
        <v>5.0850539100267378E-2</v>
      </c>
    </row>
    <row r="16" spans="2:15">
      <c r="B16" s="62">
        <f t="shared" si="0"/>
        <v>13</v>
      </c>
      <c r="C16" s="63">
        <f t="shared" si="1"/>
        <v>46474</v>
      </c>
      <c r="D16" s="65">
        <f>FORECAST(B16,$D$4:$D$13,$B$4:$B$13)</f>
        <v>11408.744909090909</v>
      </c>
      <c r="E16" s="64">
        <f t="shared" si="2"/>
        <v>4.7077934864070192E-2</v>
      </c>
      <c r="G16" s="62">
        <f t="shared" si="3"/>
        <v>13</v>
      </c>
      <c r="H16" s="63">
        <f t="shared" si="4"/>
        <v>46474</v>
      </c>
      <c r="I16" s="65">
        <f t="shared" si="10"/>
        <v>2437.0903636363637</v>
      </c>
      <c r="J16" s="64">
        <f t="shared" si="5"/>
        <v>5.4318162994132058E-2</v>
      </c>
      <c r="L16" s="62">
        <f t="shared" si="6"/>
        <v>13</v>
      </c>
      <c r="M16" s="63">
        <f t="shared" si="7"/>
        <v>46474</v>
      </c>
      <c r="N16" s="65">
        <f t="shared" si="11"/>
        <v>53.094542564511627</v>
      </c>
      <c r="O16" s="64">
        <f t="shared" si="8"/>
        <v>4.8389887246768293E-2</v>
      </c>
    </row>
    <row r="17" spans="2:15">
      <c r="B17" s="62">
        <f t="shared" si="0"/>
        <v>14</v>
      </c>
      <c r="C17" s="63">
        <f t="shared" si="1"/>
        <v>46839</v>
      </c>
      <c r="D17" s="65">
        <f t="shared" si="9"/>
        <v>11921.696363636363</v>
      </c>
      <c r="E17" s="64">
        <f t="shared" si="2"/>
        <v>4.4961251972310823E-2</v>
      </c>
      <c r="G17" s="62">
        <f t="shared" si="3"/>
        <v>14</v>
      </c>
      <c r="H17" s="63">
        <f t="shared" si="4"/>
        <v>46839</v>
      </c>
      <c r="I17" s="65">
        <f t="shared" si="10"/>
        <v>2562.6485454545455</v>
      </c>
      <c r="J17" s="64">
        <f t="shared" si="5"/>
        <v>5.1519707144070503E-2</v>
      </c>
      <c r="L17" s="62">
        <f t="shared" si="6"/>
        <v>14</v>
      </c>
      <c r="M17" s="63">
        <f t="shared" si="7"/>
        <v>46839</v>
      </c>
      <c r="N17" s="65">
        <f t="shared" si="11"/>
        <v>55.545194711550792</v>
      </c>
      <c r="O17" s="64">
        <f t="shared" si="8"/>
        <v>4.6156384981781207E-2</v>
      </c>
    </row>
    <row r="18" spans="2:15">
      <c r="B18" s="62">
        <f t="shared" si="0"/>
        <v>15</v>
      </c>
      <c r="C18" s="63">
        <f t="shared" si="1"/>
        <v>47204</v>
      </c>
      <c r="D18" s="65">
        <f t="shared" si="9"/>
        <v>12434.647818181817</v>
      </c>
      <c r="E18" s="64">
        <f t="shared" si="2"/>
        <v>4.3026716911702456E-2</v>
      </c>
      <c r="G18" s="62">
        <f t="shared" si="3"/>
        <v>15</v>
      </c>
      <c r="H18" s="63">
        <f t="shared" si="4"/>
        <v>47204</v>
      </c>
      <c r="I18" s="65">
        <f t="shared" si="10"/>
        <v>2688.2067272727272</v>
      </c>
      <c r="J18" s="64">
        <f t="shared" si="5"/>
        <v>4.8995474639270453E-2</v>
      </c>
      <c r="L18" s="62">
        <f t="shared" si="6"/>
        <v>15</v>
      </c>
      <c r="M18" s="63">
        <f t="shared" si="7"/>
        <v>47204</v>
      </c>
      <c r="N18" s="65">
        <f t="shared" si="11"/>
        <v>57.995846858589964</v>
      </c>
      <c r="O18" s="64">
        <f t="shared" si="8"/>
        <v>4.411996680838981E-2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FED6-10E8-4B01-83F7-D03D7B496017}">
  <dimension ref="B2:L34"/>
  <sheetViews>
    <sheetView workbookViewId="0">
      <selection activeCell="B25" sqref="B25:B34"/>
    </sheetView>
  </sheetViews>
  <sheetFormatPr defaultRowHeight="14.5"/>
  <cols>
    <col min="2" max="2" width="41" customWidth="1"/>
    <col min="3" max="12" width="16.90625" customWidth="1"/>
  </cols>
  <sheetData>
    <row r="2" spans="2:12">
      <c r="C2" s="16">
        <v>42064</v>
      </c>
      <c r="D2" s="16">
        <v>42430</v>
      </c>
      <c r="E2" s="16">
        <v>42795</v>
      </c>
      <c r="F2" s="16">
        <v>43160</v>
      </c>
      <c r="G2" s="16">
        <v>43525</v>
      </c>
      <c r="H2" s="16">
        <v>43891</v>
      </c>
      <c r="I2" s="16">
        <v>44256</v>
      </c>
      <c r="J2" s="16">
        <v>44621</v>
      </c>
      <c r="K2" s="16">
        <v>44986</v>
      </c>
      <c r="L2" s="16">
        <v>45352</v>
      </c>
    </row>
    <row r="3" spans="2:12">
      <c r="B3" t="s">
        <v>90</v>
      </c>
      <c r="C3">
        <v>665</v>
      </c>
      <c r="D3">
        <v>818</v>
      </c>
      <c r="E3">
        <v>649</v>
      </c>
      <c r="F3">
        <v>516</v>
      </c>
      <c r="G3" s="27">
        <v>1062</v>
      </c>
      <c r="H3" s="27">
        <v>1214</v>
      </c>
      <c r="I3" s="27">
        <v>2007</v>
      </c>
      <c r="J3" s="27">
        <v>1016</v>
      </c>
      <c r="K3" s="27">
        <v>1419</v>
      </c>
      <c r="L3" s="27">
        <v>1436</v>
      </c>
    </row>
    <row r="4" spans="2:12">
      <c r="B4" t="s">
        <v>91</v>
      </c>
      <c r="C4">
        <v>891</v>
      </c>
      <c r="D4" s="27">
        <v>1085</v>
      </c>
      <c r="E4" s="27">
        <v>1215</v>
      </c>
      <c r="F4" s="27">
        <v>1160</v>
      </c>
      <c r="G4" s="27">
        <v>1361</v>
      </c>
      <c r="H4" s="27">
        <v>1475</v>
      </c>
      <c r="I4" s="27">
        <v>1617</v>
      </c>
      <c r="J4" s="27">
        <v>1709</v>
      </c>
      <c r="K4" s="27">
        <v>1847</v>
      </c>
      <c r="L4" s="27">
        <v>2040</v>
      </c>
    </row>
    <row r="5" spans="2:12">
      <c r="B5" t="s">
        <v>42</v>
      </c>
      <c r="C5">
        <v>46</v>
      </c>
      <c r="D5">
        <v>-76</v>
      </c>
      <c r="E5">
        <v>5</v>
      </c>
      <c r="F5">
        <v>-93</v>
      </c>
      <c r="G5">
        <v>-177</v>
      </c>
      <c r="H5">
        <v>-22</v>
      </c>
      <c r="I5">
        <v>147</v>
      </c>
      <c r="J5">
        <v>-272</v>
      </c>
      <c r="K5">
        <v>-360</v>
      </c>
      <c r="L5">
        <v>-52</v>
      </c>
    </row>
    <row r="6" spans="2:12">
      <c r="B6" t="s">
        <v>43</v>
      </c>
      <c r="C6">
        <v>-198</v>
      </c>
      <c r="D6">
        <v>66</v>
      </c>
      <c r="E6">
        <v>-328</v>
      </c>
      <c r="F6">
        <v>-257</v>
      </c>
      <c r="G6">
        <v>100</v>
      </c>
      <c r="H6">
        <v>31</v>
      </c>
      <c r="I6">
        <v>251</v>
      </c>
      <c r="J6">
        <v>-286</v>
      </c>
      <c r="K6">
        <v>191</v>
      </c>
      <c r="L6">
        <v>-101</v>
      </c>
    </row>
    <row r="7" spans="2:12">
      <c r="B7" t="s">
        <v>92</v>
      </c>
      <c r="C7">
        <v>0</v>
      </c>
      <c r="D7">
        <v>106</v>
      </c>
      <c r="E7">
        <v>28</v>
      </c>
      <c r="F7">
        <v>125</v>
      </c>
      <c r="G7">
        <v>121</v>
      </c>
      <c r="H7">
        <v>10</v>
      </c>
      <c r="I7">
        <v>184</v>
      </c>
      <c r="J7">
        <v>210</v>
      </c>
      <c r="K7">
        <v>99</v>
      </c>
      <c r="L7">
        <v>106</v>
      </c>
    </row>
    <row r="8" spans="2:12">
      <c r="B8" t="s">
        <v>93</v>
      </c>
      <c r="C8">
        <v>0</v>
      </c>
      <c r="D8">
        <v>-99</v>
      </c>
      <c r="E8">
        <v>0</v>
      </c>
      <c r="F8">
        <v>2</v>
      </c>
      <c r="G8">
        <v>-1</v>
      </c>
      <c r="H8">
        <v>-1</v>
      </c>
      <c r="I8">
        <v>-60</v>
      </c>
      <c r="J8">
        <v>1</v>
      </c>
      <c r="K8">
        <v>1</v>
      </c>
      <c r="L8">
        <v>9</v>
      </c>
    </row>
    <row r="9" spans="2:12">
      <c r="B9" t="s">
        <v>94</v>
      </c>
      <c r="C9">
        <v>135</v>
      </c>
      <c r="D9">
        <v>-17</v>
      </c>
      <c r="E9">
        <v>25</v>
      </c>
      <c r="F9">
        <v>-126</v>
      </c>
      <c r="G9">
        <v>-22</v>
      </c>
      <c r="H9">
        <v>11</v>
      </c>
      <c r="I9">
        <v>153</v>
      </c>
      <c r="J9">
        <v>5</v>
      </c>
      <c r="K9">
        <v>10</v>
      </c>
      <c r="L9">
        <v>-188</v>
      </c>
    </row>
    <row r="10" spans="2:12">
      <c r="B10" t="s">
        <v>95</v>
      </c>
      <c r="C10">
        <v>-17</v>
      </c>
      <c r="D10">
        <v>-20</v>
      </c>
      <c r="E10">
        <v>-270</v>
      </c>
      <c r="F10">
        <v>-349</v>
      </c>
      <c r="G10">
        <v>21</v>
      </c>
      <c r="H10">
        <v>29</v>
      </c>
      <c r="I10">
        <v>675</v>
      </c>
      <c r="J10">
        <v>-342</v>
      </c>
      <c r="K10">
        <v>-59</v>
      </c>
      <c r="L10">
        <v>-226</v>
      </c>
    </row>
    <row r="11" spans="2:12">
      <c r="B11" t="s">
        <v>96</v>
      </c>
      <c r="C11">
        <v>-210</v>
      </c>
      <c r="D11">
        <v>-247</v>
      </c>
      <c r="E11">
        <v>-296</v>
      </c>
      <c r="F11">
        <v>-295</v>
      </c>
      <c r="G11">
        <v>-320</v>
      </c>
      <c r="H11">
        <v>-290</v>
      </c>
      <c r="I11">
        <v>-285</v>
      </c>
      <c r="J11">
        <v>-351</v>
      </c>
      <c r="K11">
        <v>-369</v>
      </c>
      <c r="L11">
        <v>-378</v>
      </c>
    </row>
    <row r="12" spans="2:12">
      <c r="B12" t="s">
        <v>97</v>
      </c>
      <c r="C12">
        <v>-186</v>
      </c>
      <c r="D12">
        <v>-203</v>
      </c>
      <c r="E12">
        <v>-125</v>
      </c>
      <c r="F12">
        <v>59</v>
      </c>
      <c r="G12">
        <v>-367</v>
      </c>
      <c r="H12">
        <v>-22</v>
      </c>
      <c r="I12">
        <v>-933</v>
      </c>
      <c r="J12">
        <v>441</v>
      </c>
      <c r="K12">
        <v>-928</v>
      </c>
      <c r="L12">
        <v>127</v>
      </c>
    </row>
    <row r="13" spans="2:12">
      <c r="B13" t="s">
        <v>98</v>
      </c>
      <c r="C13">
        <v>-59</v>
      </c>
      <c r="D13">
        <v>-101</v>
      </c>
      <c r="E13">
        <v>-87</v>
      </c>
      <c r="F13">
        <v>-133</v>
      </c>
      <c r="G13">
        <v>-162</v>
      </c>
      <c r="H13">
        <v>-188</v>
      </c>
      <c r="I13">
        <v>-142</v>
      </c>
      <c r="J13">
        <v>-132</v>
      </c>
      <c r="K13">
        <v>-182</v>
      </c>
      <c r="L13">
        <v>-153</v>
      </c>
    </row>
    <row r="14" spans="2:12">
      <c r="B14" t="s">
        <v>99</v>
      </c>
      <c r="C14">
        <v>1</v>
      </c>
      <c r="D14">
        <v>14</v>
      </c>
      <c r="E14">
        <v>6</v>
      </c>
      <c r="F14">
        <v>5</v>
      </c>
      <c r="G14">
        <v>19</v>
      </c>
      <c r="H14">
        <v>8</v>
      </c>
      <c r="I14">
        <v>5</v>
      </c>
      <c r="J14">
        <v>0</v>
      </c>
      <c r="K14">
        <v>0</v>
      </c>
      <c r="L14">
        <v>0</v>
      </c>
    </row>
    <row r="15" spans="2:12">
      <c r="B15" t="s">
        <v>100</v>
      </c>
      <c r="C15">
        <v>0</v>
      </c>
      <c r="D15">
        <v>-118</v>
      </c>
      <c r="E15">
        <v>0</v>
      </c>
      <c r="F15">
        <v>0</v>
      </c>
      <c r="G15">
        <v>0</v>
      </c>
      <c r="H15">
        <v>-189</v>
      </c>
      <c r="I15">
        <v>0</v>
      </c>
      <c r="J15">
        <v>-146</v>
      </c>
      <c r="K15">
        <v>-130</v>
      </c>
      <c r="L15">
        <v>0</v>
      </c>
    </row>
    <row r="16" spans="2:12">
      <c r="B16" t="s">
        <v>101</v>
      </c>
      <c r="C16">
        <v>41</v>
      </c>
      <c r="D16">
        <v>0</v>
      </c>
      <c r="E16">
        <v>1</v>
      </c>
      <c r="F16">
        <v>70</v>
      </c>
      <c r="G16">
        <v>103</v>
      </c>
      <c r="H16">
        <v>0</v>
      </c>
      <c r="I16">
        <v>164</v>
      </c>
      <c r="J16">
        <v>3</v>
      </c>
      <c r="K16">
        <v>25</v>
      </c>
      <c r="L16">
        <v>398</v>
      </c>
    </row>
    <row r="17" spans="2:12">
      <c r="B17" t="s">
        <v>102</v>
      </c>
      <c r="C17">
        <v>22</v>
      </c>
      <c r="D17">
        <v>32</v>
      </c>
      <c r="E17">
        <v>34</v>
      </c>
      <c r="F17">
        <v>35</v>
      </c>
      <c r="G17">
        <v>49</v>
      </c>
      <c r="H17">
        <v>72</v>
      </c>
      <c r="I17">
        <v>52</v>
      </c>
      <c r="J17">
        <v>57</v>
      </c>
      <c r="K17">
        <v>48</v>
      </c>
      <c r="L17">
        <v>66</v>
      </c>
    </row>
    <row r="18" spans="2:12">
      <c r="B18" t="s">
        <v>103</v>
      </c>
      <c r="C18">
        <v>12</v>
      </c>
      <c r="D18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2">
      <c r="B19" t="s">
        <v>104</v>
      </c>
      <c r="C19">
        <v>0</v>
      </c>
      <c r="D19">
        <v>-1</v>
      </c>
      <c r="E19">
        <v>-17</v>
      </c>
      <c r="F19">
        <v>-4</v>
      </c>
      <c r="G19">
        <v>-6</v>
      </c>
      <c r="H19">
        <v>-3</v>
      </c>
      <c r="I19">
        <v>0</v>
      </c>
      <c r="J19">
        <v>0</v>
      </c>
      <c r="K19">
        <v>0</v>
      </c>
      <c r="L19">
        <v>0</v>
      </c>
    </row>
    <row r="20" spans="2:12">
      <c r="B20" t="s">
        <v>105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2:12">
      <c r="B21" t="s">
        <v>106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-55</v>
      </c>
      <c r="K21">
        <v>-277</v>
      </c>
      <c r="L21">
        <v>-103</v>
      </c>
    </row>
    <row r="22" spans="2:12">
      <c r="B22" t="s">
        <v>107</v>
      </c>
      <c r="C22">
        <v>0</v>
      </c>
      <c r="D22">
        <v>-55</v>
      </c>
      <c r="E22">
        <v>-29</v>
      </c>
      <c r="F22">
        <v>0</v>
      </c>
      <c r="G22">
        <v>20</v>
      </c>
      <c r="H22">
        <v>44</v>
      </c>
      <c r="I22">
        <v>-295</v>
      </c>
      <c r="J22">
        <v>0</v>
      </c>
      <c r="K22">
        <v>-90</v>
      </c>
      <c r="L22">
        <v>200</v>
      </c>
    </row>
    <row r="23" spans="2:12">
      <c r="B23" t="s">
        <v>108</v>
      </c>
      <c r="C23">
        <v>-203</v>
      </c>
      <c r="D23">
        <v>1</v>
      </c>
      <c r="E23">
        <v>-34</v>
      </c>
      <c r="F23">
        <v>86</v>
      </c>
      <c r="G23">
        <v>-390</v>
      </c>
      <c r="H23">
        <v>234</v>
      </c>
      <c r="I23">
        <v>-718</v>
      </c>
      <c r="J23">
        <v>714</v>
      </c>
      <c r="K23">
        <v>-322</v>
      </c>
      <c r="L23">
        <v>-281</v>
      </c>
    </row>
    <row r="24" spans="2:12">
      <c r="B24" t="s">
        <v>109</v>
      </c>
      <c r="C24">
        <v>-625</v>
      </c>
      <c r="D24">
        <v>-601</v>
      </c>
      <c r="E24">
        <v>-574</v>
      </c>
      <c r="F24">
        <v>-567</v>
      </c>
      <c r="G24">
        <v>-698</v>
      </c>
      <c r="H24" s="27">
        <v>-1147</v>
      </c>
      <c r="I24" s="27">
        <v>-1058</v>
      </c>
      <c r="J24" s="27">
        <v>-1290</v>
      </c>
      <c r="K24">
        <v>-560</v>
      </c>
      <c r="L24" s="27">
        <v>-1542</v>
      </c>
    </row>
    <row r="25" spans="2:12">
      <c r="B25" t="s">
        <v>110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41</v>
      </c>
      <c r="K25">
        <v>9</v>
      </c>
      <c r="L25">
        <v>34</v>
      </c>
    </row>
    <row r="26" spans="2:12">
      <c r="B26" t="s">
        <v>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2">
      <c r="B27" t="s">
        <v>112</v>
      </c>
      <c r="C27">
        <v>-44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2:12">
      <c r="B28" t="s">
        <v>113</v>
      </c>
      <c r="C28">
        <v>0</v>
      </c>
      <c r="D28">
        <v>0</v>
      </c>
      <c r="E28">
        <v>0</v>
      </c>
      <c r="F28">
        <v>0</v>
      </c>
      <c r="G28">
        <v>40</v>
      </c>
      <c r="H28">
        <v>0</v>
      </c>
      <c r="I28">
        <v>13</v>
      </c>
      <c r="J28">
        <v>0</v>
      </c>
      <c r="K28">
        <v>132</v>
      </c>
      <c r="L28">
        <v>2</v>
      </c>
    </row>
    <row r="29" spans="2:12">
      <c r="B29" t="s">
        <v>114</v>
      </c>
      <c r="C29">
        <v>0</v>
      </c>
      <c r="D29">
        <v>0</v>
      </c>
      <c r="E29">
        <v>0</v>
      </c>
      <c r="F29">
        <v>0</v>
      </c>
      <c r="G29">
        <v>0</v>
      </c>
      <c r="H29">
        <v>-15</v>
      </c>
      <c r="I29">
        <v>0</v>
      </c>
      <c r="J29">
        <v>-11</v>
      </c>
      <c r="K29">
        <v>0</v>
      </c>
      <c r="L29">
        <v>-91</v>
      </c>
    </row>
    <row r="30" spans="2:12">
      <c r="B30" t="s">
        <v>115</v>
      </c>
      <c r="C30">
        <v>-23</v>
      </c>
      <c r="D30">
        <v>-21</v>
      </c>
      <c r="E30">
        <v>-17</v>
      </c>
      <c r="F30">
        <v>-16</v>
      </c>
      <c r="G30">
        <v>-39</v>
      </c>
      <c r="H30">
        <v>-50</v>
      </c>
      <c r="I30">
        <v>-34</v>
      </c>
      <c r="J30">
        <v>-39</v>
      </c>
      <c r="K30">
        <v>-53</v>
      </c>
      <c r="L30">
        <v>-65</v>
      </c>
    </row>
    <row r="31" spans="2:12">
      <c r="B31" t="s">
        <v>116</v>
      </c>
      <c r="C31">
        <v>-300</v>
      </c>
      <c r="D31">
        <v>-502</v>
      </c>
      <c r="E31">
        <v>-509</v>
      </c>
      <c r="F31">
        <v>-636</v>
      </c>
      <c r="G31">
        <v>-682</v>
      </c>
      <c r="H31" s="27">
        <v>-1026</v>
      </c>
      <c r="I31">
        <v>-990</v>
      </c>
      <c r="J31" s="27">
        <v>-1217</v>
      </c>
      <c r="K31">
        <v>-607</v>
      </c>
      <c r="L31" s="27">
        <v>-1229</v>
      </c>
    </row>
    <row r="32" spans="2:12">
      <c r="B32" t="s">
        <v>117</v>
      </c>
      <c r="C32">
        <v>0</v>
      </c>
      <c r="D32">
        <v>0</v>
      </c>
      <c r="E32">
        <v>0</v>
      </c>
      <c r="F32">
        <v>0</v>
      </c>
      <c r="G32">
        <v>-29</v>
      </c>
      <c r="H32">
        <v>-38</v>
      </c>
      <c r="I32">
        <v>-44</v>
      </c>
      <c r="J32">
        <v>-64</v>
      </c>
      <c r="K32">
        <v>-41</v>
      </c>
      <c r="L32">
        <v>-52</v>
      </c>
    </row>
    <row r="33" spans="2:12">
      <c r="B33" t="s">
        <v>118</v>
      </c>
      <c r="C33">
        <v>-259</v>
      </c>
      <c r="D33">
        <v>-78</v>
      </c>
      <c r="E33">
        <v>-48</v>
      </c>
      <c r="F33">
        <v>85</v>
      </c>
      <c r="G33">
        <v>12</v>
      </c>
      <c r="H33">
        <v>-18</v>
      </c>
      <c r="I33">
        <v>-9</v>
      </c>
      <c r="J33">
        <v>0</v>
      </c>
      <c r="K33">
        <v>0</v>
      </c>
      <c r="L33">
        <v>-141</v>
      </c>
    </row>
    <row r="34" spans="2:12">
      <c r="B34" t="s">
        <v>52</v>
      </c>
      <c r="C34">
        <v>-147</v>
      </c>
      <c r="D34">
        <v>14</v>
      </c>
      <c r="E34">
        <v>-51</v>
      </c>
      <c r="F34">
        <v>8</v>
      </c>
      <c r="G34">
        <v>-3</v>
      </c>
      <c r="H34">
        <v>45</v>
      </c>
      <c r="I34">
        <v>16</v>
      </c>
      <c r="J34">
        <v>167</v>
      </c>
      <c r="K34">
        <v>-69</v>
      </c>
      <c r="L34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44DE-24FA-4099-85AC-2A26EF5D9F21}">
  <dimension ref="B2:L44"/>
  <sheetViews>
    <sheetView showGridLines="0" workbookViewId="0">
      <selection activeCell="C38" sqref="C38:L40"/>
    </sheetView>
  </sheetViews>
  <sheetFormatPr defaultRowHeight="14.5"/>
  <cols>
    <col min="1" max="1" width="1.81640625" customWidth="1"/>
    <col min="2" max="2" width="14.54296875" customWidth="1"/>
    <col min="3" max="3" width="9.54296875" bestFit="1" customWidth="1"/>
  </cols>
  <sheetData>
    <row r="2" spans="2:12">
      <c r="B2" s="151" t="str">
        <f>"Common Size Income Statement"&amp; " "&amp;" - "&amp;'Data Sheet'!B1</f>
        <v>Common Size Income Statement  - MARICO LTD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</row>
    <row r="4" spans="2:12">
      <c r="B4" s="66" t="s">
        <v>184</v>
      </c>
      <c r="C4" s="67">
        <f>'Data Sheet'!B$16</f>
        <v>42094</v>
      </c>
      <c r="D4" s="67">
        <f>'Data Sheet'!C$16</f>
        <v>42460</v>
      </c>
      <c r="E4" s="67">
        <f>'Data Sheet'!D$16</f>
        <v>42825</v>
      </c>
      <c r="F4" s="67">
        <f>'Data Sheet'!E$16</f>
        <v>43190</v>
      </c>
      <c r="G4" s="67">
        <f>'Data Sheet'!F$16</f>
        <v>43555</v>
      </c>
      <c r="H4" s="67">
        <f>'Data Sheet'!G$16</f>
        <v>43921</v>
      </c>
      <c r="I4" s="67">
        <f>'Data Sheet'!H$16</f>
        <v>44286</v>
      </c>
      <c r="J4" s="67">
        <f>'Data Sheet'!I$16</f>
        <v>44651</v>
      </c>
      <c r="K4" s="67">
        <f>'Data Sheet'!J$16</f>
        <v>45016</v>
      </c>
      <c r="L4" s="67">
        <f>'Data Sheet'!K$16</f>
        <v>45382</v>
      </c>
    </row>
    <row r="6" spans="2:12">
      <c r="B6" s="68" t="str">
        <f>'Data Sheet'!A17</f>
        <v>Sales</v>
      </c>
      <c r="C6" s="12">
        <f>'Data Sheet'!B17/'Data Sheet'!B$17</f>
        <v>1</v>
      </c>
      <c r="D6" s="12">
        <f>'Data Sheet'!C17/'Data Sheet'!C$17</f>
        <v>1</v>
      </c>
      <c r="E6" s="12">
        <f>'Data Sheet'!D17/'Data Sheet'!D$17</f>
        <v>1</v>
      </c>
      <c r="F6" s="12">
        <f>'Data Sheet'!E17/'Data Sheet'!E$17</f>
        <v>1</v>
      </c>
      <c r="G6" s="12">
        <f>'Data Sheet'!F17/'Data Sheet'!F$17</f>
        <v>1</v>
      </c>
      <c r="H6" s="12">
        <f>'Data Sheet'!G17/'Data Sheet'!G$17</f>
        <v>1</v>
      </c>
      <c r="I6" s="12">
        <f>'Data Sheet'!H17/'Data Sheet'!H$17</f>
        <v>1</v>
      </c>
      <c r="J6" s="12">
        <f>'Data Sheet'!I17/'Data Sheet'!I$17</f>
        <v>1</v>
      </c>
      <c r="K6" s="12">
        <f>'Data Sheet'!J17/'Data Sheet'!J$17</f>
        <v>1</v>
      </c>
      <c r="L6" s="12">
        <f>'Data Sheet'!K17/'Data Sheet'!K$17</f>
        <v>1</v>
      </c>
    </row>
    <row r="7" spans="2:12">
      <c r="B7" s="68" t="str">
        <f>'Data Sheet'!A18</f>
        <v>Raw Material Cost</v>
      </c>
      <c r="C7" s="12">
        <f>'Data Sheet'!B18/'Data Sheet'!B$17</f>
        <v>0.47476704959724264</v>
      </c>
      <c r="D7" s="12">
        <f>'Data Sheet'!C18/'Data Sheet'!C$17</f>
        <v>0.50029747462325425</v>
      </c>
      <c r="E7" s="12">
        <f>'Data Sheet'!D18/'Data Sheet'!D$17</f>
        <v>0.41064485221679042</v>
      </c>
      <c r="F7" s="12">
        <f>'Data Sheet'!E18/'Data Sheet'!E$17</f>
        <v>0.49493831066118316</v>
      </c>
      <c r="G7" s="12">
        <f>'Data Sheet'!F18/'Data Sheet'!F$17</f>
        <v>0.49454595036814836</v>
      </c>
      <c r="H7" s="12">
        <f>'Data Sheet'!G18/'Data Sheet'!G$17</f>
        <v>0.41995898838004103</v>
      </c>
      <c r="I7" s="12">
        <f>'Data Sheet'!H18/'Data Sheet'!H$17</f>
        <v>0.46669980119284293</v>
      </c>
      <c r="J7" s="12">
        <f>'Data Sheet'!I18/'Data Sheet'!I$17</f>
        <v>0.52481076534903282</v>
      </c>
      <c r="K7" s="12">
        <f>'Data Sheet'!J18/'Data Sheet'!J$17</f>
        <v>0.46896763621466614</v>
      </c>
      <c r="L7" s="12">
        <f>'Data Sheet'!K18/'Data Sheet'!K$17</f>
        <v>0.42981456542007668</v>
      </c>
    </row>
    <row r="8" spans="2:12">
      <c r="B8" s="68" t="str">
        <f>'Data Sheet'!A19</f>
        <v>Change in Inventory</v>
      </c>
      <c r="C8" s="12">
        <f>'Data Sheet'!B19/'Data Sheet'!B$17</f>
        <v>1.9105247183838076E-2</v>
      </c>
      <c r="D8" s="12">
        <f>'Data Sheet'!C19/'Data Sheet'!C$17</f>
        <v>-9.9878351159652483E-3</v>
      </c>
      <c r="E8" s="12">
        <f>'Data Sheet'!D19/'Data Sheet'!D$17</f>
        <v>9.5762100378688677E-3</v>
      </c>
      <c r="F8" s="12">
        <f>'Data Sheet'!E19/'Data Sheet'!E$17</f>
        <v>3.4799114204365704E-2</v>
      </c>
      <c r="G8" s="12">
        <f>'Data Sheet'!F19/'Data Sheet'!F$17</f>
        <v>1.6771202617943824E-2</v>
      </c>
      <c r="H8" s="12">
        <f>'Data Sheet'!G19/'Data Sheet'!G$17</f>
        <v>-1.9138755980861243E-2</v>
      </c>
      <c r="I8" s="12">
        <f>'Data Sheet'!H19/'Data Sheet'!H$17</f>
        <v>-5.8399602385685884E-3</v>
      </c>
      <c r="J8" s="12">
        <f>'Data Sheet'!I19/'Data Sheet'!I$17</f>
        <v>1.2195121951219513E-2</v>
      </c>
      <c r="K8" s="12">
        <f>'Data Sheet'!J19/'Data Sheet'!J$17</f>
        <v>-1.6489143793527242E-2</v>
      </c>
      <c r="L8" s="12">
        <f>'Data Sheet'!K19/'Data Sheet'!K$17</f>
        <v>-5.69771055630374E-3</v>
      </c>
    </row>
    <row r="9" spans="2:12">
      <c r="B9" s="68" t="str">
        <f>'Data Sheet'!A20</f>
        <v>Power and Fuel</v>
      </c>
      <c r="C9" s="12">
        <f>'Data Sheet'!B20/'Data Sheet'!B$17</f>
        <v>5.5294105334398515E-3</v>
      </c>
      <c r="D9" s="12">
        <f>'Data Sheet'!C20/'Data Sheet'!C$17</f>
        <v>5.1617663677517569E-3</v>
      </c>
      <c r="E9" s="12">
        <f>'Data Sheet'!D20/'Data Sheet'!D$17</f>
        <v>4.9545522906355244E-3</v>
      </c>
      <c r="F9" s="12">
        <f>'Data Sheet'!E20/'Data Sheet'!E$17</f>
        <v>5.3780449224928818E-3</v>
      </c>
      <c r="G9" s="12">
        <f>'Data Sheet'!F20/'Data Sheet'!F$17</f>
        <v>5.044995909462776E-3</v>
      </c>
      <c r="H9" s="12">
        <f>'Data Sheet'!G20/'Data Sheet'!G$17</f>
        <v>4.9213943950786052E-3</v>
      </c>
      <c r="I9" s="12">
        <f>'Data Sheet'!H20/'Data Sheet'!H$17</f>
        <v>3.3548707753479124E-3</v>
      </c>
      <c r="J9" s="12">
        <f>'Data Sheet'!I20/'Data Sheet'!I$17</f>
        <v>3.3641715727502101E-3</v>
      </c>
      <c r="K9" s="12">
        <f>'Data Sheet'!J20/'Data Sheet'!J$17</f>
        <v>3.5845964768537486E-3</v>
      </c>
      <c r="L9" s="12">
        <f>'Data Sheet'!K20/'Data Sheet'!K$17</f>
        <v>3.8330052833316069E-3</v>
      </c>
    </row>
    <row r="10" spans="2:12">
      <c r="B10" s="68" t="str">
        <f>'Data Sheet'!A21</f>
        <v>Other Mfr. Exp</v>
      </c>
      <c r="C10" s="12">
        <f>'Data Sheet'!B21/'Data Sheet'!B$17</f>
        <v>0.13350822783264552</v>
      </c>
      <c r="D10" s="12">
        <f>'Data Sheet'!C21/'Data Sheet'!C$17</f>
        <v>4.3564244547406483E-2</v>
      </c>
      <c r="E10" s="12">
        <f>'Data Sheet'!D21/'Data Sheet'!D$17</f>
        <v>0.12255250693248662</v>
      </c>
      <c r="F10" s="12">
        <f>'Data Sheet'!E21/'Data Sheet'!E$17</f>
        <v>0.11531161024992091</v>
      </c>
      <c r="G10" s="12">
        <f>'Data Sheet'!F21/'Data Sheet'!F$17</f>
        <v>0.11248977365694028</v>
      </c>
      <c r="H10" s="12">
        <f>'Data Sheet'!G21/'Data Sheet'!G$17</f>
        <v>0.11619958988380041</v>
      </c>
      <c r="I10" s="12">
        <f>'Data Sheet'!H21/'Data Sheet'!H$17</f>
        <v>9.5924453280318095E-2</v>
      </c>
      <c r="J10" s="12">
        <f>'Data Sheet'!I21/'Data Sheet'!I$17</f>
        <v>9.2514718250630776E-2</v>
      </c>
      <c r="K10" s="12">
        <f>'Data Sheet'!J21/'Data Sheet'!J$17</f>
        <v>9.5043015157722247E-2</v>
      </c>
      <c r="L10" s="12">
        <f>'Data Sheet'!K21/'Data Sheet'!K$17</f>
        <v>9.1888532062571221E-2</v>
      </c>
    </row>
    <row r="11" spans="2:12">
      <c r="B11" s="68" t="str">
        <f>'Data Sheet'!A22</f>
        <v>Employee Cost</v>
      </c>
      <c r="C11" s="12">
        <f>'Data Sheet'!B22/'Data Sheet'!B$17</f>
        <v>5.6938974146081102E-2</v>
      </c>
      <c r="D11" s="12">
        <f>'Data Sheet'!C22/'Data Sheet'!C$17</f>
        <v>6.2271908424348384E-2</v>
      </c>
      <c r="E11" s="12">
        <f>'Data Sheet'!D22/'Data Sheet'!D$17</f>
        <v>6.8606692701160404E-2</v>
      </c>
      <c r="F11" s="12">
        <f>'Data Sheet'!E22/'Data Sheet'!E$17</f>
        <v>6.6751028155646944E-2</v>
      </c>
      <c r="G11" s="12">
        <f>'Data Sheet'!F22/'Data Sheet'!F$17</f>
        <v>6.3539678211071718E-2</v>
      </c>
      <c r="H11" s="12">
        <f>'Data Sheet'!G22/'Data Sheet'!G$17</f>
        <v>6.5345181134654817E-2</v>
      </c>
      <c r="I11" s="12">
        <f>'Data Sheet'!H22/'Data Sheet'!H$17</f>
        <v>7.0825049701789267E-2</v>
      </c>
      <c r="J11" s="12">
        <f>'Data Sheet'!I22/'Data Sheet'!I$17</f>
        <v>6.1606391925988227E-2</v>
      </c>
      <c r="K11" s="12">
        <f>'Data Sheet'!J22/'Data Sheet'!J$17</f>
        <v>6.6878328553871366E-2</v>
      </c>
      <c r="L11" s="12">
        <f>'Data Sheet'!K22/'Data Sheet'!K$17</f>
        <v>7.6970889878794163E-2</v>
      </c>
    </row>
    <row r="12" spans="2:12">
      <c r="B12" s="68" t="str">
        <f>'Data Sheet'!A23</f>
        <v>Selling and admin</v>
      </c>
      <c r="C12" s="12">
        <f>'Data Sheet'!B23/'Data Sheet'!B$17</f>
        <v>0.18933608699140764</v>
      </c>
      <c r="D12" s="12">
        <f>'Data Sheet'!C23/'Data Sheet'!C$17</f>
        <v>0.1860562509555749</v>
      </c>
      <c r="E12" s="12">
        <f>'Data Sheet'!D23/'Data Sheet'!D$17</f>
        <v>0.19583831126146756</v>
      </c>
      <c r="F12" s="12">
        <f>'Data Sheet'!E23/'Data Sheet'!E$17</f>
        <v>0.24612464409996837</v>
      </c>
      <c r="G12" s="12">
        <f>'Data Sheet'!F23/'Data Sheet'!F$17</f>
        <v>0.23193346059449141</v>
      </c>
      <c r="H12" s="12">
        <f>'Data Sheet'!G23/'Data Sheet'!G$17</f>
        <v>0.26397812713602187</v>
      </c>
      <c r="I12" s="12">
        <f>'Data Sheet'!H23/'Data Sheet'!H$17</f>
        <v>0.24353876739562624</v>
      </c>
      <c r="J12" s="12">
        <f>'Data Sheet'!I23/'Data Sheet'!I$17</f>
        <v>0.24852817493692178</v>
      </c>
      <c r="K12" s="12">
        <f>'Data Sheet'!J23/'Data Sheet'!J$17</f>
        <v>0.27806226956165508</v>
      </c>
      <c r="L12" s="12">
        <f>'Data Sheet'!K23/'Data Sheet'!K$17</f>
        <v>0.31430643323319174</v>
      </c>
    </row>
    <row r="13" spans="2:12">
      <c r="B13" s="68" t="str">
        <f>'Data Sheet'!A24</f>
        <v>Other Expenses</v>
      </c>
      <c r="C13" s="12">
        <f>'Data Sheet'!B24/'Data Sheet'!B$17</f>
        <v>7.2632383158496979E-3</v>
      </c>
      <c r="D13" s="12">
        <f>'Data Sheet'!C24/'Data Sheet'!C$17</f>
        <v>1.793489460424242E-2</v>
      </c>
      <c r="E13" s="12">
        <f>'Data Sheet'!D24/'Data Sheet'!D$17</f>
        <v>1.1083529493273672E-2</v>
      </c>
      <c r="F13" s="12">
        <f>'Data Sheet'!E24/'Data Sheet'!E$17</f>
        <v>-7.3552673204682062E-2</v>
      </c>
      <c r="G13" s="12">
        <f>'Data Sheet'!F24/'Data Sheet'!F$17</f>
        <v>-7.1448050177256611E-2</v>
      </c>
      <c r="H13" s="12">
        <f>'Data Sheet'!G24/'Data Sheet'!G$17</f>
        <v>-9.0362269309637727E-2</v>
      </c>
      <c r="I13" s="12">
        <f>'Data Sheet'!H24/'Data Sheet'!H$17</f>
        <v>-8.3623260437375752E-2</v>
      </c>
      <c r="J13" s="12">
        <f>'Data Sheet'!I24/'Data Sheet'!I$17</f>
        <v>-9.5353238015138772E-2</v>
      </c>
      <c r="K13" s="12">
        <f>'Data Sheet'!J24/'Data Sheet'!J$17</f>
        <v>-0.11439983613273248</v>
      </c>
      <c r="L13" s="12">
        <f>'Data Sheet'!K24/'Data Sheet'!K$17</f>
        <v>-0.13239407438102144</v>
      </c>
    </row>
    <row r="14" spans="2:12">
      <c r="B14" s="68" t="str">
        <f>'Data Sheet'!A25</f>
        <v>Other Income</v>
      </c>
      <c r="C14" s="12">
        <f>'Data Sheet'!B25/'Data Sheet'!B$17</f>
        <v>1.0272144678683688E-2</v>
      </c>
      <c r="D14" s="12">
        <f>'Data Sheet'!C25/'Data Sheet'!C$17</f>
        <v>1.5422148065916389E-2</v>
      </c>
      <c r="E14" s="12">
        <f>'Data Sheet'!D25/'Data Sheet'!D$17</f>
        <v>1.6274656586326992E-2</v>
      </c>
      <c r="F14" s="12">
        <f>'Data Sheet'!E25/'Data Sheet'!E$17</f>
        <v>1.3445112306232205E-2</v>
      </c>
      <c r="G14" s="12">
        <f>'Data Sheet'!F25/'Data Sheet'!F$17</f>
        <v>1.4044177802017999E-2</v>
      </c>
      <c r="H14" s="12">
        <f>'Data Sheet'!G25/'Data Sheet'!G$17</f>
        <v>1.2987012987012988E-2</v>
      </c>
      <c r="I14" s="12">
        <f>'Data Sheet'!H25/'Data Sheet'!H$17</f>
        <v>1.3295228628230616E-2</v>
      </c>
      <c r="J14" s="12">
        <f>'Data Sheet'!I25/'Data Sheet'!I$17</f>
        <v>1.0302775441547519E-2</v>
      </c>
      <c r="K14" s="12">
        <f>'Data Sheet'!J25/'Data Sheet'!J$17</f>
        <v>1.4748054076198279E-2</v>
      </c>
      <c r="L14" s="12">
        <f>'Data Sheet'!K25/'Data Sheet'!K$17</f>
        <v>1.4710452709002383E-2</v>
      </c>
    </row>
    <row r="15" spans="2:12">
      <c r="B15" s="68" t="str">
        <f>'Data Sheet'!A26</f>
        <v>Depreciation</v>
      </c>
      <c r="C15" s="12">
        <f>'Data Sheet'!B26/'Data Sheet'!B$17</f>
        <v>1.4711371747328617E-2</v>
      </c>
      <c r="D15" s="12">
        <f>'Data Sheet'!C26/'Data Sheet'!C$17</f>
        <v>1.5764493163069274E-2</v>
      </c>
      <c r="E15" s="12">
        <f>'Data Sheet'!D26/'Data Sheet'!D$17</f>
        <v>1.5259074755947743E-2</v>
      </c>
      <c r="F15" s="12">
        <f>'Data Sheet'!E26/'Data Sheet'!E$17</f>
        <v>1.4077823473584309E-2</v>
      </c>
      <c r="G15" s="12">
        <f>'Data Sheet'!F26/'Data Sheet'!F$17</f>
        <v>1.7862012544314153E-2</v>
      </c>
      <c r="H15" s="12">
        <f>'Data Sheet'!G26/'Data Sheet'!G$17</f>
        <v>1.9138755980861243E-2</v>
      </c>
      <c r="I15" s="12">
        <f>'Data Sheet'!H26/'Data Sheet'!H$17</f>
        <v>1.7271371769383696E-2</v>
      </c>
      <c r="J15" s="12">
        <f>'Data Sheet'!I26/'Data Sheet'!I$17</f>
        <v>1.4613120269133726E-2</v>
      </c>
      <c r="K15" s="12">
        <f>'Data Sheet'!J26/'Data Sheet'!J$17</f>
        <v>1.5874641540352313E-2</v>
      </c>
      <c r="L15" s="12">
        <f>'Data Sheet'!K26/'Data Sheet'!K$17</f>
        <v>1.6367968507199834E-2</v>
      </c>
    </row>
    <row r="16" spans="2:12">
      <c r="B16" s="68" t="str">
        <f>'Data Sheet'!A27</f>
        <v>Interest</v>
      </c>
      <c r="C16" s="12">
        <f>'Data Sheet'!B27/'Data Sheet'!B$17</f>
        <v>4.0031536827269589E-3</v>
      </c>
      <c r="D16" s="12">
        <f>'Data Sheet'!C27/'Data Sheet'!C$17</f>
        <v>3.4267747103361632E-3</v>
      </c>
      <c r="E16" s="12">
        <f>'Data Sheet'!D27/'Data Sheet'!D$17</f>
        <v>2.8017215886335942E-3</v>
      </c>
      <c r="F16" s="12">
        <f>'Data Sheet'!E27/'Data Sheet'!E$17</f>
        <v>2.530844669408415E-3</v>
      </c>
      <c r="G16" s="12">
        <f>'Data Sheet'!F27/'Data Sheet'!F$17</f>
        <v>5.4540496318516499E-3</v>
      </c>
      <c r="H16" s="12">
        <f>'Data Sheet'!G27/'Data Sheet'!G$17</f>
        <v>6.8352699931647299E-3</v>
      </c>
      <c r="I16" s="12">
        <f>'Data Sheet'!H27/'Data Sheet'!H$17</f>
        <v>4.2246520874751493E-3</v>
      </c>
      <c r="J16" s="12">
        <f>'Data Sheet'!I27/'Data Sheet'!I$17</f>
        <v>4.1000841042893189E-3</v>
      </c>
      <c r="K16" s="12">
        <f>'Data Sheet'!J27/'Data Sheet'!J$17</f>
        <v>5.7353543629659973E-3</v>
      </c>
      <c r="L16" s="12">
        <f>'Data Sheet'!K27/'Data Sheet'!K$17</f>
        <v>7.5624158292758731E-3</v>
      </c>
    </row>
    <row r="17" spans="2:12">
      <c r="B17" s="68" t="str">
        <f>'Data Sheet'!A28</f>
        <v>Profit before tax</v>
      </c>
      <c r="C17" s="12">
        <f>'Data Sheet'!B28/'Data Sheet'!B$17</f>
        <v>0.14331987901579982</v>
      </c>
      <c r="D17" s="12">
        <f>'Data Sheet'!C28/'Data Sheet'!C$17</f>
        <v>0.17095650555396757</v>
      </c>
      <c r="E17" s="12">
        <f>'Data Sheet'!D28/'Data Sheet'!D$17</f>
        <v>0.19410962538380039</v>
      </c>
      <c r="F17" s="12">
        <f>'Data Sheet'!E28/'Data Sheet'!E$17</f>
        <v>0.17668459348307497</v>
      </c>
      <c r="G17" s="12">
        <f>'Data Sheet'!F28/'Data Sheet'!F$17</f>
        <v>0.17139350968093808</v>
      </c>
      <c r="H17" s="12">
        <f>'Data Sheet'!G28/'Data Sheet'!G$17</f>
        <v>0.18783321941216677</v>
      </c>
      <c r="I17" s="12">
        <f>'Data Sheet'!H28/'Data Sheet'!H$17</f>
        <v>0.18923956262425448</v>
      </c>
      <c r="J17" s="12">
        <f>'Data Sheet'!I28/'Data Sheet'!I$17</f>
        <v>0.16831370899915896</v>
      </c>
      <c r="K17" s="12">
        <f>'Data Sheet'!J28/'Data Sheet'!J$17</f>
        <v>0.17851290454731666</v>
      </c>
      <c r="L17" s="12">
        <f>'Data Sheet'!K28/'Data Sheet'!K$17</f>
        <v>0.20066300631927897</v>
      </c>
    </row>
    <row r="18" spans="2:12">
      <c r="B18" s="68" t="str">
        <f>'Data Sheet'!A29</f>
        <v>Tax</v>
      </c>
      <c r="C18" s="12">
        <f>'Data Sheet'!B29/'Data Sheet'!B$17</f>
        <v>4.1299638233519044E-2</v>
      </c>
      <c r="D18" s="12">
        <f>'Data Sheet'!C29/'Data Sheet'!C$17</f>
        <v>5.0748505979406118E-2</v>
      </c>
      <c r="E18" s="12">
        <f>'Data Sheet'!D29/'Data Sheet'!D$17</f>
        <v>5.7070291443258384E-2</v>
      </c>
      <c r="F18" s="12">
        <f>'Data Sheet'!E29/'Data Sheet'!E$17</f>
        <v>4.5871559633027525E-2</v>
      </c>
      <c r="G18" s="12">
        <f>'Data Sheet'!F29/'Data Sheet'!F$17</f>
        <v>1.7180256340332697E-2</v>
      </c>
      <c r="H18" s="12">
        <f>'Data Sheet'!G29/'Data Sheet'!G$17</f>
        <v>4.5249487354750512E-2</v>
      </c>
      <c r="I18" s="12">
        <f>'Data Sheet'!H29/'Data Sheet'!H$17</f>
        <v>4.0258449304174951E-2</v>
      </c>
      <c r="J18" s="12">
        <f>'Data Sheet'!I29/'Data Sheet'!I$17</f>
        <v>3.637510513036165E-2</v>
      </c>
      <c r="K18" s="12">
        <f>'Data Sheet'!J29/'Data Sheet'!J$17</f>
        <v>4.3117574764440801E-2</v>
      </c>
      <c r="L18" s="12">
        <f>'Data Sheet'!K29/'Data Sheet'!K$17</f>
        <v>4.5063710763493213E-2</v>
      </c>
    </row>
    <row r="19" spans="2:12">
      <c r="B19" s="68" t="str">
        <f>'Data Sheet'!A30</f>
        <v>Net profit</v>
      </c>
      <c r="C19" s="12">
        <f>'Data Sheet'!B30/'Data Sheet'!B$17</f>
        <v>0.10002651326186383</v>
      </c>
      <c r="D19" s="12">
        <f>'Data Sheet'!C30/'Data Sheet'!C$17</f>
        <v>0.11823868433123053</v>
      </c>
      <c r="E19" s="12">
        <f>'Data Sheet'!D30/'Data Sheet'!D$17</f>
        <v>0.13494733675916179</v>
      </c>
      <c r="F19" s="12">
        <f>'Data Sheet'!E30/'Data Sheet'!E$17</f>
        <v>0.12875672255615311</v>
      </c>
      <c r="G19" s="12">
        <f>'Data Sheet'!F30/'Data Sheet'!F$17</f>
        <v>0.15189528224706844</v>
      </c>
      <c r="H19" s="12">
        <f>'Data Sheet'!G30/'Data Sheet'!G$17</f>
        <v>0.1395762132604238</v>
      </c>
      <c r="I19" s="12">
        <f>'Data Sheet'!H30/'Data Sheet'!H$17</f>
        <v>0.14562624254473161</v>
      </c>
      <c r="J19" s="12">
        <f>'Data Sheet'!I30/'Data Sheet'!I$17</f>
        <v>0.12878469301934398</v>
      </c>
      <c r="K19" s="12">
        <f>'Data Sheet'!J30/'Data Sheet'!J$17</f>
        <v>0.13334698893895944</v>
      </c>
      <c r="L19" s="12">
        <f>'Data Sheet'!K30/'Data Sheet'!K$17</f>
        <v>0.15342380607065162</v>
      </c>
    </row>
    <row r="20" spans="2:12">
      <c r="B20" s="68" t="str">
        <f>'Data Sheet'!A31</f>
        <v>Dividend Amount</v>
      </c>
      <c r="C20" s="12">
        <f>'Data Sheet'!B31/'Data Sheet'!B$17</f>
        <v>2.8126733391709027E-2</v>
      </c>
      <c r="D20" s="12">
        <f>'Data Sheet'!C31/'Data Sheet'!C$17</f>
        <v>9.1126946880006388E-2</v>
      </c>
      <c r="E20" s="12">
        <f>'Data Sheet'!D31/'Data Sheet'!D$17</f>
        <v>7.6325790540049579E-2</v>
      </c>
      <c r="F20" s="12">
        <f>'Data Sheet'!E31/'Data Sheet'!E$17</f>
        <v>8.6720974375197726E-2</v>
      </c>
      <c r="G20" s="12">
        <f>'Data Sheet'!F31/'Data Sheet'!F$17</f>
        <v>8.3549222797927467E-2</v>
      </c>
      <c r="H20" s="12">
        <f>'Data Sheet'!G31/'Data Sheet'!G$17</f>
        <v>0.11903622693096377</v>
      </c>
      <c r="I20" s="12">
        <f>'Data Sheet'!H31/'Data Sheet'!H$17</f>
        <v>0.1202162027833002</v>
      </c>
      <c r="J20" s="12">
        <f>'Data Sheet'!I31/'Data Sheet'!I$17</f>
        <v>0.12544680403700589</v>
      </c>
      <c r="K20" s="12">
        <f>'Data Sheet'!J31/'Data Sheet'!J$17</f>
        <v>5.9453092994674314E-2</v>
      </c>
      <c r="L20" s="12">
        <f>'Data Sheet'!K31/'Data Sheet'!K$17</f>
        <v>0.12695535066818606</v>
      </c>
    </row>
    <row r="21" spans="2:12">
      <c r="B21" s="68" t="str">
        <f>'Data Sheet'!A34</f>
        <v>EBITDA</v>
      </c>
      <c r="C21" s="12">
        <f>'Data Sheet'!B34/'Data Sheet'!B$17</f>
        <v>0.16004067692543847</v>
      </c>
      <c r="D21" s="12">
        <f>'Data Sheet'!C34/'Data Sheet'!C$17</f>
        <v>0.18817845818404205</v>
      </c>
      <c r="E21" s="12">
        <f>'Data Sheet'!D34/'Data Sheet'!D$17</f>
        <v>0.21007842454700151</v>
      </c>
      <c r="F21" s="12">
        <f>'Data Sheet'!E34/'Data Sheet'!E$17</f>
        <v>0.19123695033217336</v>
      </c>
      <c r="G21" s="12">
        <f>'Data Sheet'!F34/'Data Sheet'!F$17</f>
        <v>0.19239160076356696</v>
      </c>
      <c r="H21" s="12">
        <f>'Data Sheet'!G34/'Data Sheet'!G$17</f>
        <v>0.21079972658920026</v>
      </c>
      <c r="I21" s="12">
        <f>'Data Sheet'!H34/'Data Sheet'!H$17</f>
        <v>0.20738071570576541</v>
      </c>
      <c r="J21" s="12">
        <f>'Data Sheet'!I34/'Data Sheet'!I$17</f>
        <v>0.18387300252312869</v>
      </c>
      <c r="K21" s="12">
        <f>'Data Sheet'!J34/'Data Sheet'!J$17</f>
        <v>0.19807455960671855</v>
      </c>
      <c r="L21" s="12">
        <f>'Data Sheet'!K34/'Data Sheet'!K$17</f>
        <v>0.22241790117062052</v>
      </c>
    </row>
    <row r="22" spans="2:12">
      <c r="B22" s="68"/>
    </row>
    <row r="23" spans="2:12">
      <c r="B23" s="151" t="str">
        <f>"Common Size Balance Sheet"&amp; " "&amp;" - "&amp;'Data Sheet'!B1</f>
        <v>Common Size Balance Sheet  - MARICO LTD</v>
      </c>
      <c r="C23" s="151"/>
      <c r="D23" s="151"/>
      <c r="E23" s="151"/>
      <c r="F23" s="151"/>
      <c r="G23" s="151"/>
      <c r="H23" s="151"/>
      <c r="I23" s="151"/>
      <c r="J23" s="151"/>
      <c r="K23" s="151"/>
      <c r="L23" s="151"/>
    </row>
    <row r="24" spans="2:12" s="21" customFormat="1"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</row>
    <row r="25" spans="2:12">
      <c r="B25" s="66" t="s">
        <v>184</v>
      </c>
      <c r="C25" s="67">
        <f>'Data Sheet'!B$16</f>
        <v>42094</v>
      </c>
      <c r="D25" s="67">
        <f>'Data Sheet'!C$16</f>
        <v>42460</v>
      </c>
      <c r="E25" s="67">
        <f>'Data Sheet'!D$16</f>
        <v>42825</v>
      </c>
      <c r="F25" s="67">
        <f>'Data Sheet'!E$16</f>
        <v>43190</v>
      </c>
      <c r="G25" s="67">
        <f>'Data Sheet'!F$16</f>
        <v>43555</v>
      </c>
      <c r="H25" s="67">
        <f>'Data Sheet'!G$16</f>
        <v>43921</v>
      </c>
      <c r="I25" s="67">
        <f>'Data Sheet'!H$16</f>
        <v>44286</v>
      </c>
      <c r="J25" s="67">
        <f>'Data Sheet'!I$16</f>
        <v>44651</v>
      </c>
      <c r="K25" s="67">
        <f>'Data Sheet'!J$16</f>
        <v>45016</v>
      </c>
      <c r="L25" s="67">
        <f>'Data Sheet'!K$16</f>
        <v>45382</v>
      </c>
    </row>
    <row r="26" spans="2:12"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</row>
    <row r="27" spans="2:12">
      <c r="B27" s="72" t="s">
        <v>76</v>
      </c>
      <c r="C27" s="73">
        <f>'Data Sheet'!B61/'Data Sheet'!B$61</f>
        <v>1</v>
      </c>
      <c r="D27" s="73">
        <f>'Data Sheet'!C61/'Data Sheet'!C$61</f>
        <v>1</v>
      </c>
      <c r="E27" s="73">
        <f>'Data Sheet'!D61/'Data Sheet'!D$61</f>
        <v>1</v>
      </c>
      <c r="F27" s="73">
        <f>'Data Sheet'!E61/'Data Sheet'!E$61</f>
        <v>1</v>
      </c>
      <c r="G27" s="73">
        <f>'Data Sheet'!F61/'Data Sheet'!F$61</f>
        <v>1</v>
      </c>
      <c r="H27" s="73">
        <f>'Data Sheet'!G61/'Data Sheet'!G$61</f>
        <v>1</v>
      </c>
      <c r="I27" s="73">
        <f>'Data Sheet'!H61/'Data Sheet'!H$61</f>
        <v>1</v>
      </c>
      <c r="J27" s="73">
        <f>'Data Sheet'!I61/'Data Sheet'!I$61</f>
        <v>1</v>
      </c>
      <c r="K27" s="73">
        <f>'Data Sheet'!J61/'Data Sheet'!J$61</f>
        <v>1</v>
      </c>
      <c r="L27" s="73">
        <f>'Data Sheet'!K61/'Data Sheet'!K$61</f>
        <v>1</v>
      </c>
    </row>
    <row r="28" spans="2:12">
      <c r="B28" s="68" t="str">
        <f>'Data Sheet'!A57</f>
        <v>Equity Share Capital</v>
      </c>
      <c r="C28" s="12">
        <f>'Data Sheet'!B57/'Data Sheet'!B$61</f>
        <v>2.0638150821686376E-2</v>
      </c>
      <c r="D28" s="12">
        <f>'Data Sheet'!C57/'Data Sheet'!C$61</f>
        <v>3.8417904136877561E-2</v>
      </c>
      <c r="E28" s="12">
        <f>'Data Sheet'!D57/'Data Sheet'!D$61</f>
        <v>3.5617587719177196E-2</v>
      </c>
      <c r="F28" s="12">
        <f>'Data Sheet'!E57/'Data Sheet'!E$61</f>
        <v>3.1679764243614933E-2</v>
      </c>
      <c r="G28" s="12">
        <f>'Data Sheet'!F57/'Data Sheet'!F$61</f>
        <v>2.6348039215686275E-2</v>
      </c>
      <c r="H28" s="12">
        <f>'Data Sheet'!G57/'Data Sheet'!G$61</f>
        <v>2.5987107171635777E-2</v>
      </c>
      <c r="I28" s="12">
        <f>'Data Sheet'!H57/'Data Sheet'!H$61</f>
        <v>2.3774419461850351E-2</v>
      </c>
      <c r="J28" s="12">
        <f>'Data Sheet'!I57/'Data Sheet'!I$61</f>
        <v>2.272326933239387E-2</v>
      </c>
      <c r="K28" s="12">
        <f>'Data Sheet'!J57/'Data Sheet'!J$61</f>
        <v>1.8970588235294118E-2</v>
      </c>
      <c r="L28" s="12">
        <f>'Data Sheet'!K57/'Data Sheet'!K$61</f>
        <v>1.7543859649122806E-2</v>
      </c>
    </row>
    <row r="29" spans="2:12">
      <c r="B29" s="68" t="str">
        <f>'Data Sheet'!A58</f>
        <v>Reserves</v>
      </c>
      <c r="C29" s="12">
        <f>'Data Sheet'!B58/'Data Sheet'!B$61</f>
        <v>0.56323913377361379</v>
      </c>
      <c r="D29" s="12">
        <f>'Data Sheet'!C58/'Data Sheet'!C$61</f>
        <v>0.56228839929369656</v>
      </c>
      <c r="E29" s="12">
        <f>'Data Sheet'!D58/'Data Sheet'!D$61</f>
        <v>0.60626626665305072</v>
      </c>
      <c r="F29" s="12">
        <f>'Data Sheet'!E58/'Data Sheet'!E$61</f>
        <v>0.59282907662082518</v>
      </c>
      <c r="G29" s="12">
        <f>'Data Sheet'!F58/'Data Sheet'!F$61</f>
        <v>0.58129084967320266</v>
      </c>
      <c r="H29" s="12">
        <f>'Data Sheet'!G58/'Data Sheet'!G$61</f>
        <v>0.58299758259468171</v>
      </c>
      <c r="I29" s="12">
        <f>'Data Sheet'!H58/'Data Sheet'!H$61</f>
        <v>0.57335053446369333</v>
      </c>
      <c r="J29" s="12">
        <f>'Data Sheet'!I58/'Data Sheet'!I$61</f>
        <v>0.56702483706182838</v>
      </c>
      <c r="K29" s="12">
        <f>'Data Sheet'!J58/'Data Sheet'!J$61</f>
        <v>0.53970588235294115</v>
      </c>
      <c r="L29" s="12">
        <f>'Data Sheet'!K58/'Data Sheet'!K$61</f>
        <v>0.50360397116823064</v>
      </c>
    </row>
    <row r="30" spans="2:12">
      <c r="B30" s="68" t="str">
        <f>'Data Sheet'!A59</f>
        <v>Borrowings</v>
      </c>
      <c r="C30" s="12">
        <f>'Data Sheet'!B59/'Data Sheet'!B$61</f>
        <v>0.13692213177699278</v>
      </c>
      <c r="D30" s="12">
        <f>'Data Sheet'!C59/'Data Sheet'!C$61</f>
        <v>9.8656177326230596E-2</v>
      </c>
      <c r="E30" s="12">
        <f>'Data Sheet'!D59/'Data Sheet'!D$61</f>
        <v>6.5908407185893178E-2</v>
      </c>
      <c r="F30" s="12">
        <f>'Data Sheet'!E59/'Data Sheet'!E$61</f>
        <v>7.6620825147347735E-2</v>
      </c>
      <c r="G30" s="12">
        <f>'Data Sheet'!F59/'Data Sheet'!F$61</f>
        <v>7.1895424836601302E-2</v>
      </c>
      <c r="H30" s="12">
        <f>'Data Sheet'!G59/'Data Sheet'!G$61</f>
        <v>6.8090249798549551E-2</v>
      </c>
      <c r="I30" s="12">
        <f>'Data Sheet'!H59/'Data Sheet'!H$61</f>
        <v>9.4176188720973095E-2</v>
      </c>
      <c r="J30" s="12">
        <f>'Data Sheet'!I59/'Data Sheet'!I$61</f>
        <v>8.4375550466795846E-2</v>
      </c>
      <c r="K30" s="12">
        <f>'Data Sheet'!J59/'Data Sheet'!J$61</f>
        <v>8.9411764705882357E-2</v>
      </c>
      <c r="L30" s="12">
        <f>'Data Sheet'!K59/'Data Sheet'!K$61</f>
        <v>7.1807425540595674E-2</v>
      </c>
    </row>
    <row r="31" spans="2:12">
      <c r="B31" s="68" t="str">
        <f>'Data Sheet'!A60</f>
        <v>Other Liabilities</v>
      </c>
      <c r="C31" s="12">
        <f>'Data Sheet'!B60/'Data Sheet'!B$61</f>
        <v>0.27920058362770694</v>
      </c>
      <c r="D31" s="12">
        <f>'Data Sheet'!C60/'Data Sheet'!C$61</f>
        <v>0.30063751924319526</v>
      </c>
      <c r="E31" s="12">
        <f>'Data Sheet'!D60/'Data Sheet'!D$61</f>
        <v>0.29220773844187886</v>
      </c>
      <c r="F31" s="12">
        <f>'Data Sheet'!E60/'Data Sheet'!E$61</f>
        <v>0.29887033398821217</v>
      </c>
      <c r="G31" s="12">
        <f>'Data Sheet'!F60/'Data Sheet'!F$61</f>
        <v>0.32046568627450983</v>
      </c>
      <c r="H31" s="12">
        <f>'Data Sheet'!G60/'Data Sheet'!G$61</f>
        <v>0.32292506043513297</v>
      </c>
      <c r="I31" s="12">
        <f>'Data Sheet'!H60/'Data Sheet'!H$61</f>
        <v>0.30869885735348324</v>
      </c>
      <c r="J31" s="12">
        <f>'Data Sheet'!I60/'Data Sheet'!I$61</f>
        <v>0.32587634313898184</v>
      </c>
      <c r="K31" s="12">
        <f>'Data Sheet'!J60/'Data Sheet'!J$61</f>
        <v>0.35191176470588237</v>
      </c>
      <c r="L31" s="12">
        <f>'Data Sheet'!K60/'Data Sheet'!K$61</f>
        <v>0.40704474364205084</v>
      </c>
    </row>
    <row r="33" spans="2:12">
      <c r="B33" s="72" t="s">
        <v>80</v>
      </c>
      <c r="C33" s="12">
        <f>'Data Sheet'!B76/'Data Sheet'!B$76</f>
        <v>1</v>
      </c>
      <c r="D33" s="12">
        <f>'Data Sheet'!C76/'Data Sheet'!C$76</f>
        <v>1</v>
      </c>
      <c r="E33" s="12">
        <f>'Data Sheet'!D76/'Data Sheet'!D$76</f>
        <v>1</v>
      </c>
      <c r="F33" s="12">
        <f>'Data Sheet'!E76/'Data Sheet'!E$76</f>
        <v>1</v>
      </c>
      <c r="G33" s="12">
        <f>'Data Sheet'!F76/'Data Sheet'!F$76</f>
        <v>1</v>
      </c>
      <c r="H33" s="12">
        <f>'Data Sheet'!G76/'Data Sheet'!G$76</f>
        <v>1</v>
      </c>
      <c r="I33" s="12">
        <f>'Data Sheet'!H76/'Data Sheet'!H$76</f>
        <v>1</v>
      </c>
      <c r="J33" s="12">
        <f>'Data Sheet'!I76/'Data Sheet'!I$76</f>
        <v>1</v>
      </c>
      <c r="K33" s="12">
        <f>'Data Sheet'!J76/'Data Sheet'!J$76</f>
        <v>1</v>
      </c>
      <c r="L33" s="12">
        <f>'Data Sheet'!K76/'Data Sheet'!K$76</f>
        <v>1</v>
      </c>
    </row>
    <row r="34" spans="2:12">
      <c r="B34" s="68" t="str">
        <f>'Data Sheet'!A62</f>
        <v>Net Block</v>
      </c>
      <c r="C34" s="12">
        <f>'Data Sheet'!B62/'Data Sheet'!B$76</f>
        <v>0.34426355398556291</v>
      </c>
      <c r="D34" s="12">
        <f>'Data Sheet'!C62/'Data Sheet'!C$76</f>
        <v>0.31278343700589284</v>
      </c>
      <c r="E34" s="12">
        <f>'Data Sheet'!D62/'Data Sheet'!D$76</f>
        <v>0.2993754157225223</v>
      </c>
      <c r="F34" s="12">
        <f>'Data Sheet'!E62/'Data Sheet'!E$76</f>
        <v>0.27259332023575639</v>
      </c>
      <c r="G34" s="12">
        <f>'Data Sheet'!F62/'Data Sheet'!F$76</f>
        <v>0.26552287581699346</v>
      </c>
      <c r="H34" s="12">
        <f>'Data Sheet'!G62/'Data Sheet'!G$76</f>
        <v>0.28122481869460114</v>
      </c>
      <c r="I34" s="12">
        <f>'Data Sheet'!H62/'Data Sheet'!H$76</f>
        <v>0.29708809436048655</v>
      </c>
      <c r="J34" s="12">
        <f>'Data Sheet'!I62/'Data Sheet'!I$76</f>
        <v>0.31002289941870709</v>
      </c>
      <c r="K34" s="12">
        <f>'Data Sheet'!J62/'Data Sheet'!J$76</f>
        <v>0.33029411764705885</v>
      </c>
      <c r="L34" s="12">
        <f>'Data Sheet'!K62/'Data Sheet'!K$76</f>
        <v>0.37046103631170951</v>
      </c>
    </row>
    <row r="35" spans="2:12">
      <c r="B35" s="68" t="str">
        <f>'Data Sheet'!A63</f>
        <v>Capital Work in Progress</v>
      </c>
      <c r="C35" s="12">
        <f>'Data Sheet'!B63/'Data Sheet'!B$76</f>
        <v>9.6951313162340637E-4</v>
      </c>
      <c r="D35" s="12">
        <f>'Data Sheet'!C63/'Data Sheet'!C$76</f>
        <v>1.0936983560281449E-2</v>
      </c>
      <c r="E35" s="12">
        <f>'Data Sheet'!D63/'Data Sheet'!D$76</f>
        <v>3.0801416423558116E-3</v>
      </c>
      <c r="F35" s="12">
        <f>'Data Sheet'!E63/'Data Sheet'!E$76</f>
        <v>6.6306483300589388E-3</v>
      </c>
      <c r="G35" s="12">
        <f>'Data Sheet'!F63/'Data Sheet'!F$76</f>
        <v>9.1911764705882356E-3</v>
      </c>
      <c r="H35" s="12">
        <f>'Data Sheet'!G63/'Data Sheet'!G$76</f>
        <v>1.1684125705076551E-2</v>
      </c>
      <c r="I35" s="12">
        <f>'Data Sheet'!H63/'Data Sheet'!H$76</f>
        <v>4.4231478068558795E-3</v>
      </c>
      <c r="J35" s="12">
        <f>'Data Sheet'!I63/'Data Sheet'!I$76</f>
        <v>6.8698256121190772E-3</v>
      </c>
      <c r="K35" s="12">
        <f>'Data Sheet'!J63/'Data Sheet'!J$76</f>
        <v>9.8529411764705886E-3</v>
      </c>
      <c r="L35" s="12">
        <f>'Data Sheet'!K63/'Data Sheet'!K$76</f>
        <v>5.9839521283829725E-3</v>
      </c>
    </row>
    <row r="36" spans="2:12">
      <c r="B36" s="68" t="str">
        <f>'Data Sheet'!A64</f>
        <v>Investments</v>
      </c>
      <c r="C36" s="12">
        <f>'Data Sheet'!B64/'Data Sheet'!B$76</f>
        <v>9.0807863615420051E-2</v>
      </c>
      <c r="D36" s="12">
        <f>'Data Sheet'!C64/'Data Sheet'!C$76</f>
        <v>0.16194358505566755</v>
      </c>
      <c r="E36" s="12">
        <f>'Data Sheet'!D64/'Data Sheet'!D$76</f>
        <v>0.16786495952484123</v>
      </c>
      <c r="F36" s="12">
        <f>'Data Sheet'!E64/'Data Sheet'!E$76</f>
        <v>0.13334970530451867</v>
      </c>
      <c r="G36" s="12">
        <f>'Data Sheet'!F64/'Data Sheet'!F$76</f>
        <v>9.1911764705882359E-2</v>
      </c>
      <c r="H36" s="12">
        <f>'Data Sheet'!G64/'Data Sheet'!G$76</f>
        <v>0.1476631748589847</v>
      </c>
      <c r="I36" s="12">
        <f>'Data Sheet'!H64/'Data Sheet'!H$76</f>
        <v>0.15739034279395503</v>
      </c>
      <c r="J36" s="12">
        <f>'Data Sheet'!I64/'Data Sheet'!I$76</f>
        <v>0.14585168222652808</v>
      </c>
      <c r="K36" s="12">
        <f>'Data Sheet'!J64/'Data Sheet'!J$76</f>
        <v>0.16117647058823528</v>
      </c>
      <c r="L36" s="12">
        <f>'Data Sheet'!K64/'Data Sheet'!K$76</f>
        <v>8.1871345029239762E-2</v>
      </c>
    </row>
    <row r="37" spans="2:12">
      <c r="B37" s="68" t="str">
        <f>'Data Sheet'!A65</f>
        <v>Other Assets</v>
      </c>
      <c r="C37" s="12">
        <f>'Data Sheet'!B74/'Data Sheet'!B$76</f>
        <v>0.12355052987252338</v>
      </c>
      <c r="D37" s="12">
        <f>'Data Sheet'!C74/'Data Sheet'!C$76</f>
        <v>6.9236793287139733E-2</v>
      </c>
      <c r="E37" s="12">
        <f>'Data Sheet'!D74/'Data Sheet'!D$76</f>
        <v>5.0438699385351664E-2</v>
      </c>
      <c r="F37" s="12">
        <f>'Data Sheet'!E74/'Data Sheet'!E$76</f>
        <v>8.3497053045186634E-2</v>
      </c>
      <c r="G37" s="12">
        <f>'Data Sheet'!F74/'Data Sheet'!F$76</f>
        <v>0.12683823529411764</v>
      </c>
      <c r="H37" s="12">
        <f>'Data Sheet'!G74/'Data Sheet'!G$76</f>
        <v>0.11663980660757453</v>
      </c>
      <c r="I37" s="12">
        <f>'Data Sheet'!H74/'Data Sheet'!H$76</f>
        <v>8.8094360486546258E-2</v>
      </c>
      <c r="J37" s="12">
        <f>'Data Sheet'!I74/'Data Sheet'!I$76</f>
        <v>7.1692795490576014E-2</v>
      </c>
      <c r="K37" s="12">
        <f>'Data Sheet'!J74/'Data Sheet'!J$76</f>
        <v>5.8088235294117649E-2</v>
      </c>
      <c r="L37" s="12">
        <f>'Data Sheet'!K74/'Data Sheet'!K$76</f>
        <v>8.6359309125527001E-2</v>
      </c>
    </row>
    <row r="38" spans="2:12">
      <c r="B38" s="68" t="str">
        <f>'Data Sheet'!A67</f>
        <v>Receivables</v>
      </c>
      <c r="C38" s="12">
        <f>'Data Sheet'!B67/'Data Sheet'!B$76</f>
        <v>5.6554932678032042E-2</v>
      </c>
      <c r="D38" s="12">
        <f>'Data Sheet'!C67/'Data Sheet'!C$76</f>
        <v>7.5064094356421196E-2</v>
      </c>
      <c r="E38" s="12">
        <f>'Data Sheet'!D67/'Data Sheet'!D$76</f>
        <v>6.816883371375107E-2</v>
      </c>
      <c r="F38" s="12">
        <f>'Data Sheet'!E67/'Data Sheet'!E$76</f>
        <v>8.3497053045186634E-2</v>
      </c>
      <c r="G38" s="12">
        <f>'Data Sheet'!F67/'Data Sheet'!F$76</f>
        <v>0.10559640522875817</v>
      </c>
      <c r="H38" s="12">
        <f>'Data Sheet'!G67/'Data Sheet'!G$76</f>
        <v>0.10858178887993554</v>
      </c>
      <c r="I38" s="12">
        <f>'Data Sheet'!H67/'Data Sheet'!H$76</f>
        <v>7.1507556210836709E-2</v>
      </c>
      <c r="J38" s="12">
        <f>'Data Sheet'!I67/'Data Sheet'!I$76</f>
        <v>0.11484939228465739</v>
      </c>
      <c r="K38" s="12">
        <f>'Data Sheet'!J67/'Data Sheet'!J$76</f>
        <v>0.14926470588235294</v>
      </c>
      <c r="L38" s="12">
        <f>'Data Sheet'!K67/'Data Sheet'!K$76</f>
        <v>0.1453828369373045</v>
      </c>
    </row>
    <row r="39" spans="2:12">
      <c r="B39" s="68" t="str">
        <f>'Data Sheet'!A68</f>
        <v>Inventory</v>
      </c>
      <c r="C39" s="12">
        <f>'Data Sheet'!B68/'Data Sheet'!B$76</f>
        <v>0.31827868223007216</v>
      </c>
      <c r="D39" s="12">
        <f>'Data Sheet'!C68/'Data Sheet'!C$76</f>
        <v>0.27560126610547503</v>
      </c>
      <c r="E39" s="12">
        <f>'Data Sheet'!D68/'Data Sheet'!D$76</f>
        <v>0.34594737815362619</v>
      </c>
      <c r="F39" s="12">
        <f>'Data Sheet'!E68/'Data Sheet'!E$76</f>
        <v>0.37107072691552062</v>
      </c>
      <c r="G39" s="12">
        <f>'Data Sheet'!F68/'Data Sheet'!F$76</f>
        <v>0.28819444444444442</v>
      </c>
      <c r="H39" s="12">
        <f>'Data Sheet'!G68/'Data Sheet'!G$76</f>
        <v>0.27800161160354553</v>
      </c>
      <c r="I39" s="12">
        <f>'Data Sheet'!H68/'Data Sheet'!H$76</f>
        <v>0.20751935127165499</v>
      </c>
      <c r="J39" s="12">
        <f>'Data Sheet'!I68/'Data Sheet'!I$76</f>
        <v>0.24872291703364452</v>
      </c>
      <c r="K39" s="12">
        <f>'Data Sheet'!J68/'Data Sheet'!J$76</f>
        <v>0.18014705882352941</v>
      </c>
      <c r="L39" s="12">
        <f>'Data Sheet'!K68/'Data Sheet'!K$76</f>
        <v>0.18169454644362845</v>
      </c>
    </row>
    <row r="40" spans="2:12">
      <c r="B40" s="68" t="str">
        <f>'Data Sheet'!A69</f>
        <v>Cash &amp; Bank</v>
      </c>
      <c r="C40" s="12">
        <f>'Data Sheet'!B69/'Data Sheet'!B$76</f>
        <v>6.5574924486765981E-2</v>
      </c>
      <c r="D40" s="12">
        <f>'Data Sheet'!C69/'Data Sheet'!C$76</f>
        <v>9.4433840629122204E-2</v>
      </c>
      <c r="E40" s="12">
        <f>'Data Sheet'!D69/'Data Sheet'!D$76</f>
        <v>6.512457185755173E-2</v>
      </c>
      <c r="F40" s="12">
        <f>'Data Sheet'!E69/'Data Sheet'!E$76</f>
        <v>4.9361493123772103E-2</v>
      </c>
      <c r="G40" s="12">
        <f>'Data Sheet'!F69/'Data Sheet'!F$76</f>
        <v>0.11274509803921569</v>
      </c>
      <c r="H40" s="12">
        <f>'Data Sheet'!G69/'Data Sheet'!G$76</f>
        <v>5.6204673650282033E-2</v>
      </c>
      <c r="I40" s="12">
        <f>'Data Sheet'!H69/'Data Sheet'!H$76</f>
        <v>0.17397714706966458</v>
      </c>
      <c r="J40" s="12">
        <f>'Data Sheet'!I69/'Data Sheet'!I$76</f>
        <v>0.10199048793376783</v>
      </c>
      <c r="K40" s="12">
        <f>'Data Sheet'!J69/'Data Sheet'!J$76</f>
        <v>0.11117647058823529</v>
      </c>
      <c r="L40" s="12">
        <f>'Data Sheet'!K69/'Data Sheet'!K$76</f>
        <v>0.12824697402420782</v>
      </c>
    </row>
    <row r="41" spans="2:12">
      <c r="B41" s="68"/>
    </row>
    <row r="42" spans="2:12">
      <c r="B42" s="68"/>
    </row>
    <row r="43" spans="2:12">
      <c r="B43" s="68"/>
    </row>
    <row r="44" spans="2:12">
      <c r="B44" s="68"/>
    </row>
  </sheetData>
  <mergeCells count="2">
    <mergeCell ref="B2:L2"/>
    <mergeCell ref="B23:L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C620-8127-43C7-BB2F-504FA2C0E94F}">
  <sheetPr>
    <tabColor rgb="FF002060"/>
  </sheetPr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BC6A-725B-445E-9A89-725E45BC2765}">
  <dimension ref="A2:M108"/>
  <sheetViews>
    <sheetView showGridLines="0" topLeftCell="A8" workbookViewId="0">
      <selection activeCell="C27" sqref="C27"/>
    </sheetView>
  </sheetViews>
  <sheetFormatPr defaultRowHeight="14.5"/>
  <cols>
    <col min="1" max="1" width="1.81640625" customWidth="1"/>
    <col min="2" max="2" width="29.6328125" customWidth="1"/>
    <col min="3" max="3" width="10.453125" customWidth="1"/>
    <col min="4" max="4" width="12.1796875" customWidth="1"/>
    <col min="5" max="5" width="11.08984375" customWidth="1"/>
    <col min="6" max="6" width="11.7265625" customWidth="1"/>
    <col min="7" max="7" width="10.7265625" customWidth="1"/>
    <col min="8" max="8" width="11" customWidth="1"/>
    <col min="9" max="9" width="12.453125" customWidth="1"/>
    <col min="10" max="10" width="11.7265625" customWidth="1"/>
    <col min="11" max="11" width="10.08984375" customWidth="1"/>
    <col min="12" max="12" width="12.36328125" customWidth="1"/>
    <col min="13" max="13" width="13.26953125" customWidth="1"/>
  </cols>
  <sheetData>
    <row r="2" spans="1:13">
      <c r="B2" s="151" t="str">
        <f>"Historical Financial Staemtent - "&amp;'Data Sheet'!B1</f>
        <v>Historical Financial Staemtent - MARICO LTD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</row>
    <row r="3" spans="1:13">
      <c r="B3" s="14" t="s">
        <v>56</v>
      </c>
      <c r="C3" s="15">
        <f>'Data Sheet'!B16</f>
        <v>42094</v>
      </c>
      <c r="D3" s="15">
        <f>'Data Sheet'!C16</f>
        <v>42460</v>
      </c>
      <c r="E3" s="15">
        <f>'Data Sheet'!D16</f>
        <v>42825</v>
      </c>
      <c r="F3" s="15">
        <f>'Data Sheet'!E16</f>
        <v>43190</v>
      </c>
      <c r="G3" s="15">
        <f>'Data Sheet'!F16</f>
        <v>43555</v>
      </c>
      <c r="H3" s="15">
        <f>'Data Sheet'!G16</f>
        <v>43921</v>
      </c>
      <c r="I3" s="15">
        <f>'Data Sheet'!H16</f>
        <v>44286</v>
      </c>
      <c r="J3" s="15">
        <f>'Data Sheet'!I16</f>
        <v>44651</v>
      </c>
      <c r="K3" s="15">
        <f>'Data Sheet'!J16</f>
        <v>45016</v>
      </c>
      <c r="L3" s="15">
        <f>'Data Sheet'!K16</f>
        <v>45382</v>
      </c>
      <c r="M3" s="15" t="s">
        <v>57</v>
      </c>
    </row>
    <row r="4" spans="1:13" s="21" customFormat="1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>
      <c r="A5" s="11" t="s">
        <v>58</v>
      </c>
      <c r="B5" s="24" t="s">
        <v>84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>
      <c r="B6" t="s">
        <v>12</v>
      </c>
      <c r="C6" s="20">
        <f>IFERROR('Data Sheet'!B17,0)</f>
        <v>5732.98</v>
      </c>
      <c r="D6" s="20">
        <f>IFERROR('Data Sheet'!C17,0)</f>
        <v>6017.32</v>
      </c>
      <c r="E6" s="20">
        <f>IFERROR('Data Sheet'!D17,0)</f>
        <v>5917.79</v>
      </c>
      <c r="F6" s="20">
        <f>IFERROR('Data Sheet'!E17,0)</f>
        <v>6322</v>
      </c>
      <c r="G6" s="20">
        <f>IFERROR('Data Sheet'!F17,0)</f>
        <v>7334</v>
      </c>
      <c r="H6" s="20">
        <f>IFERROR('Data Sheet'!G17,0)</f>
        <v>7315</v>
      </c>
      <c r="I6" s="20">
        <f>IFERROR('Data Sheet'!H17,0)</f>
        <v>8048</v>
      </c>
      <c r="J6" s="20">
        <f>IFERROR('Data Sheet'!I17,0)</f>
        <v>9512</v>
      </c>
      <c r="K6" s="20">
        <f>IFERROR('Data Sheet'!J17,0)</f>
        <v>9764</v>
      </c>
      <c r="L6" s="20">
        <f>IFERROR('Data Sheet'!K17,0)</f>
        <v>9653</v>
      </c>
      <c r="M6" s="20">
        <f>IFERROR(SUM('Data Sheet'!H42:K42),0)</f>
        <v>10379</v>
      </c>
    </row>
    <row r="7" spans="1:13">
      <c r="B7" s="17" t="s">
        <v>59</v>
      </c>
      <c r="C7" s="18" t="s">
        <v>60</v>
      </c>
      <c r="D7" s="19">
        <f>D6/C6-1</f>
        <v>4.9597242620766258E-2</v>
      </c>
      <c r="E7" s="19">
        <f t="shared" ref="E7:M7" si="0">E6/D6-1</f>
        <v>-1.6540586174575989E-2</v>
      </c>
      <c r="F7" s="19">
        <f t="shared" si="0"/>
        <v>6.8304214918069039E-2</v>
      </c>
      <c r="G7" s="19">
        <f t="shared" si="0"/>
        <v>0.1600759253400823</v>
      </c>
      <c r="H7" s="19">
        <f t="shared" si="0"/>
        <v>-2.5906735751295429E-3</v>
      </c>
      <c r="I7" s="19">
        <f t="shared" si="0"/>
        <v>0.10020505809979485</v>
      </c>
      <c r="J7" s="19">
        <f t="shared" si="0"/>
        <v>0.18190854870775341</v>
      </c>
      <c r="K7" s="19">
        <f t="shared" si="0"/>
        <v>2.6492851135407891E-2</v>
      </c>
      <c r="L7" s="19">
        <f t="shared" si="0"/>
        <v>-1.1368291683736209E-2</v>
      </c>
      <c r="M7" s="19">
        <f t="shared" si="0"/>
        <v>7.5209779343209382E-2</v>
      </c>
    </row>
    <row r="9" spans="1:13">
      <c r="B9" t="s">
        <v>61</v>
      </c>
      <c r="C9" s="20">
        <f>IFERROR(SUM('Data Sheet'!B20:B22)-1*'Data Sheet'!B19,0)</f>
        <v>1014</v>
      </c>
      <c r="D9" s="20">
        <f>IFERROR(SUM('Data Sheet'!C20:C22)-1*'Data Sheet'!C19,0)</f>
        <v>728.01</v>
      </c>
      <c r="E9" s="20">
        <f>IFERROR(SUM('Data Sheet'!D20:D22)-1*'Data Sheet'!D19,0)</f>
        <v>1103.8899999999999</v>
      </c>
      <c r="F9" s="20">
        <f>IFERROR(SUM('Data Sheet'!E20:E22)-1*'Data Sheet'!E19,0)</f>
        <v>965</v>
      </c>
      <c r="G9" s="20">
        <f>IFERROR(SUM('Data Sheet'!F20:F22)-1*'Data Sheet'!F19,0)</f>
        <v>1205</v>
      </c>
      <c r="H9" s="20">
        <f>IFERROR(SUM('Data Sheet'!G20:G22)-1*'Data Sheet'!G19,0)</f>
        <v>1504</v>
      </c>
      <c r="I9" s="20">
        <f>IFERROR(SUM('Data Sheet'!H20:H22)-1*'Data Sheet'!H19,0)</f>
        <v>1416</v>
      </c>
      <c r="J9" s="20">
        <f>IFERROR(SUM('Data Sheet'!I20:I22)-1*'Data Sheet'!I19,0)</f>
        <v>1382</v>
      </c>
      <c r="K9" s="20">
        <f>IFERROR(SUM('Data Sheet'!J20:J22)-1*'Data Sheet'!J19,0)</f>
        <v>1777</v>
      </c>
      <c r="L9" s="20">
        <f>IFERROR(SUM('Data Sheet'!K20:K22)-1*'Data Sheet'!K19,0)</f>
        <v>1722</v>
      </c>
      <c r="M9" s="20">
        <f>IFERROR(SUM('Data Sheet'!H43:K43),0)</f>
        <v>8256</v>
      </c>
    </row>
    <row r="10" spans="1:13">
      <c r="B10" s="17" t="s">
        <v>62</v>
      </c>
      <c r="C10" s="19">
        <f>C9/C6</f>
        <v>0.17687136532832839</v>
      </c>
      <c r="D10" s="19">
        <f t="shared" ref="D10:M10" si="1">D9/D6</f>
        <v>0.12098575445547187</v>
      </c>
      <c r="E10" s="19">
        <f t="shared" si="1"/>
        <v>0.18653754188641367</v>
      </c>
      <c r="F10" s="19">
        <f t="shared" si="1"/>
        <v>0.15264156912369503</v>
      </c>
      <c r="G10" s="19">
        <f t="shared" si="1"/>
        <v>0.16430324515953096</v>
      </c>
      <c r="H10" s="19">
        <f t="shared" si="1"/>
        <v>0.20560492139439507</v>
      </c>
      <c r="I10" s="19">
        <f t="shared" si="1"/>
        <v>0.17594433399602386</v>
      </c>
      <c r="J10" s="19">
        <f t="shared" si="1"/>
        <v>0.14529015979814972</v>
      </c>
      <c r="K10" s="19">
        <f t="shared" si="1"/>
        <v>0.18199508398197459</v>
      </c>
      <c r="L10" s="19">
        <f t="shared" si="1"/>
        <v>0.17839013778100071</v>
      </c>
      <c r="M10" s="19">
        <f t="shared" si="1"/>
        <v>0.79545235571827733</v>
      </c>
    </row>
    <row r="12" spans="1:13">
      <c r="B12" t="s">
        <v>63</v>
      </c>
      <c r="C12" s="13">
        <f>C6-C9</f>
        <v>4718.9799999999996</v>
      </c>
      <c r="D12" s="13">
        <f t="shared" ref="D12:M12" si="2">D6-D9</f>
        <v>5289.3099999999995</v>
      </c>
      <c r="E12" s="13">
        <f t="shared" si="2"/>
        <v>4813.8999999999996</v>
      </c>
      <c r="F12" s="13">
        <f t="shared" si="2"/>
        <v>5357</v>
      </c>
      <c r="G12" s="13">
        <f t="shared" si="2"/>
        <v>6129</v>
      </c>
      <c r="H12" s="13">
        <f t="shared" si="2"/>
        <v>5811</v>
      </c>
      <c r="I12" s="13">
        <f t="shared" si="2"/>
        <v>6632</v>
      </c>
      <c r="J12" s="13">
        <f t="shared" si="2"/>
        <v>8130</v>
      </c>
      <c r="K12" s="13">
        <f t="shared" si="2"/>
        <v>7987</v>
      </c>
      <c r="L12" s="13">
        <f t="shared" si="2"/>
        <v>7931</v>
      </c>
      <c r="M12" s="13">
        <f t="shared" si="2"/>
        <v>2123</v>
      </c>
    </row>
    <row r="13" spans="1:13">
      <c r="B13" s="17" t="s">
        <v>68</v>
      </c>
      <c r="C13" s="19">
        <f>C12/C6</f>
        <v>0.82312863467167163</v>
      </c>
      <c r="D13" s="19">
        <f t="shared" ref="D13:M13" si="3">D12/D6</f>
        <v>0.87901424554452812</v>
      </c>
      <c r="E13" s="19">
        <f t="shared" si="3"/>
        <v>0.81346245811358631</v>
      </c>
      <c r="F13" s="19">
        <f t="shared" si="3"/>
        <v>0.84735843087630491</v>
      </c>
      <c r="G13" s="19">
        <f t="shared" si="3"/>
        <v>0.83569675484046901</v>
      </c>
      <c r="H13" s="19">
        <f t="shared" si="3"/>
        <v>0.79439507860560488</v>
      </c>
      <c r="I13" s="19">
        <f t="shared" si="3"/>
        <v>0.82405566600397617</v>
      </c>
      <c r="J13" s="19">
        <f t="shared" si="3"/>
        <v>0.85470984020185026</v>
      </c>
      <c r="K13" s="19">
        <f t="shared" si="3"/>
        <v>0.81800491601802539</v>
      </c>
      <c r="L13" s="19">
        <f t="shared" si="3"/>
        <v>0.82160986221899923</v>
      </c>
      <c r="M13" s="19">
        <f t="shared" si="3"/>
        <v>0.2045476442817227</v>
      </c>
    </row>
    <row r="15" spans="1:13">
      <c r="B15" t="s">
        <v>64</v>
      </c>
      <c r="C15" s="20">
        <f>IFERROR(SUM('Data Sheet'!B23:B24),0)</f>
        <v>1127.1000000000001</v>
      </c>
      <c r="D15" s="20">
        <f>IFERROR(SUM('Data Sheet'!C23:C24),0)</f>
        <v>1227.48</v>
      </c>
      <c r="E15" s="20">
        <f>IFERROR(SUM('Data Sheet'!D23:D24),0)</f>
        <v>1224.52</v>
      </c>
      <c r="F15" s="20">
        <f>IFERROR(SUM('Data Sheet'!E23:E24),0)</f>
        <v>1091</v>
      </c>
      <c r="G15" s="20">
        <f>IFERROR(SUM('Data Sheet'!F23:F24),0)</f>
        <v>1177</v>
      </c>
      <c r="H15" s="20">
        <f>IFERROR(SUM('Data Sheet'!G23:G24),0)</f>
        <v>1270</v>
      </c>
      <c r="I15" s="20">
        <f>IFERROR(SUM('Data Sheet'!H23:H24),0)</f>
        <v>1287</v>
      </c>
      <c r="J15" s="20">
        <f>IFERROR(SUM('Data Sheet'!I23:I24),0)</f>
        <v>1457</v>
      </c>
      <c r="K15" s="20">
        <f>IFERROR(SUM('Data Sheet'!J23:J24),0)</f>
        <v>1598</v>
      </c>
      <c r="L15" s="20">
        <f>IFERROR(SUM('Data Sheet'!K23:K24),0)</f>
        <v>1756</v>
      </c>
      <c r="M15" s="20"/>
    </row>
    <row r="16" spans="1:13">
      <c r="B16" s="17" t="s">
        <v>65</v>
      </c>
      <c r="C16" s="19">
        <f>C15/C6</f>
        <v>0.19659932530725735</v>
      </c>
      <c r="D16" s="19">
        <f t="shared" ref="D16:M16" si="4">D15/D6</f>
        <v>0.20399114555981734</v>
      </c>
      <c r="E16" s="19">
        <f t="shared" si="4"/>
        <v>0.20692184075474121</v>
      </c>
      <c r="F16" s="19">
        <f t="shared" si="4"/>
        <v>0.17257197089528631</v>
      </c>
      <c r="G16" s="19">
        <f t="shared" si="4"/>
        <v>0.1604854104172348</v>
      </c>
      <c r="H16" s="19">
        <f t="shared" si="4"/>
        <v>0.17361585782638414</v>
      </c>
      <c r="I16" s="19">
        <f t="shared" si="4"/>
        <v>0.15991550695825049</v>
      </c>
      <c r="J16" s="19">
        <f t="shared" si="4"/>
        <v>0.15317493692178302</v>
      </c>
      <c r="K16" s="19">
        <f t="shared" si="4"/>
        <v>0.16366243342892256</v>
      </c>
      <c r="L16" s="19">
        <f t="shared" si="4"/>
        <v>0.1819123588521703</v>
      </c>
      <c r="M16" s="19">
        <f t="shared" si="4"/>
        <v>0</v>
      </c>
    </row>
    <row r="18" spans="2:13">
      <c r="B18" s="32" t="s">
        <v>28</v>
      </c>
      <c r="C18" s="33">
        <f t="shared" ref="C18:L18" si="5">C12-C15</f>
        <v>3591.8799999999992</v>
      </c>
      <c r="D18" s="33">
        <f t="shared" si="5"/>
        <v>4061.8299999999995</v>
      </c>
      <c r="E18" s="33">
        <f t="shared" si="5"/>
        <v>3589.3799999999997</v>
      </c>
      <c r="F18" s="33">
        <f t="shared" si="5"/>
        <v>4266</v>
      </c>
      <c r="G18" s="33">
        <f t="shared" si="5"/>
        <v>4952</v>
      </c>
      <c r="H18" s="33">
        <f t="shared" si="5"/>
        <v>4541</v>
      </c>
      <c r="I18" s="33">
        <f t="shared" si="5"/>
        <v>5345</v>
      </c>
      <c r="J18" s="33">
        <f t="shared" si="5"/>
        <v>6673</v>
      </c>
      <c r="K18" s="33">
        <f t="shared" si="5"/>
        <v>6389</v>
      </c>
      <c r="L18" s="33">
        <f t="shared" si="5"/>
        <v>6175</v>
      </c>
      <c r="M18" s="33">
        <f>IFERROR(SUM('Data Sheet'!H51:K51),0)</f>
        <v>2270</v>
      </c>
    </row>
    <row r="19" spans="2:13">
      <c r="B19" s="17" t="s">
        <v>66</v>
      </c>
      <c r="C19" s="19">
        <f>C18/C6</f>
        <v>0.6265293093644142</v>
      </c>
      <c r="D19" s="19">
        <f t="shared" ref="D19:M19" si="6">D18/D6</f>
        <v>0.67502309998471077</v>
      </c>
      <c r="E19" s="19">
        <f t="shared" si="6"/>
        <v>0.60654061735884501</v>
      </c>
      <c r="F19" s="19">
        <f t="shared" si="6"/>
        <v>0.67478645998101872</v>
      </c>
      <c r="G19" s="19">
        <f t="shared" si="6"/>
        <v>0.67521134442323427</v>
      </c>
      <c r="H19" s="19">
        <f t="shared" si="6"/>
        <v>0.62077922077922076</v>
      </c>
      <c r="I19" s="19">
        <f t="shared" si="6"/>
        <v>0.66414015904572565</v>
      </c>
      <c r="J19" s="19">
        <f t="shared" si="6"/>
        <v>0.70153490328006729</v>
      </c>
      <c r="K19" s="19">
        <f t="shared" si="6"/>
        <v>0.65434248258910288</v>
      </c>
      <c r="L19" s="19">
        <f t="shared" si="6"/>
        <v>0.63969750336682896</v>
      </c>
      <c r="M19" s="19">
        <f t="shared" si="6"/>
        <v>0.21871085846420657</v>
      </c>
    </row>
    <row r="21" spans="2:13">
      <c r="B21" t="s">
        <v>22</v>
      </c>
      <c r="C21" s="13">
        <f>IFERROR('Data Sheet'!B27,0)</f>
        <v>22.95</v>
      </c>
      <c r="D21" s="13">
        <f>IFERROR('Data Sheet'!C27,0)</f>
        <v>20.62</v>
      </c>
      <c r="E21" s="13">
        <f>IFERROR('Data Sheet'!D27,0)</f>
        <v>16.579999999999998</v>
      </c>
      <c r="F21" s="13">
        <f>IFERROR('Data Sheet'!E27,0)</f>
        <v>16</v>
      </c>
      <c r="G21" s="13">
        <f>IFERROR('Data Sheet'!F27,0)</f>
        <v>40</v>
      </c>
      <c r="H21" s="13">
        <f>IFERROR('Data Sheet'!G27,0)</f>
        <v>50</v>
      </c>
      <c r="I21" s="13">
        <f>IFERROR('Data Sheet'!H27,0)</f>
        <v>34</v>
      </c>
      <c r="J21" s="13">
        <f>IFERROR('Data Sheet'!I27,0)</f>
        <v>39</v>
      </c>
      <c r="K21" s="13">
        <f>IFERROR('Data Sheet'!J27,0)</f>
        <v>56</v>
      </c>
      <c r="L21" s="13">
        <f>IFERROR('Data Sheet'!K27,0)</f>
        <v>73</v>
      </c>
      <c r="M21" s="13">
        <f>IFERROR(SUM('Data Sheet'!H46:K46),0)</f>
        <v>58</v>
      </c>
    </row>
    <row r="22" spans="2:13">
      <c r="B22" s="17" t="s">
        <v>67</v>
      </c>
      <c r="C22" s="19">
        <f>C21/C6</f>
        <v>4.0031536827269589E-3</v>
      </c>
      <c r="D22" s="19">
        <f t="shared" ref="D22:M22" si="7">D21/D6</f>
        <v>3.4267747103361632E-3</v>
      </c>
      <c r="E22" s="19">
        <f t="shared" si="7"/>
        <v>2.8017215886335942E-3</v>
      </c>
      <c r="F22" s="19">
        <f t="shared" si="7"/>
        <v>2.530844669408415E-3</v>
      </c>
      <c r="G22" s="19">
        <f t="shared" si="7"/>
        <v>5.4540496318516499E-3</v>
      </c>
      <c r="H22" s="19">
        <f t="shared" si="7"/>
        <v>6.8352699931647299E-3</v>
      </c>
      <c r="I22" s="19">
        <f t="shared" si="7"/>
        <v>4.2246520874751493E-3</v>
      </c>
      <c r="J22" s="19">
        <f t="shared" si="7"/>
        <v>4.1000841042893189E-3</v>
      </c>
      <c r="K22" s="19">
        <f t="shared" si="7"/>
        <v>5.7353543629659973E-3</v>
      </c>
      <c r="L22" s="19">
        <f t="shared" si="7"/>
        <v>7.5624158292758731E-3</v>
      </c>
      <c r="M22" s="19">
        <f t="shared" si="7"/>
        <v>5.5882069563541765E-3</v>
      </c>
    </row>
    <row r="24" spans="2:13">
      <c r="B24" t="s">
        <v>21</v>
      </c>
      <c r="C24" s="13">
        <f>IFERROR('Data Sheet'!B26,0)</f>
        <v>84.34</v>
      </c>
      <c r="D24" s="13">
        <f>IFERROR('Data Sheet'!C26,0)</f>
        <v>94.86</v>
      </c>
      <c r="E24" s="13">
        <f>IFERROR('Data Sheet'!D26,0)</f>
        <v>90.3</v>
      </c>
      <c r="F24" s="13">
        <f>IFERROR('Data Sheet'!E26,0)</f>
        <v>89</v>
      </c>
      <c r="G24" s="13">
        <f>IFERROR('Data Sheet'!F26,0)</f>
        <v>131</v>
      </c>
      <c r="H24" s="13">
        <f>IFERROR('Data Sheet'!G26,0)</f>
        <v>140</v>
      </c>
      <c r="I24" s="13">
        <f>IFERROR('Data Sheet'!H26,0)</f>
        <v>139</v>
      </c>
      <c r="J24" s="13">
        <f>IFERROR('Data Sheet'!I26,0)</f>
        <v>139</v>
      </c>
      <c r="K24" s="13">
        <f>IFERROR('Data Sheet'!J26,0)</f>
        <v>155</v>
      </c>
      <c r="L24" s="13">
        <f>IFERROR('Data Sheet'!K26,0)</f>
        <v>158</v>
      </c>
      <c r="M24" s="13">
        <f>IFERROR(SUM('Data Sheet'!H45:K45),0)</f>
        <v>167</v>
      </c>
    </row>
    <row r="25" spans="2:13">
      <c r="B25" s="17" t="s">
        <v>85</v>
      </c>
      <c r="C25" s="19">
        <f>C24/C6</f>
        <v>1.4711371747328617E-2</v>
      </c>
      <c r="D25" s="19">
        <f t="shared" ref="D25:M25" si="8">D24/D6</f>
        <v>1.5764493163069274E-2</v>
      </c>
      <c r="E25" s="19">
        <f t="shared" si="8"/>
        <v>1.5259074755947743E-2</v>
      </c>
      <c r="F25" s="19">
        <f t="shared" si="8"/>
        <v>1.4077823473584309E-2</v>
      </c>
      <c r="G25" s="19">
        <f t="shared" si="8"/>
        <v>1.7862012544314153E-2</v>
      </c>
      <c r="H25" s="19">
        <f t="shared" si="8"/>
        <v>1.9138755980861243E-2</v>
      </c>
      <c r="I25" s="19">
        <f t="shared" si="8"/>
        <v>1.7271371769383696E-2</v>
      </c>
      <c r="J25" s="19">
        <f t="shared" si="8"/>
        <v>1.4613120269133726E-2</v>
      </c>
      <c r="K25" s="19">
        <f t="shared" si="8"/>
        <v>1.5874641540352313E-2</v>
      </c>
      <c r="L25" s="19">
        <f t="shared" si="8"/>
        <v>1.6367968507199834E-2</v>
      </c>
      <c r="M25" s="19">
        <f t="shared" si="8"/>
        <v>1.6090182098468062E-2</v>
      </c>
    </row>
    <row r="26" spans="2:13">
      <c r="B26" s="1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2:13">
      <c r="B27" s="32" t="s">
        <v>150</v>
      </c>
      <c r="C27" s="33">
        <f>IFERROR(C18-C24,0)</f>
        <v>3507.5399999999991</v>
      </c>
      <c r="D27" s="33">
        <f t="shared" ref="D27:M27" si="9">IFERROR(D18-D24,0)</f>
        <v>3966.9699999999993</v>
      </c>
      <c r="E27" s="33">
        <f t="shared" si="9"/>
        <v>3499.0799999999995</v>
      </c>
      <c r="F27" s="33">
        <f t="shared" si="9"/>
        <v>4177</v>
      </c>
      <c r="G27" s="33">
        <f t="shared" si="9"/>
        <v>4821</v>
      </c>
      <c r="H27" s="33">
        <f t="shared" si="9"/>
        <v>4401</v>
      </c>
      <c r="I27" s="33">
        <f t="shared" si="9"/>
        <v>5206</v>
      </c>
      <c r="J27" s="33">
        <f t="shared" si="9"/>
        <v>6534</v>
      </c>
      <c r="K27" s="33">
        <f t="shared" si="9"/>
        <v>6234</v>
      </c>
      <c r="L27" s="33">
        <f t="shared" si="9"/>
        <v>6017</v>
      </c>
      <c r="M27" s="33">
        <f t="shared" si="9"/>
        <v>2103</v>
      </c>
    </row>
    <row r="29" spans="2:13">
      <c r="B29" s="32" t="s">
        <v>69</v>
      </c>
      <c r="C29" s="33">
        <f t="shared" ref="C29:M29" si="10">IFERROR(C18-SUM(C24,C21),0)</f>
        <v>3484.5899999999992</v>
      </c>
      <c r="D29" s="33">
        <f t="shared" si="10"/>
        <v>3946.3499999999995</v>
      </c>
      <c r="E29" s="33">
        <f t="shared" si="10"/>
        <v>3482.4999999999995</v>
      </c>
      <c r="F29" s="33">
        <f t="shared" si="10"/>
        <v>4161</v>
      </c>
      <c r="G29" s="33">
        <f t="shared" si="10"/>
        <v>4781</v>
      </c>
      <c r="H29" s="33">
        <f t="shared" si="10"/>
        <v>4351</v>
      </c>
      <c r="I29" s="33">
        <f t="shared" si="10"/>
        <v>5172</v>
      </c>
      <c r="J29" s="33">
        <f t="shared" si="10"/>
        <v>6495</v>
      </c>
      <c r="K29" s="33">
        <f t="shared" si="10"/>
        <v>6178</v>
      </c>
      <c r="L29" s="33">
        <f t="shared" si="10"/>
        <v>5944</v>
      </c>
      <c r="M29" s="33">
        <f t="shared" si="10"/>
        <v>2045</v>
      </c>
    </row>
    <row r="30" spans="2:13">
      <c r="B30" s="17" t="s">
        <v>70</v>
      </c>
      <c r="C30" s="19">
        <f t="shared" ref="C30:M30" si="11">C29/C6</f>
        <v>0.60781478393435862</v>
      </c>
      <c r="D30" s="19">
        <f t="shared" si="11"/>
        <v>0.65583183211130536</v>
      </c>
      <c r="E30" s="19">
        <f t="shared" si="11"/>
        <v>0.58847982101426366</v>
      </c>
      <c r="F30" s="19">
        <f t="shared" si="11"/>
        <v>0.65817779183802594</v>
      </c>
      <c r="G30" s="19">
        <f t="shared" si="11"/>
        <v>0.6518952822470685</v>
      </c>
      <c r="H30" s="19">
        <f t="shared" si="11"/>
        <v>0.59480519480519478</v>
      </c>
      <c r="I30" s="19">
        <f t="shared" si="11"/>
        <v>0.64264413518886676</v>
      </c>
      <c r="J30" s="19">
        <f t="shared" si="11"/>
        <v>0.68282169890664424</v>
      </c>
      <c r="K30" s="19">
        <f t="shared" si="11"/>
        <v>0.63273248668578452</v>
      </c>
      <c r="L30" s="19">
        <f t="shared" si="11"/>
        <v>0.6157671190303533</v>
      </c>
      <c r="M30" s="19">
        <f t="shared" si="11"/>
        <v>0.19703246940938435</v>
      </c>
    </row>
    <row r="32" spans="2:13">
      <c r="B32" t="s">
        <v>24</v>
      </c>
      <c r="C32" s="13">
        <f>IFERROR('Data Sheet'!B29,0)</f>
        <v>236.77</v>
      </c>
      <c r="D32" s="13">
        <f>IFERROR('Data Sheet'!C29,0)</f>
        <v>305.37</v>
      </c>
      <c r="E32" s="13">
        <f>IFERROR('Data Sheet'!D29,0)</f>
        <v>337.73</v>
      </c>
      <c r="F32" s="13">
        <f>IFERROR('Data Sheet'!E29,0)</f>
        <v>290</v>
      </c>
      <c r="G32" s="13">
        <f>IFERROR('Data Sheet'!F29,0)</f>
        <v>126</v>
      </c>
      <c r="H32" s="13">
        <f>IFERROR('Data Sheet'!G29,0)</f>
        <v>331</v>
      </c>
      <c r="I32" s="13">
        <f>IFERROR('Data Sheet'!H29,0)</f>
        <v>324</v>
      </c>
      <c r="J32" s="13">
        <f>IFERROR('Data Sheet'!I29,0)</f>
        <v>346</v>
      </c>
      <c r="K32" s="13">
        <f>IFERROR('Data Sheet'!J29,0)</f>
        <v>421</v>
      </c>
      <c r="L32" s="13">
        <f>IFERROR('Data Sheet'!K29,0)</f>
        <v>435</v>
      </c>
      <c r="M32" s="13">
        <f>IFERROR(SUM('Data Sheet'!H48:K48),0)</f>
        <v>441</v>
      </c>
    </row>
    <row r="33" spans="1:13">
      <c r="B33" s="17" t="s">
        <v>27</v>
      </c>
      <c r="C33" s="19">
        <f>C32/C29</f>
        <v>6.7947735601605941E-2</v>
      </c>
      <c r="D33" s="19">
        <f t="shared" ref="D33:M33" si="12">D32/D29</f>
        <v>7.7380364133946569E-2</v>
      </c>
      <c r="E33" s="19">
        <f t="shared" si="12"/>
        <v>9.6979181622397714E-2</v>
      </c>
      <c r="F33" s="19">
        <f t="shared" si="12"/>
        <v>6.9694784907474161E-2</v>
      </c>
      <c r="G33" s="19">
        <f t="shared" si="12"/>
        <v>2.6354319180087848E-2</v>
      </c>
      <c r="H33" s="19">
        <f t="shared" si="12"/>
        <v>7.6074465640082745E-2</v>
      </c>
      <c r="I33" s="19">
        <f t="shared" si="12"/>
        <v>6.2645011600928072E-2</v>
      </c>
      <c r="J33" s="19">
        <f t="shared" si="12"/>
        <v>5.3271747498075443E-2</v>
      </c>
      <c r="K33" s="19">
        <f t="shared" si="12"/>
        <v>6.8145030754289418E-2</v>
      </c>
      <c r="L33" s="19">
        <f t="shared" si="12"/>
        <v>7.3183041722745631E-2</v>
      </c>
      <c r="M33" s="19">
        <f t="shared" si="12"/>
        <v>0.21564792176039119</v>
      </c>
    </row>
    <row r="35" spans="1:13">
      <c r="A35" s="11"/>
      <c r="B35" s="32" t="s">
        <v>71</v>
      </c>
      <c r="C35" s="33">
        <f>IFERROR(C29-C32,0)</f>
        <v>3247.8199999999993</v>
      </c>
      <c r="D35" s="33">
        <f t="shared" ref="D35:M35" si="13">IFERROR(D29-D32,0)</f>
        <v>3640.9799999999996</v>
      </c>
      <c r="E35" s="33">
        <f t="shared" si="13"/>
        <v>3144.7699999999995</v>
      </c>
      <c r="F35" s="33">
        <f t="shared" si="13"/>
        <v>3871</v>
      </c>
      <c r="G35" s="33">
        <f t="shared" si="13"/>
        <v>4655</v>
      </c>
      <c r="H35" s="33">
        <f t="shared" si="13"/>
        <v>4020</v>
      </c>
      <c r="I35" s="33">
        <f t="shared" si="13"/>
        <v>4848</v>
      </c>
      <c r="J35" s="33">
        <f t="shared" si="13"/>
        <v>6149</v>
      </c>
      <c r="K35" s="33">
        <f t="shared" si="13"/>
        <v>5757</v>
      </c>
      <c r="L35" s="33">
        <f t="shared" si="13"/>
        <v>5509</v>
      </c>
      <c r="M35" s="33">
        <f t="shared" si="13"/>
        <v>1604</v>
      </c>
    </row>
    <row r="36" spans="1:13">
      <c r="B36" s="17" t="s">
        <v>72</v>
      </c>
      <c r="C36" s="19">
        <f t="shared" ref="C36:M36" si="14">C35/C6</f>
        <v>0.56651514570083961</v>
      </c>
      <c r="D36" s="19">
        <f t="shared" si="14"/>
        <v>0.60508332613189919</v>
      </c>
      <c r="E36" s="19">
        <f t="shared" si="14"/>
        <v>0.53140952957100529</v>
      </c>
      <c r="F36" s="19">
        <f t="shared" si="14"/>
        <v>0.61230623220499847</v>
      </c>
      <c r="G36" s="19">
        <f t="shared" si="14"/>
        <v>0.63471502590673579</v>
      </c>
      <c r="H36" s="19">
        <f t="shared" si="14"/>
        <v>0.54955570745044424</v>
      </c>
      <c r="I36" s="19">
        <f t="shared" si="14"/>
        <v>0.60238568588469188</v>
      </c>
      <c r="J36" s="19">
        <f t="shared" si="14"/>
        <v>0.64644659377628255</v>
      </c>
      <c r="K36" s="19">
        <f t="shared" si="14"/>
        <v>0.58961491192134374</v>
      </c>
      <c r="L36" s="19">
        <f t="shared" si="14"/>
        <v>0.57070340826686006</v>
      </c>
      <c r="M36" s="19">
        <f t="shared" si="14"/>
        <v>0.15454282686193274</v>
      </c>
    </row>
    <row r="38" spans="1:13">
      <c r="B38" t="s">
        <v>86</v>
      </c>
      <c r="C38" s="20">
        <f>IFERROR('Data Sheet'!B93,0)</f>
        <v>129</v>
      </c>
      <c r="D38" s="20">
        <f>IFERROR('Data Sheet'!C93,0)</f>
        <v>129.02000000000001</v>
      </c>
      <c r="E38" s="20">
        <f>IFERROR('Data Sheet'!D93,0)</f>
        <v>129.05000000000001</v>
      </c>
      <c r="F38" s="20">
        <f>IFERROR('Data Sheet'!E93,0)</f>
        <v>129.09</v>
      </c>
      <c r="G38" s="20">
        <f>IFERROR('Data Sheet'!F93,0)</f>
        <v>129.09</v>
      </c>
      <c r="H38" s="20">
        <f>IFERROR('Data Sheet'!G93,0)</f>
        <v>129.1</v>
      </c>
      <c r="I38" s="20">
        <f>IFERROR('Data Sheet'!H93,0)</f>
        <v>129.13999999999999</v>
      </c>
      <c r="J38" s="20">
        <f>IFERROR('Data Sheet'!I93,0)</f>
        <v>129.28</v>
      </c>
      <c r="K38" s="20">
        <f>IFERROR('Data Sheet'!J93,0)</f>
        <v>129.31</v>
      </c>
      <c r="L38" s="20">
        <f>IFERROR('Data Sheet'!K93,0)</f>
        <v>129.41</v>
      </c>
      <c r="M38" s="20">
        <f>IFERROR('Data Sheet'!L93,0)</f>
        <v>0</v>
      </c>
    </row>
    <row r="40" spans="1:13">
      <c r="B40" t="s">
        <v>87</v>
      </c>
      <c r="C40" s="20">
        <f>IFERROR(C35/C38,0)</f>
        <v>25.176899224806196</v>
      </c>
      <c r="D40" s="20">
        <f t="shared" ref="D40:M40" si="15">IFERROR(D35/D38,0)</f>
        <v>28.220275926212985</v>
      </c>
      <c r="E40" s="20">
        <f t="shared" si="15"/>
        <v>24.368616815187906</v>
      </c>
      <c r="F40" s="20">
        <f t="shared" si="15"/>
        <v>29.986830893175302</v>
      </c>
      <c r="G40" s="20">
        <f t="shared" si="15"/>
        <v>36.060113099388026</v>
      </c>
      <c r="H40" s="20">
        <f t="shared" si="15"/>
        <v>31.138652207591015</v>
      </c>
      <c r="I40" s="20">
        <f t="shared" si="15"/>
        <v>37.54065355428218</v>
      </c>
      <c r="J40" s="20">
        <f t="shared" si="15"/>
        <v>47.56342821782178</v>
      </c>
      <c r="K40" s="20">
        <f t="shared" si="15"/>
        <v>44.520918722449927</v>
      </c>
      <c r="L40" s="20">
        <f t="shared" si="15"/>
        <v>42.570125956263041</v>
      </c>
      <c r="M40" s="20">
        <f t="shared" si="15"/>
        <v>0</v>
      </c>
    </row>
    <row r="41" spans="1:13">
      <c r="B41" s="17" t="s">
        <v>73</v>
      </c>
      <c r="C41" s="19" t="s">
        <v>83</v>
      </c>
      <c r="D41" s="19">
        <f>IFERROR(D40/C40-1,0)</f>
        <v>0.12087972685723836</v>
      </c>
      <c r="E41" s="19">
        <f t="shared" ref="E41:M41" si="16">IFERROR(E40/D40-1,0)</f>
        <v>-0.13648552271763525</v>
      </c>
      <c r="F41" s="19">
        <f t="shared" si="16"/>
        <v>0.23055120939346074</v>
      </c>
      <c r="G41" s="19">
        <f t="shared" si="16"/>
        <v>0.20253164556962044</v>
      </c>
      <c r="H41" s="19">
        <f t="shared" si="16"/>
        <v>-0.13647935263632138</v>
      </c>
      <c r="I41" s="19">
        <f t="shared" si="16"/>
        <v>0.20559661041239541</v>
      </c>
      <c r="J41" s="19">
        <f t="shared" si="16"/>
        <v>0.26698455446565661</v>
      </c>
      <c r="K41" s="19">
        <f t="shared" si="16"/>
        <v>-6.3967413817152874E-2</v>
      </c>
      <c r="L41" s="19">
        <f t="shared" si="16"/>
        <v>-4.3817441826580872E-2</v>
      </c>
      <c r="M41" s="19">
        <f t="shared" si="16"/>
        <v>-1</v>
      </c>
    </row>
    <row r="43" spans="1:13">
      <c r="B43" t="s">
        <v>88</v>
      </c>
      <c r="C43" s="20">
        <f>IFERROR('Data Sheet'!B31/HistoricalFS!C38,0)</f>
        <v>1.25</v>
      </c>
      <c r="D43" s="20">
        <f>IFERROR('Data Sheet'!C31/HistoricalFS!D38,0)</f>
        <v>4.2500387536815998</v>
      </c>
      <c r="E43" s="20">
        <f>IFERROR('Data Sheet'!D31/HistoricalFS!E38,0)</f>
        <v>3.5000387446726071</v>
      </c>
      <c r="F43" s="20">
        <f>IFERROR('Data Sheet'!E31/HistoricalFS!F38,0)</f>
        <v>4.2470369509644437</v>
      </c>
      <c r="G43" s="20">
        <f>IFERROR('Data Sheet'!F31/HistoricalFS!G38,0)</f>
        <v>4.7466883569602603</v>
      </c>
      <c r="H43" s="20">
        <f>IFERROR('Data Sheet'!G31/HistoricalFS!H38,0)</f>
        <v>6.7447714949651436</v>
      </c>
      <c r="I43" s="20">
        <f>IFERROR('Data Sheet'!H31/HistoricalFS!I38,0)</f>
        <v>7.4918692891435663</v>
      </c>
      <c r="J43" s="20">
        <f>IFERROR('Data Sheet'!I31/HistoricalFS!J38,0)</f>
        <v>9.2299659653465351</v>
      </c>
      <c r="K43" s="20">
        <f>IFERROR('Data Sheet'!J31/HistoricalFS!K38,0)</f>
        <v>4.4892119712319234</v>
      </c>
      <c r="L43" s="20">
        <f>IFERROR('Data Sheet'!K31/HistoricalFS!L38,0)</f>
        <v>9.4699018622981228</v>
      </c>
      <c r="M43" s="20">
        <f>IFERROR('Data Sheet'!L31/HistoricalFS!M38,0)</f>
        <v>0</v>
      </c>
    </row>
    <row r="44" spans="1:13">
      <c r="B44" s="17" t="s">
        <v>89</v>
      </c>
      <c r="C44" s="19">
        <f>IFERROR(C43/C40,0)</f>
        <v>4.9648687427258913E-2</v>
      </c>
      <c r="D44" s="19">
        <f t="shared" ref="D44:M44" si="17">IFERROR(D43/D40,0)</f>
        <v>0.15060231036698915</v>
      </c>
      <c r="E44" s="19">
        <f t="shared" si="17"/>
        <v>0.14362894583705646</v>
      </c>
      <c r="F44" s="19">
        <f t="shared" si="17"/>
        <v>0.14163006974941877</v>
      </c>
      <c r="G44" s="19">
        <f t="shared" si="17"/>
        <v>0.13163265306122449</v>
      </c>
      <c r="H44" s="19">
        <f t="shared" si="17"/>
        <v>0.21660447761194029</v>
      </c>
      <c r="I44" s="19">
        <f t="shared" si="17"/>
        <v>0.19956683168316833</v>
      </c>
      <c r="J44" s="19">
        <f t="shared" si="17"/>
        <v>0.19405594405594406</v>
      </c>
      <c r="K44" s="19">
        <f t="shared" si="17"/>
        <v>0.10083376758728504</v>
      </c>
      <c r="L44" s="19">
        <f t="shared" si="17"/>
        <v>0.22245416591032857</v>
      </c>
      <c r="M44" s="19">
        <f t="shared" si="17"/>
        <v>0</v>
      </c>
    </row>
    <row r="46" spans="1:13">
      <c r="B46" t="s">
        <v>74</v>
      </c>
      <c r="C46" s="12">
        <f>IFERROR(IF(C40&gt;C43,1-C44,0),0)</f>
        <v>0.95035131257274108</v>
      </c>
      <c r="D46" s="12">
        <f t="shared" ref="D46:M46" si="18">IFERROR(IF(D40&gt;D43,1-D44,0),0)</f>
        <v>0.84939768963301088</v>
      </c>
      <c r="E46" s="12">
        <f t="shared" si="18"/>
        <v>0.85637105416294357</v>
      </c>
      <c r="F46" s="12">
        <f t="shared" si="18"/>
        <v>0.85836993025058117</v>
      </c>
      <c r="G46" s="12">
        <f t="shared" si="18"/>
        <v>0.86836734693877549</v>
      </c>
      <c r="H46" s="12">
        <f t="shared" si="18"/>
        <v>0.78339552238805976</v>
      </c>
      <c r="I46" s="12">
        <f t="shared" si="18"/>
        <v>0.80043316831683164</v>
      </c>
      <c r="J46" s="12">
        <f t="shared" si="18"/>
        <v>0.80594405594405594</v>
      </c>
      <c r="K46" s="12">
        <f t="shared" si="18"/>
        <v>0.89916623241271498</v>
      </c>
      <c r="L46" s="12">
        <f t="shared" si="18"/>
        <v>0.77754583408967148</v>
      </c>
      <c r="M46" s="12">
        <f t="shared" si="18"/>
        <v>0</v>
      </c>
    </row>
    <row r="48" spans="1:13">
      <c r="A48" s="11" t="s">
        <v>58</v>
      </c>
      <c r="B48" s="24" t="s">
        <v>75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2:13">
      <c r="B49" s="2" t="s">
        <v>33</v>
      </c>
      <c r="C49" s="20">
        <f>IFERROR('Data Sheet'!B57,0)</f>
        <v>64.5</v>
      </c>
      <c r="D49" s="20">
        <f>IFERROR('Data Sheet'!C57,0)</f>
        <v>129.02000000000001</v>
      </c>
      <c r="E49" s="20">
        <f>IFERROR('Data Sheet'!D57,0)</f>
        <v>129.05000000000001</v>
      </c>
      <c r="F49" s="20">
        <f>IFERROR('Data Sheet'!E57,0)</f>
        <v>129</v>
      </c>
      <c r="G49" s="20">
        <f>IFERROR('Data Sheet'!F57,0)</f>
        <v>129</v>
      </c>
      <c r="H49" s="20">
        <f>IFERROR('Data Sheet'!G57,0)</f>
        <v>129</v>
      </c>
      <c r="I49" s="20">
        <f>IFERROR('Data Sheet'!H57,0)</f>
        <v>129</v>
      </c>
      <c r="J49" s="20">
        <f>IFERROR('Data Sheet'!I57,0)</f>
        <v>129</v>
      </c>
      <c r="K49" s="20">
        <f>IFERROR('Data Sheet'!J57,0)</f>
        <v>129</v>
      </c>
      <c r="L49" s="20">
        <f>IFERROR('Data Sheet'!K57,0)</f>
        <v>129</v>
      </c>
      <c r="M49" s="20">
        <f>IFERROR('Data Sheet'!L57,0)</f>
        <v>0</v>
      </c>
    </row>
    <row r="50" spans="2:13">
      <c r="B50" s="2" t="s">
        <v>34</v>
      </c>
      <c r="C50" s="20">
        <f>IFERROR('Data Sheet'!B58,0)</f>
        <v>1760.28</v>
      </c>
      <c r="D50" s="20">
        <f>IFERROR('Data Sheet'!C58,0)</f>
        <v>1888.35</v>
      </c>
      <c r="E50" s="20">
        <f>IFERROR('Data Sheet'!D58,0)</f>
        <v>2196.63</v>
      </c>
      <c r="F50" s="20">
        <f>IFERROR('Data Sheet'!E58,0)</f>
        <v>2414</v>
      </c>
      <c r="G50" s="20">
        <f>IFERROR('Data Sheet'!F58,0)</f>
        <v>2846</v>
      </c>
      <c r="H50" s="20">
        <f>IFERROR('Data Sheet'!G58,0)</f>
        <v>2894</v>
      </c>
      <c r="I50" s="20">
        <f>IFERROR('Data Sheet'!H58,0)</f>
        <v>3111</v>
      </c>
      <c r="J50" s="20">
        <f>IFERROR('Data Sheet'!I58,0)</f>
        <v>3219</v>
      </c>
      <c r="K50" s="20">
        <f>IFERROR('Data Sheet'!J58,0)</f>
        <v>3670</v>
      </c>
      <c r="L50" s="20">
        <f>IFERROR('Data Sheet'!K58,0)</f>
        <v>3703</v>
      </c>
      <c r="M50" s="20">
        <f>IFERROR('Data Sheet'!L58,0)</f>
        <v>0</v>
      </c>
    </row>
    <row r="51" spans="2:13">
      <c r="B51" s="2" t="s">
        <v>35</v>
      </c>
      <c r="C51" s="20">
        <f>IFERROR('Data Sheet'!B59,0)</f>
        <v>427.92</v>
      </c>
      <c r="D51" s="20">
        <f>IFERROR('Data Sheet'!C59,0)</f>
        <v>331.32</v>
      </c>
      <c r="E51" s="20">
        <f>IFERROR('Data Sheet'!D59,0)</f>
        <v>238.8</v>
      </c>
      <c r="F51" s="20">
        <f>IFERROR('Data Sheet'!E59,0)</f>
        <v>312</v>
      </c>
      <c r="G51" s="20">
        <f>IFERROR('Data Sheet'!F59,0)</f>
        <v>352</v>
      </c>
      <c r="H51" s="20">
        <f>IFERROR('Data Sheet'!G59,0)</f>
        <v>338</v>
      </c>
      <c r="I51" s="20">
        <f>IFERROR('Data Sheet'!H59,0)</f>
        <v>511</v>
      </c>
      <c r="J51" s="20">
        <f>IFERROR('Data Sheet'!I59,0)</f>
        <v>479</v>
      </c>
      <c r="K51" s="20">
        <f>IFERROR('Data Sheet'!J59,0)</f>
        <v>608</v>
      </c>
      <c r="L51" s="20">
        <f>IFERROR('Data Sheet'!K59,0)</f>
        <v>528</v>
      </c>
      <c r="M51" s="20">
        <f>IFERROR('Data Sheet'!L59,0)</f>
        <v>0</v>
      </c>
    </row>
    <row r="52" spans="2:13">
      <c r="B52" s="2" t="s">
        <v>36</v>
      </c>
      <c r="C52" s="20">
        <f>IFERROR('Data Sheet'!B60,0)</f>
        <v>872.58</v>
      </c>
      <c r="D52" s="20">
        <f>IFERROR('Data Sheet'!C60,0)</f>
        <v>1009.64</v>
      </c>
      <c r="E52" s="20">
        <f>IFERROR('Data Sheet'!D60,0)</f>
        <v>1058.73</v>
      </c>
      <c r="F52" s="20">
        <f>IFERROR('Data Sheet'!E60,0)</f>
        <v>1217</v>
      </c>
      <c r="G52" s="20">
        <f>IFERROR('Data Sheet'!F60,0)</f>
        <v>1569</v>
      </c>
      <c r="H52" s="20">
        <f>IFERROR('Data Sheet'!G60,0)</f>
        <v>1603</v>
      </c>
      <c r="I52" s="20">
        <f>IFERROR('Data Sheet'!H60,0)</f>
        <v>1675</v>
      </c>
      <c r="J52" s="20">
        <f>IFERROR('Data Sheet'!I60,0)</f>
        <v>1850</v>
      </c>
      <c r="K52" s="20">
        <f>IFERROR('Data Sheet'!J60,0)</f>
        <v>2393</v>
      </c>
      <c r="L52" s="20">
        <f>IFERROR('Data Sheet'!K60,0)</f>
        <v>2993</v>
      </c>
      <c r="M52" s="20">
        <f>IFERROR('Data Sheet'!L60,0)</f>
        <v>0</v>
      </c>
    </row>
    <row r="53" spans="2:13">
      <c r="B53" s="28" t="s">
        <v>76</v>
      </c>
      <c r="C53" s="29">
        <f>IFERROR('Data Sheet'!B61,0)</f>
        <v>3125.28</v>
      </c>
      <c r="D53" s="29">
        <f>IFERROR('Data Sheet'!C61,0)</f>
        <v>3358.33</v>
      </c>
      <c r="E53" s="29">
        <f>IFERROR('Data Sheet'!D61,0)</f>
        <v>3623.21</v>
      </c>
      <c r="F53" s="29">
        <f>IFERROR('Data Sheet'!E61,0)</f>
        <v>4072</v>
      </c>
      <c r="G53" s="29">
        <f>IFERROR('Data Sheet'!F61,0)</f>
        <v>4896</v>
      </c>
      <c r="H53" s="29">
        <f>IFERROR('Data Sheet'!G61,0)</f>
        <v>4964</v>
      </c>
      <c r="I53" s="29">
        <f>IFERROR('Data Sheet'!H61,0)</f>
        <v>5426</v>
      </c>
      <c r="J53" s="29">
        <f>IFERROR('Data Sheet'!I61,0)</f>
        <v>5677</v>
      </c>
      <c r="K53" s="29">
        <f>IFERROR('Data Sheet'!J61,0)</f>
        <v>6800</v>
      </c>
      <c r="L53" s="29">
        <f>IFERROR('Data Sheet'!K61,0)</f>
        <v>7353</v>
      </c>
      <c r="M53" s="29">
        <f>IFERROR('Data Sheet'!L61,0)</f>
        <v>0</v>
      </c>
    </row>
    <row r="54" spans="2:13">
      <c r="B54" s="1"/>
    </row>
    <row r="55" spans="2:13">
      <c r="B55" s="2" t="s">
        <v>77</v>
      </c>
      <c r="C55" s="20">
        <f>IFERROR('Data Sheet'!B62,0)</f>
        <v>1075.92</v>
      </c>
      <c r="D55" s="20">
        <f>IFERROR('Data Sheet'!C62,0)</f>
        <v>1050.43</v>
      </c>
      <c r="E55" s="20">
        <f>IFERROR('Data Sheet'!D62,0)</f>
        <v>1084.7</v>
      </c>
      <c r="F55" s="20">
        <f>IFERROR('Data Sheet'!E62,0)</f>
        <v>1110</v>
      </c>
      <c r="G55" s="20">
        <f>IFERROR('Data Sheet'!F62,0)</f>
        <v>1300</v>
      </c>
      <c r="H55" s="20">
        <f>IFERROR('Data Sheet'!G62,0)</f>
        <v>1396</v>
      </c>
      <c r="I55" s="20">
        <f>IFERROR('Data Sheet'!H62,0)</f>
        <v>1612</v>
      </c>
      <c r="J55" s="20">
        <f>IFERROR('Data Sheet'!I62,0)</f>
        <v>1760</v>
      </c>
      <c r="K55" s="20">
        <f>IFERROR('Data Sheet'!J62,0)</f>
        <v>2246</v>
      </c>
      <c r="L55" s="20">
        <f>IFERROR('Data Sheet'!K62,0)</f>
        <v>2724</v>
      </c>
      <c r="M55" s="20">
        <f>IFERROR('Data Sheet'!L62,0)</f>
        <v>0</v>
      </c>
    </row>
    <row r="56" spans="2:13">
      <c r="B56" s="2" t="s">
        <v>39</v>
      </c>
      <c r="C56" s="20">
        <f>IFERROR('Data Sheet'!B63,0)</f>
        <v>3.03</v>
      </c>
      <c r="D56" s="20">
        <f>IFERROR('Data Sheet'!C63,0)</f>
        <v>36.729999999999997</v>
      </c>
      <c r="E56" s="20">
        <f>IFERROR('Data Sheet'!D63,0)</f>
        <v>11.16</v>
      </c>
      <c r="F56" s="20">
        <f>IFERROR('Data Sheet'!E63,0)</f>
        <v>27</v>
      </c>
      <c r="G56" s="20">
        <f>IFERROR('Data Sheet'!F63,0)</f>
        <v>45</v>
      </c>
      <c r="H56" s="20">
        <f>IFERROR('Data Sheet'!G63,0)</f>
        <v>58</v>
      </c>
      <c r="I56" s="20">
        <f>IFERROR('Data Sheet'!H63,0)</f>
        <v>24</v>
      </c>
      <c r="J56" s="20">
        <f>IFERROR('Data Sheet'!I63,0)</f>
        <v>39</v>
      </c>
      <c r="K56" s="20">
        <f>IFERROR('Data Sheet'!J63,0)</f>
        <v>67</v>
      </c>
      <c r="L56" s="20">
        <f>IFERROR('Data Sheet'!K63,0)</f>
        <v>44</v>
      </c>
      <c r="M56" s="20">
        <f>IFERROR('Data Sheet'!L63,0)</f>
        <v>0</v>
      </c>
    </row>
    <row r="57" spans="2:13">
      <c r="B57" s="2" t="s">
        <v>40</v>
      </c>
      <c r="C57" s="20">
        <f>IFERROR('Data Sheet'!B64,0)</f>
        <v>283.8</v>
      </c>
      <c r="D57" s="20">
        <f>IFERROR('Data Sheet'!C64,0)</f>
        <v>543.86</v>
      </c>
      <c r="E57" s="20">
        <f>IFERROR('Data Sheet'!D64,0)</f>
        <v>608.21</v>
      </c>
      <c r="F57" s="20">
        <f>IFERROR('Data Sheet'!E64,0)</f>
        <v>543</v>
      </c>
      <c r="G57" s="20">
        <f>IFERROR('Data Sheet'!F64,0)</f>
        <v>450</v>
      </c>
      <c r="H57" s="20">
        <f>IFERROR('Data Sheet'!G64,0)</f>
        <v>733</v>
      </c>
      <c r="I57" s="20">
        <f>IFERROR('Data Sheet'!H64,0)</f>
        <v>854</v>
      </c>
      <c r="J57" s="20">
        <f>IFERROR('Data Sheet'!I64,0)</f>
        <v>828</v>
      </c>
      <c r="K57" s="20">
        <f>IFERROR('Data Sheet'!J64,0)</f>
        <v>1096</v>
      </c>
      <c r="L57" s="20">
        <f>IFERROR('Data Sheet'!K64,0)</f>
        <v>602</v>
      </c>
      <c r="M57" s="20">
        <f>IFERROR('Data Sheet'!L64,0)</f>
        <v>0</v>
      </c>
    </row>
    <row r="58" spans="2:13">
      <c r="B58" s="2" t="s">
        <v>41</v>
      </c>
      <c r="C58" s="20">
        <f>IFERROR('Data Sheet'!B65-SUM('Data Sheet'!B67:B69),0)</f>
        <v>386.12999999999988</v>
      </c>
      <c r="D58" s="20">
        <f>IFERROR('Data Sheet'!C65-SUM('Data Sheet'!C67:C69),0)</f>
        <v>232.51999999999998</v>
      </c>
      <c r="E58" s="20">
        <f>IFERROR('Data Sheet'!D65-SUM('Data Sheet'!D67:D69),0)</f>
        <v>182.75</v>
      </c>
      <c r="F58" s="20">
        <f>IFERROR('Data Sheet'!E65-SUM('Data Sheet'!E67:E69),0)</f>
        <v>340</v>
      </c>
      <c r="G58" s="20">
        <f>IFERROR('Data Sheet'!F65-SUM('Data Sheet'!F67:F69),0)</f>
        <v>621</v>
      </c>
      <c r="H58" s="20">
        <f>IFERROR('Data Sheet'!G65-SUM('Data Sheet'!G67:G69),0)</f>
        <v>579</v>
      </c>
      <c r="I58" s="20">
        <f>IFERROR('Data Sheet'!H65-SUM('Data Sheet'!H67:H69),0)</f>
        <v>478</v>
      </c>
      <c r="J58" s="20">
        <f>IFERROR('Data Sheet'!I65-SUM('Data Sheet'!I67:I69),0)</f>
        <v>407</v>
      </c>
      <c r="K58" s="20">
        <f>IFERROR('Data Sheet'!J65-SUM('Data Sheet'!J67:J69),0)</f>
        <v>395</v>
      </c>
      <c r="L58" s="20">
        <f>IFERROR('Data Sheet'!K65-SUM('Data Sheet'!K67:K69),0)</f>
        <v>635</v>
      </c>
      <c r="M58" s="20">
        <f>IFERROR('Data Sheet'!L65-SUM('Data Sheet'!L67:L69),0)</f>
        <v>0</v>
      </c>
    </row>
    <row r="59" spans="2:13">
      <c r="B59" s="28" t="s">
        <v>78</v>
      </c>
      <c r="C59" s="29">
        <f>SUM(C55:C58)</f>
        <v>1748.8799999999999</v>
      </c>
      <c r="D59" s="29">
        <f t="shared" ref="D59:L59" si="19">SUM(D55:D58)</f>
        <v>1863.54</v>
      </c>
      <c r="E59" s="29">
        <f t="shared" si="19"/>
        <v>1886.8200000000002</v>
      </c>
      <c r="F59" s="29">
        <f t="shared" si="19"/>
        <v>2020</v>
      </c>
      <c r="G59" s="29">
        <f t="shared" si="19"/>
        <v>2416</v>
      </c>
      <c r="H59" s="29">
        <f t="shared" si="19"/>
        <v>2766</v>
      </c>
      <c r="I59" s="29">
        <f t="shared" si="19"/>
        <v>2968</v>
      </c>
      <c r="J59" s="29">
        <f t="shared" si="19"/>
        <v>3034</v>
      </c>
      <c r="K59" s="29">
        <f t="shared" si="19"/>
        <v>3804</v>
      </c>
      <c r="L59" s="29">
        <f t="shared" si="19"/>
        <v>4005</v>
      </c>
      <c r="M59" s="29">
        <f>SUM(M55:M58)</f>
        <v>0</v>
      </c>
    </row>
    <row r="60" spans="2:13">
      <c r="B60" s="1"/>
    </row>
    <row r="61" spans="2:13">
      <c r="B61" s="2" t="s">
        <v>42</v>
      </c>
      <c r="C61" s="20">
        <f>IFERROR('Data Sheet'!B67,0)</f>
        <v>176.75</v>
      </c>
      <c r="D61" s="20">
        <f>IFERROR('Data Sheet'!C67,0)</f>
        <v>252.09</v>
      </c>
      <c r="E61" s="20">
        <f>IFERROR('Data Sheet'!D67,0)</f>
        <v>246.99</v>
      </c>
      <c r="F61" s="20">
        <f>IFERROR('Data Sheet'!E67,0)</f>
        <v>340</v>
      </c>
      <c r="G61" s="20">
        <f>IFERROR('Data Sheet'!F67,0)</f>
        <v>517</v>
      </c>
      <c r="H61" s="20">
        <f>IFERROR('Data Sheet'!G67,0)</f>
        <v>539</v>
      </c>
      <c r="I61" s="20">
        <f>IFERROR('Data Sheet'!H67,0)</f>
        <v>388</v>
      </c>
      <c r="J61" s="20">
        <f>IFERROR('Data Sheet'!I67,0)</f>
        <v>652</v>
      </c>
      <c r="K61" s="20">
        <f>IFERROR('Data Sheet'!J67,0)</f>
        <v>1015</v>
      </c>
      <c r="L61" s="20">
        <f>IFERROR('Data Sheet'!K67,0)</f>
        <v>1069</v>
      </c>
      <c r="M61" s="20">
        <f>IFERROR('Data Sheet'!L67,0)</f>
        <v>0</v>
      </c>
    </row>
    <row r="62" spans="2:13">
      <c r="B62" s="2" t="s">
        <v>43</v>
      </c>
      <c r="C62" s="20">
        <f>IFERROR('Data Sheet'!B68,0)</f>
        <v>994.71</v>
      </c>
      <c r="D62" s="20">
        <f>IFERROR('Data Sheet'!C68,0)</f>
        <v>925.56</v>
      </c>
      <c r="E62" s="20">
        <f>IFERROR('Data Sheet'!D68,0)</f>
        <v>1253.44</v>
      </c>
      <c r="F62" s="20">
        <f>IFERROR('Data Sheet'!E68,0)</f>
        <v>1511</v>
      </c>
      <c r="G62" s="20">
        <f>IFERROR('Data Sheet'!F68,0)</f>
        <v>1411</v>
      </c>
      <c r="H62" s="20">
        <f>IFERROR('Data Sheet'!G68,0)</f>
        <v>1380</v>
      </c>
      <c r="I62" s="20">
        <f>IFERROR('Data Sheet'!H68,0)</f>
        <v>1126</v>
      </c>
      <c r="J62" s="20">
        <f>IFERROR('Data Sheet'!I68,0)</f>
        <v>1412</v>
      </c>
      <c r="K62" s="20">
        <f>IFERROR('Data Sheet'!J68,0)</f>
        <v>1225</v>
      </c>
      <c r="L62" s="20">
        <f>IFERROR('Data Sheet'!K68,0)</f>
        <v>1336</v>
      </c>
      <c r="M62" s="20">
        <f>IFERROR('Data Sheet'!L68,0)</f>
        <v>0</v>
      </c>
    </row>
    <row r="63" spans="2:13">
      <c r="B63" s="2" t="s">
        <v>44</v>
      </c>
      <c r="C63" s="20">
        <f>IFERROR('Data Sheet'!B69,0)</f>
        <v>204.94</v>
      </c>
      <c r="D63" s="20">
        <f>IFERROR('Data Sheet'!C69,0)</f>
        <v>317.14</v>
      </c>
      <c r="E63" s="20">
        <f>IFERROR('Data Sheet'!D69,0)</f>
        <v>235.96</v>
      </c>
      <c r="F63" s="20">
        <f>IFERROR('Data Sheet'!E69,0)</f>
        <v>201</v>
      </c>
      <c r="G63" s="20">
        <f>IFERROR('Data Sheet'!F69,0)</f>
        <v>552</v>
      </c>
      <c r="H63" s="20">
        <f>IFERROR('Data Sheet'!G69,0)</f>
        <v>279</v>
      </c>
      <c r="I63" s="20">
        <f>IFERROR('Data Sheet'!H69,0)</f>
        <v>944</v>
      </c>
      <c r="J63" s="20">
        <f>IFERROR('Data Sheet'!I69,0)</f>
        <v>579</v>
      </c>
      <c r="K63" s="20">
        <f>IFERROR('Data Sheet'!J69,0)</f>
        <v>756</v>
      </c>
      <c r="L63" s="20">
        <f>IFERROR('Data Sheet'!K69,0)</f>
        <v>943</v>
      </c>
      <c r="M63" s="20">
        <f>IFERROR('Data Sheet'!L69,0)</f>
        <v>0</v>
      </c>
    </row>
    <row r="64" spans="2:13">
      <c r="B64" s="30" t="s">
        <v>79</v>
      </c>
      <c r="C64" s="29">
        <f>IFERROR(SUM(C61:C63),0)</f>
        <v>1376.4</v>
      </c>
      <c r="D64" s="29">
        <f t="shared" ref="D64:M64" si="20">IFERROR(SUM(D61:D63),0)</f>
        <v>1494.79</v>
      </c>
      <c r="E64" s="29">
        <f t="shared" si="20"/>
        <v>1736.39</v>
      </c>
      <c r="F64" s="29">
        <f t="shared" si="20"/>
        <v>2052</v>
      </c>
      <c r="G64" s="29">
        <f t="shared" si="20"/>
        <v>2480</v>
      </c>
      <c r="H64" s="29">
        <f t="shared" si="20"/>
        <v>2198</v>
      </c>
      <c r="I64" s="29">
        <f t="shared" si="20"/>
        <v>2458</v>
      </c>
      <c r="J64" s="29">
        <f t="shared" si="20"/>
        <v>2643</v>
      </c>
      <c r="K64" s="29">
        <f t="shared" si="20"/>
        <v>2996</v>
      </c>
      <c r="L64" s="29">
        <f t="shared" si="20"/>
        <v>3348</v>
      </c>
      <c r="M64" s="31">
        <f t="shared" si="20"/>
        <v>0</v>
      </c>
    </row>
    <row r="66" spans="1:13">
      <c r="B66" s="30" t="s">
        <v>80</v>
      </c>
      <c r="C66" s="29">
        <f>IFERROR(SUM(C64,C59),0)</f>
        <v>3125.2799999999997</v>
      </c>
      <c r="D66" s="29">
        <f t="shared" ref="D66:M66" si="21">IFERROR(SUM(D64,D59),0)</f>
        <v>3358.33</v>
      </c>
      <c r="E66" s="29">
        <f t="shared" si="21"/>
        <v>3623.21</v>
      </c>
      <c r="F66" s="29">
        <f t="shared" si="21"/>
        <v>4072</v>
      </c>
      <c r="G66" s="29">
        <f t="shared" si="21"/>
        <v>4896</v>
      </c>
      <c r="H66" s="29">
        <f t="shared" si="21"/>
        <v>4964</v>
      </c>
      <c r="I66" s="29">
        <f t="shared" si="21"/>
        <v>5426</v>
      </c>
      <c r="J66" s="29">
        <f t="shared" si="21"/>
        <v>5677</v>
      </c>
      <c r="K66" s="29">
        <f t="shared" si="21"/>
        <v>6800</v>
      </c>
      <c r="L66" s="29">
        <f t="shared" si="21"/>
        <v>7353</v>
      </c>
      <c r="M66" s="29">
        <f t="shared" si="21"/>
        <v>0</v>
      </c>
    </row>
    <row r="68" spans="1:13">
      <c r="B68" s="11" t="s">
        <v>81</v>
      </c>
      <c r="C68" s="11" t="b">
        <f>C66=C53</f>
        <v>1</v>
      </c>
      <c r="D68" s="11" t="b">
        <f t="shared" ref="D68:L68" si="22">D66=D53</f>
        <v>1</v>
      </c>
      <c r="E68" s="11" t="b">
        <f t="shared" si="22"/>
        <v>1</v>
      </c>
      <c r="F68" s="11" t="b">
        <f t="shared" si="22"/>
        <v>1</v>
      </c>
      <c r="G68" s="11" t="b">
        <f t="shared" si="22"/>
        <v>1</v>
      </c>
      <c r="H68" s="11" t="b">
        <f t="shared" si="22"/>
        <v>1</v>
      </c>
      <c r="I68" s="11" t="b">
        <f t="shared" si="22"/>
        <v>1</v>
      </c>
      <c r="J68" s="11" t="b">
        <f t="shared" si="22"/>
        <v>1</v>
      </c>
      <c r="K68" s="11" t="b">
        <f t="shared" si="22"/>
        <v>1</v>
      </c>
      <c r="L68" s="11" t="b">
        <f t="shared" si="22"/>
        <v>1</v>
      </c>
    </row>
    <row r="70" spans="1:13">
      <c r="A70" s="11" t="s">
        <v>58</v>
      </c>
      <c r="B70" s="24" t="s">
        <v>82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>
      <c r="B71" s="11" t="s">
        <v>120</v>
      </c>
    </row>
    <row r="72" spans="1:13">
      <c r="B72" t="s">
        <v>91</v>
      </c>
      <c r="C72" s="20">
        <f>IFERROR('Cash Flow Data'!C4,0)</f>
        <v>891</v>
      </c>
      <c r="D72" s="20">
        <f>IFERROR('Cash Flow Data'!D4,0)</f>
        <v>1085</v>
      </c>
      <c r="E72" s="20">
        <f>IFERROR('Cash Flow Data'!E4,0)</f>
        <v>1215</v>
      </c>
      <c r="F72" s="20">
        <f>IFERROR('Cash Flow Data'!F4,0)</f>
        <v>1160</v>
      </c>
      <c r="G72" s="20">
        <f>IFERROR('Cash Flow Data'!G4,0)</f>
        <v>1361</v>
      </c>
      <c r="H72" s="20">
        <f>IFERROR('Cash Flow Data'!H4,0)</f>
        <v>1475</v>
      </c>
      <c r="I72" s="20">
        <f>IFERROR('Cash Flow Data'!I4,0)</f>
        <v>1617</v>
      </c>
      <c r="J72" s="20">
        <f>IFERROR('Cash Flow Data'!J4,0)</f>
        <v>1709</v>
      </c>
      <c r="K72" s="20">
        <f>IFERROR('Cash Flow Data'!K4,0)</f>
        <v>1847</v>
      </c>
      <c r="L72" s="20">
        <f>IFERROR('Cash Flow Data'!L4,0)</f>
        <v>2040</v>
      </c>
      <c r="M72" s="20">
        <f>IFERROR('Cash Flow Data'!M4,0)</f>
        <v>0</v>
      </c>
    </row>
    <row r="73" spans="1:13">
      <c r="B73" t="s">
        <v>42</v>
      </c>
      <c r="C73" s="20">
        <f>IFERROR('Cash Flow Data'!C5,0)</f>
        <v>46</v>
      </c>
      <c r="D73" s="20">
        <f>IFERROR('Cash Flow Data'!D5,0)</f>
        <v>-76</v>
      </c>
      <c r="E73" s="20">
        <f>IFERROR('Cash Flow Data'!E5,0)</f>
        <v>5</v>
      </c>
      <c r="F73" s="20">
        <f>IFERROR('Cash Flow Data'!F5,0)</f>
        <v>-93</v>
      </c>
      <c r="G73" s="20">
        <f>IFERROR('Cash Flow Data'!G5,0)</f>
        <v>-177</v>
      </c>
      <c r="H73" s="20">
        <f>IFERROR('Cash Flow Data'!H5,0)</f>
        <v>-22</v>
      </c>
      <c r="I73" s="20">
        <f>IFERROR('Cash Flow Data'!I5,0)</f>
        <v>147</v>
      </c>
      <c r="J73" s="20">
        <f>IFERROR('Cash Flow Data'!J5,0)</f>
        <v>-272</v>
      </c>
      <c r="K73" s="20">
        <f>IFERROR('Cash Flow Data'!K5,0)</f>
        <v>-360</v>
      </c>
      <c r="L73" s="20">
        <f>IFERROR('Cash Flow Data'!L5,0)</f>
        <v>-52</v>
      </c>
      <c r="M73" s="20">
        <f>IFERROR('Cash Flow Data'!M5,0)</f>
        <v>0</v>
      </c>
    </row>
    <row r="74" spans="1:13">
      <c r="B74" t="s">
        <v>43</v>
      </c>
      <c r="C74" s="20">
        <f>IFERROR('Cash Flow Data'!C6,0)</f>
        <v>-198</v>
      </c>
      <c r="D74" s="20">
        <f>IFERROR('Cash Flow Data'!D6,0)</f>
        <v>66</v>
      </c>
      <c r="E74" s="20">
        <f>IFERROR('Cash Flow Data'!E6,0)</f>
        <v>-328</v>
      </c>
      <c r="F74" s="20">
        <f>IFERROR('Cash Flow Data'!F6,0)</f>
        <v>-257</v>
      </c>
      <c r="G74" s="20">
        <f>IFERROR('Cash Flow Data'!G6,0)</f>
        <v>100</v>
      </c>
      <c r="H74" s="20">
        <f>IFERROR('Cash Flow Data'!H6,0)</f>
        <v>31</v>
      </c>
      <c r="I74" s="20">
        <f>IFERROR('Cash Flow Data'!I6,0)</f>
        <v>251</v>
      </c>
      <c r="J74" s="20">
        <f>IFERROR('Cash Flow Data'!J6,0)</f>
        <v>-286</v>
      </c>
      <c r="K74" s="20">
        <f>IFERROR('Cash Flow Data'!K6,0)</f>
        <v>191</v>
      </c>
      <c r="L74" s="20">
        <f>IFERROR('Cash Flow Data'!L6,0)</f>
        <v>-101</v>
      </c>
      <c r="M74" s="20">
        <f>IFERROR('Cash Flow Data'!M6,0)</f>
        <v>0</v>
      </c>
    </row>
    <row r="75" spans="1:13">
      <c r="B75" t="s">
        <v>92</v>
      </c>
      <c r="C75" s="20">
        <f>IFERROR('Cash Flow Data'!C7,0)</f>
        <v>0</v>
      </c>
      <c r="D75" s="20">
        <f>IFERROR('Cash Flow Data'!D7,0)</f>
        <v>106</v>
      </c>
      <c r="E75" s="20">
        <f>IFERROR('Cash Flow Data'!E7,0)</f>
        <v>28</v>
      </c>
      <c r="F75" s="20">
        <f>IFERROR('Cash Flow Data'!F7,0)</f>
        <v>125</v>
      </c>
      <c r="G75" s="20">
        <f>IFERROR('Cash Flow Data'!G7,0)</f>
        <v>121</v>
      </c>
      <c r="H75" s="20">
        <f>IFERROR('Cash Flow Data'!H7,0)</f>
        <v>10</v>
      </c>
      <c r="I75" s="20">
        <f>IFERROR('Cash Flow Data'!I7,0)</f>
        <v>184</v>
      </c>
      <c r="J75" s="20">
        <f>IFERROR('Cash Flow Data'!J7,0)</f>
        <v>210</v>
      </c>
      <c r="K75" s="20">
        <f>IFERROR('Cash Flow Data'!K7,0)</f>
        <v>99</v>
      </c>
      <c r="L75" s="20">
        <f>IFERROR('Cash Flow Data'!L7,0)</f>
        <v>106</v>
      </c>
      <c r="M75" s="20">
        <f>IFERROR('Cash Flow Data'!M7,0)</f>
        <v>0</v>
      </c>
    </row>
    <row r="76" spans="1:13">
      <c r="B76" t="s">
        <v>93</v>
      </c>
      <c r="C76" s="20">
        <f>IFERROR('Cash Flow Data'!C8,0)</f>
        <v>0</v>
      </c>
      <c r="D76" s="20">
        <f>IFERROR('Cash Flow Data'!D8,0)</f>
        <v>-99</v>
      </c>
      <c r="E76" s="20">
        <f>IFERROR('Cash Flow Data'!E8,0)</f>
        <v>0</v>
      </c>
      <c r="F76" s="20">
        <f>IFERROR('Cash Flow Data'!F8,0)</f>
        <v>2</v>
      </c>
      <c r="G76" s="20">
        <f>IFERROR('Cash Flow Data'!G8,0)</f>
        <v>-1</v>
      </c>
      <c r="H76" s="20">
        <f>IFERROR('Cash Flow Data'!H8,0)</f>
        <v>-1</v>
      </c>
      <c r="I76" s="20">
        <f>IFERROR('Cash Flow Data'!I8,0)</f>
        <v>-60</v>
      </c>
      <c r="J76" s="20">
        <f>IFERROR('Cash Flow Data'!J8,0)</f>
        <v>1</v>
      </c>
      <c r="K76" s="20">
        <f>IFERROR('Cash Flow Data'!K8,0)</f>
        <v>1</v>
      </c>
      <c r="L76" s="20">
        <f>IFERROR('Cash Flow Data'!L8,0)</f>
        <v>9</v>
      </c>
      <c r="M76" s="20">
        <f>IFERROR('Cash Flow Data'!M8,0)</f>
        <v>0</v>
      </c>
    </row>
    <row r="77" spans="1:13">
      <c r="B77" t="s">
        <v>94</v>
      </c>
      <c r="C77" s="20">
        <f>IFERROR('Cash Flow Data'!C9,0)</f>
        <v>135</v>
      </c>
      <c r="D77" s="20">
        <f>IFERROR('Cash Flow Data'!D9,0)</f>
        <v>-17</v>
      </c>
      <c r="E77" s="20">
        <f>IFERROR('Cash Flow Data'!E9,0)</f>
        <v>25</v>
      </c>
      <c r="F77" s="20">
        <f>IFERROR('Cash Flow Data'!F9,0)</f>
        <v>-126</v>
      </c>
      <c r="G77" s="20">
        <f>IFERROR('Cash Flow Data'!G9,0)</f>
        <v>-22</v>
      </c>
      <c r="H77" s="20">
        <f>IFERROR('Cash Flow Data'!H9,0)</f>
        <v>11</v>
      </c>
      <c r="I77" s="20">
        <f>IFERROR('Cash Flow Data'!I9,0)</f>
        <v>153</v>
      </c>
      <c r="J77" s="20">
        <f>IFERROR('Cash Flow Data'!J9,0)</f>
        <v>5</v>
      </c>
      <c r="K77" s="20">
        <f>IFERROR('Cash Flow Data'!K9,0)</f>
        <v>10</v>
      </c>
      <c r="L77" s="20">
        <f>IFERROR('Cash Flow Data'!L9,0)</f>
        <v>-188</v>
      </c>
      <c r="M77" s="20">
        <f>IFERROR('Cash Flow Data'!M9,0)</f>
        <v>0</v>
      </c>
    </row>
    <row r="78" spans="1:13">
      <c r="B78" t="s">
        <v>95</v>
      </c>
      <c r="C78" s="20">
        <f>IFERROR('Cash Flow Data'!C10,0)</f>
        <v>-17</v>
      </c>
      <c r="D78" s="20">
        <f>IFERROR('Cash Flow Data'!D10,0)</f>
        <v>-20</v>
      </c>
      <c r="E78" s="20">
        <f>IFERROR('Cash Flow Data'!E10,0)</f>
        <v>-270</v>
      </c>
      <c r="F78" s="20">
        <f>IFERROR('Cash Flow Data'!F10,0)</f>
        <v>-349</v>
      </c>
      <c r="G78" s="20">
        <f>IFERROR('Cash Flow Data'!G10,0)</f>
        <v>21</v>
      </c>
      <c r="H78" s="20">
        <f>IFERROR('Cash Flow Data'!H10,0)</f>
        <v>29</v>
      </c>
      <c r="I78" s="20">
        <f>IFERROR('Cash Flow Data'!I10,0)</f>
        <v>675</v>
      </c>
      <c r="J78" s="20">
        <f>IFERROR('Cash Flow Data'!J10,0)</f>
        <v>-342</v>
      </c>
      <c r="K78" s="20">
        <f>IFERROR('Cash Flow Data'!K10,0)</f>
        <v>-59</v>
      </c>
      <c r="L78" s="20">
        <f>IFERROR('Cash Flow Data'!L10,0)</f>
        <v>-226</v>
      </c>
      <c r="M78" s="20">
        <f>IFERROR('Cash Flow Data'!M10,0)</f>
        <v>0</v>
      </c>
    </row>
    <row r="79" spans="1:13">
      <c r="B79" t="s">
        <v>96</v>
      </c>
      <c r="C79" s="20">
        <f>IFERROR('Cash Flow Data'!C11,0)</f>
        <v>-210</v>
      </c>
      <c r="D79" s="20">
        <f>IFERROR('Cash Flow Data'!D11,0)</f>
        <v>-247</v>
      </c>
      <c r="E79" s="20">
        <f>IFERROR('Cash Flow Data'!E11,0)</f>
        <v>-296</v>
      </c>
      <c r="F79" s="20">
        <f>IFERROR('Cash Flow Data'!F11,0)</f>
        <v>-295</v>
      </c>
      <c r="G79" s="20">
        <f>IFERROR('Cash Flow Data'!G11,0)</f>
        <v>-320</v>
      </c>
      <c r="H79" s="20">
        <f>IFERROR('Cash Flow Data'!H11,0)</f>
        <v>-290</v>
      </c>
      <c r="I79" s="20">
        <f>IFERROR('Cash Flow Data'!I11,0)</f>
        <v>-285</v>
      </c>
      <c r="J79" s="20">
        <f>IFERROR('Cash Flow Data'!J11,0)</f>
        <v>-351</v>
      </c>
      <c r="K79" s="20">
        <f>IFERROR('Cash Flow Data'!K11,0)</f>
        <v>-369</v>
      </c>
      <c r="L79" s="20">
        <f>IFERROR('Cash Flow Data'!L11,0)</f>
        <v>-378</v>
      </c>
      <c r="M79" s="20">
        <f>IFERROR('Cash Flow Data'!M11,0)</f>
        <v>0</v>
      </c>
    </row>
    <row r="80" spans="1:13">
      <c r="B80" s="11" t="s">
        <v>119</v>
      </c>
      <c r="C80" s="20">
        <f>SUM(C72:C79)</f>
        <v>647</v>
      </c>
      <c r="D80" s="20">
        <f t="shared" ref="D80:M80" si="23">SUM(D72:D79)</f>
        <v>798</v>
      </c>
      <c r="E80" s="20">
        <f t="shared" si="23"/>
        <v>379</v>
      </c>
      <c r="F80" s="20">
        <f t="shared" si="23"/>
        <v>167</v>
      </c>
      <c r="G80" s="20">
        <f t="shared" si="23"/>
        <v>1083</v>
      </c>
      <c r="H80" s="20">
        <f t="shared" si="23"/>
        <v>1243</v>
      </c>
      <c r="I80" s="20">
        <f t="shared" si="23"/>
        <v>2682</v>
      </c>
      <c r="J80" s="20">
        <f t="shared" si="23"/>
        <v>674</v>
      </c>
      <c r="K80" s="20">
        <f t="shared" si="23"/>
        <v>1360</v>
      </c>
      <c r="L80" s="20">
        <f t="shared" si="23"/>
        <v>1210</v>
      </c>
      <c r="M80" s="20">
        <f t="shared" si="23"/>
        <v>0</v>
      </c>
    </row>
    <row r="81" spans="2:13">
      <c r="B81" s="11"/>
    </row>
    <row r="82" spans="2:13">
      <c r="B82" s="11" t="s">
        <v>121</v>
      </c>
    </row>
    <row r="83" spans="2:13">
      <c r="B83" t="s">
        <v>98</v>
      </c>
      <c r="C83" s="20">
        <f>IFERROR('Cash Flow Data'!C13,0)</f>
        <v>-59</v>
      </c>
      <c r="D83" s="20">
        <f>IFERROR('Cash Flow Data'!D13,0)</f>
        <v>-101</v>
      </c>
      <c r="E83" s="20">
        <f>IFERROR('Cash Flow Data'!E13,0)</f>
        <v>-87</v>
      </c>
      <c r="F83" s="20">
        <f>IFERROR('Cash Flow Data'!F13,0)</f>
        <v>-133</v>
      </c>
      <c r="G83" s="20">
        <f>IFERROR('Cash Flow Data'!G13,0)</f>
        <v>-162</v>
      </c>
      <c r="H83" s="20">
        <f>IFERROR('Cash Flow Data'!H13,0)</f>
        <v>-188</v>
      </c>
      <c r="I83" s="20">
        <f>IFERROR('Cash Flow Data'!I13,0)</f>
        <v>-142</v>
      </c>
      <c r="J83" s="20">
        <f>IFERROR('Cash Flow Data'!J13,0)</f>
        <v>-132</v>
      </c>
      <c r="K83" s="20">
        <f>IFERROR('Cash Flow Data'!K13,0)</f>
        <v>-182</v>
      </c>
      <c r="L83" s="20">
        <f>IFERROR('Cash Flow Data'!L13,0)</f>
        <v>-153</v>
      </c>
      <c r="M83" s="20">
        <f>IFERROR('Cash Flow Data'!M13,0)</f>
        <v>0</v>
      </c>
    </row>
    <row r="84" spans="2:13">
      <c r="B84" t="s">
        <v>99</v>
      </c>
      <c r="C84" s="20">
        <f>IFERROR('Cash Flow Data'!C14,0)</f>
        <v>1</v>
      </c>
      <c r="D84" s="20">
        <f>IFERROR('Cash Flow Data'!D14,0)</f>
        <v>14</v>
      </c>
      <c r="E84" s="20">
        <f>IFERROR('Cash Flow Data'!E14,0)</f>
        <v>6</v>
      </c>
      <c r="F84" s="20">
        <f>IFERROR('Cash Flow Data'!F14,0)</f>
        <v>5</v>
      </c>
      <c r="G84" s="20">
        <f>IFERROR('Cash Flow Data'!G14,0)</f>
        <v>19</v>
      </c>
      <c r="H84" s="20">
        <f>IFERROR('Cash Flow Data'!H14,0)</f>
        <v>8</v>
      </c>
      <c r="I84" s="20">
        <f>IFERROR('Cash Flow Data'!I14,0)</f>
        <v>5</v>
      </c>
      <c r="J84" s="20">
        <f>IFERROR('Cash Flow Data'!J14,0)</f>
        <v>0</v>
      </c>
      <c r="K84" s="20">
        <f>IFERROR('Cash Flow Data'!K14,0)</f>
        <v>0</v>
      </c>
      <c r="L84" s="20">
        <f>IFERROR('Cash Flow Data'!L14,0)</f>
        <v>0</v>
      </c>
      <c r="M84" s="20">
        <f>IFERROR('Cash Flow Data'!M14,0)</f>
        <v>0</v>
      </c>
    </row>
    <row r="85" spans="2:13">
      <c r="B85" t="s">
        <v>100</v>
      </c>
      <c r="C85" s="20">
        <f>IFERROR('Cash Flow Data'!C15,0)</f>
        <v>0</v>
      </c>
      <c r="D85" s="20">
        <f>IFERROR('Cash Flow Data'!D15,0)</f>
        <v>-118</v>
      </c>
      <c r="E85" s="20">
        <f>IFERROR('Cash Flow Data'!E15,0)</f>
        <v>0</v>
      </c>
      <c r="F85" s="20">
        <f>IFERROR('Cash Flow Data'!F15,0)</f>
        <v>0</v>
      </c>
      <c r="G85" s="20">
        <f>IFERROR('Cash Flow Data'!G15,0)</f>
        <v>0</v>
      </c>
      <c r="H85" s="20">
        <f>IFERROR('Cash Flow Data'!H15,0)</f>
        <v>-189</v>
      </c>
      <c r="I85" s="20">
        <f>IFERROR('Cash Flow Data'!I15,0)</f>
        <v>0</v>
      </c>
      <c r="J85" s="20">
        <f>IFERROR('Cash Flow Data'!J15,0)</f>
        <v>-146</v>
      </c>
      <c r="K85" s="20">
        <f>IFERROR('Cash Flow Data'!K15,0)</f>
        <v>-130</v>
      </c>
      <c r="L85" s="20">
        <f>IFERROR('Cash Flow Data'!L15,0)</f>
        <v>0</v>
      </c>
      <c r="M85" s="20">
        <f>IFERROR('Cash Flow Data'!M15,0)</f>
        <v>0</v>
      </c>
    </row>
    <row r="86" spans="2:13">
      <c r="B86" t="s">
        <v>101</v>
      </c>
      <c r="C86" s="20">
        <f>IFERROR('Cash Flow Data'!C16,0)</f>
        <v>41</v>
      </c>
      <c r="D86" s="20">
        <f>IFERROR('Cash Flow Data'!D16,0)</f>
        <v>0</v>
      </c>
      <c r="E86" s="20">
        <f>IFERROR('Cash Flow Data'!E16,0)</f>
        <v>1</v>
      </c>
      <c r="F86" s="20">
        <f>IFERROR('Cash Flow Data'!F16,0)</f>
        <v>70</v>
      </c>
      <c r="G86" s="20">
        <f>IFERROR('Cash Flow Data'!G16,0)</f>
        <v>103</v>
      </c>
      <c r="H86" s="20">
        <f>IFERROR('Cash Flow Data'!H16,0)</f>
        <v>0</v>
      </c>
      <c r="I86" s="20">
        <f>IFERROR('Cash Flow Data'!I16,0)</f>
        <v>164</v>
      </c>
      <c r="J86" s="20">
        <f>IFERROR('Cash Flow Data'!J16,0)</f>
        <v>3</v>
      </c>
      <c r="K86" s="20">
        <f>IFERROR('Cash Flow Data'!K16,0)</f>
        <v>25</v>
      </c>
      <c r="L86" s="20">
        <f>IFERROR('Cash Flow Data'!L16,0)</f>
        <v>398</v>
      </c>
      <c r="M86" s="20">
        <f>IFERROR('Cash Flow Data'!M16,0)</f>
        <v>0</v>
      </c>
    </row>
    <row r="87" spans="2:13">
      <c r="B87" t="s">
        <v>102</v>
      </c>
      <c r="C87" s="20">
        <f>IFERROR('Cash Flow Data'!C17,0)</f>
        <v>22</v>
      </c>
      <c r="D87" s="20">
        <f>IFERROR('Cash Flow Data'!D17,0)</f>
        <v>32</v>
      </c>
      <c r="E87" s="20">
        <f>IFERROR('Cash Flow Data'!E17,0)</f>
        <v>34</v>
      </c>
      <c r="F87" s="20">
        <f>IFERROR('Cash Flow Data'!F17,0)</f>
        <v>35</v>
      </c>
      <c r="G87" s="20">
        <f>IFERROR('Cash Flow Data'!G17,0)</f>
        <v>49</v>
      </c>
      <c r="H87" s="20">
        <f>IFERROR('Cash Flow Data'!H17,0)</f>
        <v>72</v>
      </c>
      <c r="I87" s="20">
        <f>IFERROR('Cash Flow Data'!I17,0)</f>
        <v>52</v>
      </c>
      <c r="J87" s="20">
        <f>IFERROR('Cash Flow Data'!J17,0)</f>
        <v>57</v>
      </c>
      <c r="K87" s="20">
        <f>IFERROR('Cash Flow Data'!K17,0)</f>
        <v>48</v>
      </c>
      <c r="L87" s="20">
        <f>IFERROR('Cash Flow Data'!L17,0)</f>
        <v>66</v>
      </c>
      <c r="M87" s="20">
        <f>IFERROR('Cash Flow Data'!M17,0)</f>
        <v>0</v>
      </c>
    </row>
    <row r="88" spans="2:13">
      <c r="B88" t="s">
        <v>103</v>
      </c>
      <c r="C88" s="20">
        <f>IFERROR('Cash Flow Data'!C18,0)</f>
        <v>12</v>
      </c>
      <c r="D88" s="20">
        <f>IFERROR('Cash Flow Data'!D18,0)</f>
        <v>26</v>
      </c>
      <c r="E88" s="20">
        <f>IFERROR('Cash Flow Data'!E18,0)</f>
        <v>0</v>
      </c>
      <c r="F88" s="20">
        <f>IFERROR('Cash Flow Data'!F18,0)</f>
        <v>0</v>
      </c>
      <c r="G88" s="20">
        <f>IFERROR('Cash Flow Data'!G18,0)</f>
        <v>0</v>
      </c>
      <c r="H88" s="20">
        <f>IFERROR('Cash Flow Data'!H18,0)</f>
        <v>0</v>
      </c>
      <c r="I88" s="20">
        <f>IFERROR('Cash Flow Data'!I18,0)</f>
        <v>0</v>
      </c>
      <c r="J88" s="20">
        <f>IFERROR('Cash Flow Data'!J18,0)</f>
        <v>0</v>
      </c>
      <c r="K88" s="20">
        <f>IFERROR('Cash Flow Data'!K18,0)</f>
        <v>0</v>
      </c>
      <c r="L88" s="20">
        <f>IFERROR('Cash Flow Data'!L18,0)</f>
        <v>0</v>
      </c>
      <c r="M88" s="20">
        <f>IFERROR('Cash Flow Data'!M18,0)</f>
        <v>0</v>
      </c>
    </row>
    <row r="89" spans="2:13">
      <c r="B89" t="s">
        <v>104</v>
      </c>
      <c r="C89" s="20">
        <f>IFERROR('Cash Flow Data'!C19,0)</f>
        <v>0</v>
      </c>
      <c r="D89" s="20">
        <f>IFERROR('Cash Flow Data'!D19,0)</f>
        <v>-1</v>
      </c>
      <c r="E89" s="20">
        <f>IFERROR('Cash Flow Data'!E19,0)</f>
        <v>-17</v>
      </c>
      <c r="F89" s="20">
        <f>IFERROR('Cash Flow Data'!F19,0)</f>
        <v>-4</v>
      </c>
      <c r="G89" s="20">
        <f>IFERROR('Cash Flow Data'!G19,0)</f>
        <v>-6</v>
      </c>
      <c r="H89" s="20">
        <f>IFERROR('Cash Flow Data'!H19,0)</f>
        <v>-3</v>
      </c>
      <c r="I89" s="20">
        <f>IFERROR('Cash Flow Data'!I19,0)</f>
        <v>0</v>
      </c>
      <c r="J89" s="20">
        <f>IFERROR('Cash Flow Data'!J19,0)</f>
        <v>0</v>
      </c>
      <c r="K89" s="20">
        <f>IFERROR('Cash Flow Data'!K19,0)</f>
        <v>0</v>
      </c>
      <c r="L89" s="20">
        <f>IFERROR('Cash Flow Data'!L19,0)</f>
        <v>0</v>
      </c>
      <c r="M89" s="20">
        <f>IFERROR('Cash Flow Data'!M19,0)</f>
        <v>0</v>
      </c>
    </row>
    <row r="90" spans="2:13">
      <c r="B90" t="s">
        <v>105</v>
      </c>
      <c r="C90" s="20">
        <f>IFERROR('Cash Flow Data'!C20,0)</f>
        <v>0</v>
      </c>
      <c r="D90" s="20">
        <f>IFERROR('Cash Flow Data'!D20,0)</f>
        <v>0</v>
      </c>
      <c r="E90" s="20">
        <f>IFERROR('Cash Flow Data'!E20,0)</f>
        <v>0</v>
      </c>
      <c r="F90" s="20">
        <f>IFERROR('Cash Flow Data'!F20,0)</f>
        <v>0</v>
      </c>
      <c r="G90" s="20">
        <f>IFERROR('Cash Flow Data'!G20,0)</f>
        <v>0</v>
      </c>
      <c r="H90" s="20">
        <f>IFERROR('Cash Flow Data'!H20,0)</f>
        <v>0</v>
      </c>
      <c r="I90" s="20">
        <f>IFERROR('Cash Flow Data'!I20,0)</f>
        <v>1</v>
      </c>
      <c r="J90" s="20">
        <f>IFERROR('Cash Flow Data'!J20,0)</f>
        <v>0</v>
      </c>
      <c r="K90" s="20">
        <f>IFERROR('Cash Flow Data'!K20,0)</f>
        <v>0</v>
      </c>
      <c r="L90" s="20">
        <f>IFERROR('Cash Flow Data'!L20,0)</f>
        <v>0</v>
      </c>
      <c r="M90" s="20">
        <f>IFERROR('Cash Flow Data'!M20,0)</f>
        <v>0</v>
      </c>
    </row>
    <row r="91" spans="2:13">
      <c r="B91" t="s">
        <v>106</v>
      </c>
      <c r="C91" s="20">
        <f>IFERROR('Cash Flow Data'!C21,0)</f>
        <v>0</v>
      </c>
      <c r="D91" s="20">
        <f>IFERROR('Cash Flow Data'!D21,0)</f>
        <v>0</v>
      </c>
      <c r="E91" s="20">
        <f>IFERROR('Cash Flow Data'!E21,0)</f>
        <v>0</v>
      </c>
      <c r="F91" s="20">
        <f>IFERROR('Cash Flow Data'!F21,0)</f>
        <v>0</v>
      </c>
      <c r="G91" s="20">
        <f>IFERROR('Cash Flow Data'!G21,0)</f>
        <v>0</v>
      </c>
      <c r="H91" s="20">
        <f>IFERROR('Cash Flow Data'!H21,0)</f>
        <v>0</v>
      </c>
      <c r="I91" s="20">
        <f>IFERROR('Cash Flow Data'!I21,0)</f>
        <v>0</v>
      </c>
      <c r="J91" s="20">
        <f>IFERROR('Cash Flow Data'!J21,0)</f>
        <v>-55</v>
      </c>
      <c r="K91" s="20">
        <f>IFERROR('Cash Flow Data'!K21,0)</f>
        <v>-277</v>
      </c>
      <c r="L91" s="20">
        <f>IFERROR('Cash Flow Data'!L21,0)</f>
        <v>-103</v>
      </c>
      <c r="M91" s="20">
        <f>IFERROR('Cash Flow Data'!M21,0)</f>
        <v>0</v>
      </c>
    </row>
    <row r="92" spans="2:13">
      <c r="B92" t="s">
        <v>107</v>
      </c>
      <c r="C92" s="20">
        <f>IFERROR('Cash Flow Data'!C22,0)</f>
        <v>0</v>
      </c>
      <c r="D92" s="20">
        <f>IFERROR('Cash Flow Data'!D22,0)</f>
        <v>-55</v>
      </c>
      <c r="E92" s="20">
        <f>IFERROR('Cash Flow Data'!E22,0)</f>
        <v>-29</v>
      </c>
      <c r="F92" s="20">
        <f>IFERROR('Cash Flow Data'!F22,0)</f>
        <v>0</v>
      </c>
      <c r="G92" s="20">
        <f>IFERROR('Cash Flow Data'!G22,0)</f>
        <v>20</v>
      </c>
      <c r="H92" s="20">
        <f>IFERROR('Cash Flow Data'!H22,0)</f>
        <v>44</v>
      </c>
      <c r="I92" s="20">
        <f>IFERROR('Cash Flow Data'!I22,0)</f>
        <v>-295</v>
      </c>
      <c r="J92" s="20">
        <f>IFERROR('Cash Flow Data'!J22,0)</f>
        <v>0</v>
      </c>
      <c r="K92" s="20">
        <f>IFERROR('Cash Flow Data'!K22,0)</f>
        <v>-90</v>
      </c>
      <c r="L92" s="20">
        <f>IFERROR('Cash Flow Data'!L22,0)</f>
        <v>200</v>
      </c>
      <c r="M92" s="20">
        <f>IFERROR('Cash Flow Data'!M22,0)</f>
        <v>0</v>
      </c>
    </row>
    <row r="93" spans="2:13">
      <c r="B93" t="s">
        <v>108</v>
      </c>
      <c r="C93" s="20">
        <f>IFERROR('Cash Flow Data'!C23,0)</f>
        <v>-203</v>
      </c>
      <c r="D93" s="20">
        <f>IFERROR('Cash Flow Data'!D23,0)</f>
        <v>1</v>
      </c>
      <c r="E93" s="20">
        <f>IFERROR('Cash Flow Data'!E23,0)</f>
        <v>-34</v>
      </c>
      <c r="F93" s="20">
        <f>IFERROR('Cash Flow Data'!F23,0)</f>
        <v>86</v>
      </c>
      <c r="G93" s="20">
        <f>IFERROR('Cash Flow Data'!G23,0)</f>
        <v>-390</v>
      </c>
      <c r="H93" s="20">
        <f>IFERROR('Cash Flow Data'!H23,0)</f>
        <v>234</v>
      </c>
      <c r="I93" s="20">
        <f>IFERROR('Cash Flow Data'!I23,0)</f>
        <v>-718</v>
      </c>
      <c r="J93" s="20">
        <f>IFERROR('Cash Flow Data'!J23,0)</f>
        <v>714</v>
      </c>
      <c r="K93" s="20">
        <f>IFERROR('Cash Flow Data'!K23,0)</f>
        <v>-322</v>
      </c>
      <c r="L93" s="20">
        <f>IFERROR('Cash Flow Data'!L23,0)</f>
        <v>-281</v>
      </c>
      <c r="M93" s="20">
        <f>IFERROR('Cash Flow Data'!M23,0)</f>
        <v>0</v>
      </c>
    </row>
    <row r="94" spans="2:13">
      <c r="B94" s="11" t="s">
        <v>122</v>
      </c>
      <c r="C94" s="20">
        <f>SUM(C83:C93)</f>
        <v>-186</v>
      </c>
      <c r="D94" s="20">
        <f t="shared" ref="D94:M94" si="24">SUM(D83:D93)</f>
        <v>-202</v>
      </c>
      <c r="E94" s="20">
        <f t="shared" si="24"/>
        <v>-126</v>
      </c>
      <c r="F94" s="20">
        <f t="shared" si="24"/>
        <v>59</v>
      </c>
      <c r="G94" s="20">
        <f t="shared" si="24"/>
        <v>-367</v>
      </c>
      <c r="H94" s="20">
        <f t="shared" si="24"/>
        <v>-22</v>
      </c>
      <c r="I94" s="20">
        <f t="shared" si="24"/>
        <v>-933</v>
      </c>
      <c r="J94" s="20">
        <f t="shared" si="24"/>
        <v>441</v>
      </c>
      <c r="K94" s="20">
        <f t="shared" si="24"/>
        <v>-928</v>
      </c>
      <c r="L94" s="20">
        <f t="shared" si="24"/>
        <v>127</v>
      </c>
      <c r="M94" s="20">
        <f t="shared" si="24"/>
        <v>0</v>
      </c>
    </row>
    <row r="96" spans="2:13">
      <c r="B96" s="11" t="s">
        <v>123</v>
      </c>
    </row>
    <row r="97" spans="2:13">
      <c r="B97" t="s">
        <v>110</v>
      </c>
      <c r="C97" s="20">
        <f>IFERROR('Cash Flow Data'!C25,0)</f>
        <v>1</v>
      </c>
      <c r="D97" s="20">
        <f>IFERROR('Cash Flow Data'!D25,0)</f>
        <v>0</v>
      </c>
      <c r="E97" s="20">
        <f>IFERROR('Cash Flow Data'!E25,0)</f>
        <v>0</v>
      </c>
      <c r="F97" s="20">
        <f>IFERROR('Cash Flow Data'!F25,0)</f>
        <v>0</v>
      </c>
      <c r="G97" s="20">
        <f>IFERROR('Cash Flow Data'!G25,0)</f>
        <v>0</v>
      </c>
      <c r="H97" s="20">
        <f>IFERROR('Cash Flow Data'!H25,0)</f>
        <v>0</v>
      </c>
      <c r="I97" s="20">
        <f>IFERROR('Cash Flow Data'!I25,0)</f>
        <v>6</v>
      </c>
      <c r="J97" s="20">
        <f>IFERROR('Cash Flow Data'!J25,0)</f>
        <v>41</v>
      </c>
      <c r="K97" s="20">
        <f>IFERROR('Cash Flow Data'!K25,0)</f>
        <v>9</v>
      </c>
      <c r="L97" s="20">
        <f>IFERROR('Cash Flow Data'!L25,0)</f>
        <v>34</v>
      </c>
      <c r="M97" s="20">
        <f>IFERROR('Cash Flow Data'!M25,0)</f>
        <v>0</v>
      </c>
    </row>
    <row r="98" spans="2:13">
      <c r="B98" t="s">
        <v>111</v>
      </c>
      <c r="C98" s="20">
        <f>IFERROR('Cash Flow Data'!C26,0)</f>
        <v>0</v>
      </c>
      <c r="D98" s="20">
        <f>IFERROR('Cash Flow Data'!D26,0)</f>
        <v>0</v>
      </c>
      <c r="E98" s="20">
        <f>IFERROR('Cash Flow Data'!E26,0)</f>
        <v>0</v>
      </c>
      <c r="F98" s="20">
        <f>IFERROR('Cash Flow Data'!F26,0)</f>
        <v>0</v>
      </c>
      <c r="G98" s="20">
        <f>IFERROR('Cash Flow Data'!G26,0)</f>
        <v>0</v>
      </c>
      <c r="H98" s="20">
        <f>IFERROR('Cash Flow Data'!H26,0)</f>
        <v>0</v>
      </c>
      <c r="I98" s="20">
        <f>IFERROR('Cash Flow Data'!I26,0)</f>
        <v>0</v>
      </c>
      <c r="J98" s="20">
        <f>IFERROR('Cash Flow Data'!J26,0)</f>
        <v>0</v>
      </c>
      <c r="K98" s="20">
        <f>IFERROR('Cash Flow Data'!K26,0)</f>
        <v>0</v>
      </c>
      <c r="L98" s="20">
        <f>IFERROR('Cash Flow Data'!L26,0)</f>
        <v>0</v>
      </c>
      <c r="M98" s="20">
        <f>IFERROR('Cash Flow Data'!M26,0)</f>
        <v>0</v>
      </c>
    </row>
    <row r="99" spans="2:13">
      <c r="B99" t="s">
        <v>112</v>
      </c>
      <c r="C99" s="20">
        <f>IFERROR('Cash Flow Data'!C27,0)</f>
        <v>-44</v>
      </c>
      <c r="D99" s="20">
        <f>IFERROR('Cash Flow Data'!D27,0)</f>
        <v>0</v>
      </c>
      <c r="E99" s="20">
        <f>IFERROR('Cash Flow Data'!E27,0)</f>
        <v>0</v>
      </c>
      <c r="F99" s="20">
        <f>IFERROR('Cash Flow Data'!F27,0)</f>
        <v>0</v>
      </c>
      <c r="G99" s="20">
        <f>IFERROR('Cash Flow Data'!G27,0)</f>
        <v>0</v>
      </c>
      <c r="H99" s="20">
        <f>IFERROR('Cash Flow Data'!H27,0)</f>
        <v>0</v>
      </c>
      <c r="I99" s="20">
        <f>IFERROR('Cash Flow Data'!I27,0)</f>
        <v>0</v>
      </c>
      <c r="J99" s="20">
        <f>IFERROR('Cash Flow Data'!J27,0)</f>
        <v>0</v>
      </c>
      <c r="K99" s="20">
        <f>IFERROR('Cash Flow Data'!K27,0)</f>
        <v>0</v>
      </c>
      <c r="L99" s="20">
        <f>IFERROR('Cash Flow Data'!L27,0)</f>
        <v>0</v>
      </c>
      <c r="M99" s="20">
        <f>IFERROR('Cash Flow Data'!M27,0)</f>
        <v>0</v>
      </c>
    </row>
    <row r="100" spans="2:13">
      <c r="B100" t="s">
        <v>113</v>
      </c>
      <c r="C100" s="20">
        <f>IFERROR('Cash Flow Data'!C28,0)</f>
        <v>0</v>
      </c>
      <c r="D100" s="20">
        <f>IFERROR('Cash Flow Data'!D28,0)</f>
        <v>0</v>
      </c>
      <c r="E100" s="20">
        <f>IFERROR('Cash Flow Data'!E28,0)</f>
        <v>0</v>
      </c>
      <c r="F100" s="20">
        <f>IFERROR('Cash Flow Data'!F28,0)</f>
        <v>0</v>
      </c>
      <c r="G100" s="20">
        <f>IFERROR('Cash Flow Data'!G28,0)</f>
        <v>40</v>
      </c>
      <c r="H100" s="20">
        <f>IFERROR('Cash Flow Data'!H28,0)</f>
        <v>0</v>
      </c>
      <c r="I100" s="20">
        <f>IFERROR('Cash Flow Data'!I28,0)</f>
        <v>13</v>
      </c>
      <c r="J100" s="20">
        <f>IFERROR('Cash Flow Data'!J28,0)</f>
        <v>0</v>
      </c>
      <c r="K100" s="20">
        <f>IFERROR('Cash Flow Data'!K28,0)</f>
        <v>132</v>
      </c>
      <c r="L100" s="20">
        <f>IFERROR('Cash Flow Data'!L28,0)</f>
        <v>2</v>
      </c>
      <c r="M100" s="20">
        <f>IFERROR('Cash Flow Data'!M28,0)</f>
        <v>0</v>
      </c>
    </row>
    <row r="101" spans="2:13">
      <c r="B101" t="s">
        <v>114</v>
      </c>
      <c r="C101" s="20">
        <f>IFERROR('Cash Flow Data'!C29,0)</f>
        <v>0</v>
      </c>
      <c r="D101" s="20">
        <f>IFERROR('Cash Flow Data'!D29,0)</f>
        <v>0</v>
      </c>
      <c r="E101" s="20">
        <f>IFERROR('Cash Flow Data'!E29,0)</f>
        <v>0</v>
      </c>
      <c r="F101" s="20">
        <f>IFERROR('Cash Flow Data'!F29,0)</f>
        <v>0</v>
      </c>
      <c r="G101" s="20">
        <f>IFERROR('Cash Flow Data'!G29,0)</f>
        <v>0</v>
      </c>
      <c r="H101" s="20">
        <f>IFERROR('Cash Flow Data'!H29,0)</f>
        <v>-15</v>
      </c>
      <c r="I101" s="20">
        <f>IFERROR('Cash Flow Data'!I29,0)</f>
        <v>0</v>
      </c>
      <c r="J101" s="20">
        <f>IFERROR('Cash Flow Data'!J29,0)</f>
        <v>-11</v>
      </c>
      <c r="K101" s="20">
        <f>IFERROR('Cash Flow Data'!K29,0)</f>
        <v>0</v>
      </c>
      <c r="L101" s="20">
        <f>IFERROR('Cash Flow Data'!L29,0)</f>
        <v>-91</v>
      </c>
      <c r="M101" s="20">
        <f>IFERROR('Cash Flow Data'!M29,0)</f>
        <v>0</v>
      </c>
    </row>
    <row r="102" spans="2:13">
      <c r="B102" t="s">
        <v>115</v>
      </c>
      <c r="C102" s="20">
        <f>IFERROR('Cash Flow Data'!C30,0)</f>
        <v>-23</v>
      </c>
      <c r="D102" s="20">
        <f>IFERROR('Cash Flow Data'!D30,0)</f>
        <v>-21</v>
      </c>
      <c r="E102" s="20">
        <f>IFERROR('Cash Flow Data'!E30,0)</f>
        <v>-17</v>
      </c>
      <c r="F102" s="20">
        <f>IFERROR('Cash Flow Data'!F30,0)</f>
        <v>-16</v>
      </c>
      <c r="G102" s="20">
        <f>IFERROR('Cash Flow Data'!G30,0)</f>
        <v>-39</v>
      </c>
      <c r="H102" s="20">
        <f>IFERROR('Cash Flow Data'!H30,0)</f>
        <v>-50</v>
      </c>
      <c r="I102" s="20">
        <f>IFERROR('Cash Flow Data'!I30,0)</f>
        <v>-34</v>
      </c>
      <c r="J102" s="20">
        <f>IFERROR('Cash Flow Data'!J30,0)</f>
        <v>-39</v>
      </c>
      <c r="K102" s="20">
        <f>IFERROR('Cash Flow Data'!K30,0)</f>
        <v>-53</v>
      </c>
      <c r="L102" s="20">
        <f>IFERROR('Cash Flow Data'!L30,0)</f>
        <v>-65</v>
      </c>
      <c r="M102" s="20">
        <f>IFERROR('Cash Flow Data'!M30,0)</f>
        <v>0</v>
      </c>
    </row>
    <row r="103" spans="2:13">
      <c r="B103" t="s">
        <v>116</v>
      </c>
      <c r="C103" s="20">
        <f>IFERROR('Cash Flow Data'!C31,0)</f>
        <v>-300</v>
      </c>
      <c r="D103" s="20">
        <f>IFERROR('Cash Flow Data'!D31,0)</f>
        <v>-502</v>
      </c>
      <c r="E103" s="20">
        <f>IFERROR('Cash Flow Data'!E31,0)</f>
        <v>-509</v>
      </c>
      <c r="F103" s="20">
        <f>IFERROR('Cash Flow Data'!F31,0)</f>
        <v>-636</v>
      </c>
      <c r="G103" s="20">
        <f>IFERROR('Cash Flow Data'!G31,0)</f>
        <v>-682</v>
      </c>
      <c r="H103" s="20">
        <f>IFERROR('Cash Flow Data'!H31,0)</f>
        <v>-1026</v>
      </c>
      <c r="I103" s="20">
        <f>IFERROR('Cash Flow Data'!I31,0)</f>
        <v>-990</v>
      </c>
      <c r="J103" s="20">
        <f>IFERROR('Cash Flow Data'!J31,0)</f>
        <v>-1217</v>
      </c>
      <c r="K103" s="20">
        <f>IFERROR('Cash Flow Data'!K31,0)</f>
        <v>-607</v>
      </c>
      <c r="L103" s="20">
        <f>IFERROR('Cash Flow Data'!L31,0)</f>
        <v>-1229</v>
      </c>
      <c r="M103" s="20">
        <f>IFERROR('Cash Flow Data'!M31,0)</f>
        <v>0</v>
      </c>
    </row>
    <row r="104" spans="2:13">
      <c r="B104" t="s">
        <v>117</v>
      </c>
      <c r="C104" s="20">
        <f>IFERROR('Cash Flow Data'!C32,0)</f>
        <v>0</v>
      </c>
      <c r="D104" s="20">
        <f>IFERROR('Cash Flow Data'!D32,0)</f>
        <v>0</v>
      </c>
      <c r="E104" s="20">
        <f>IFERROR('Cash Flow Data'!E32,0)</f>
        <v>0</v>
      </c>
      <c r="F104" s="20">
        <f>IFERROR('Cash Flow Data'!F32,0)</f>
        <v>0</v>
      </c>
      <c r="G104" s="20">
        <f>IFERROR('Cash Flow Data'!G32,0)</f>
        <v>-29</v>
      </c>
      <c r="H104" s="20">
        <f>IFERROR('Cash Flow Data'!H32,0)</f>
        <v>-38</v>
      </c>
      <c r="I104" s="20">
        <f>IFERROR('Cash Flow Data'!I32,0)</f>
        <v>-44</v>
      </c>
      <c r="J104" s="20">
        <f>IFERROR('Cash Flow Data'!J32,0)</f>
        <v>-64</v>
      </c>
      <c r="K104" s="20">
        <f>IFERROR('Cash Flow Data'!K32,0)</f>
        <v>-41</v>
      </c>
      <c r="L104" s="20">
        <f>IFERROR('Cash Flow Data'!L32,0)</f>
        <v>-52</v>
      </c>
      <c r="M104" s="20">
        <f>IFERROR('Cash Flow Data'!M32,0)</f>
        <v>0</v>
      </c>
    </row>
    <row r="105" spans="2:13">
      <c r="B105" t="s">
        <v>118</v>
      </c>
      <c r="C105" s="20">
        <f>IFERROR('Cash Flow Data'!C33,0)</f>
        <v>-259</v>
      </c>
      <c r="D105" s="20">
        <f>IFERROR('Cash Flow Data'!D33,0)</f>
        <v>-78</v>
      </c>
      <c r="E105" s="20">
        <f>IFERROR('Cash Flow Data'!E33,0)</f>
        <v>-48</v>
      </c>
      <c r="F105" s="20">
        <f>IFERROR('Cash Flow Data'!F33,0)</f>
        <v>85</v>
      </c>
      <c r="G105" s="20">
        <f>IFERROR('Cash Flow Data'!G33,0)</f>
        <v>12</v>
      </c>
      <c r="H105" s="20">
        <f>IFERROR('Cash Flow Data'!H33,0)</f>
        <v>-18</v>
      </c>
      <c r="I105" s="20">
        <f>IFERROR('Cash Flow Data'!I33,0)</f>
        <v>-9</v>
      </c>
      <c r="J105" s="20">
        <f>IFERROR('Cash Flow Data'!J33,0)</f>
        <v>0</v>
      </c>
      <c r="K105" s="20">
        <f>IFERROR('Cash Flow Data'!K33,0)</f>
        <v>0</v>
      </c>
      <c r="L105" s="20">
        <f>IFERROR('Cash Flow Data'!L33,0)</f>
        <v>-141</v>
      </c>
      <c r="M105" s="20">
        <f>IFERROR('Cash Flow Data'!M33,0)</f>
        <v>0</v>
      </c>
    </row>
    <row r="106" spans="2:13">
      <c r="B106" s="11" t="s">
        <v>124</v>
      </c>
      <c r="C106" s="20">
        <f>SUM(C97:C105)</f>
        <v>-625</v>
      </c>
      <c r="D106" s="20">
        <f t="shared" ref="D106:L106" si="25">SUM(D97:D105)</f>
        <v>-601</v>
      </c>
      <c r="E106" s="20">
        <f t="shared" si="25"/>
        <v>-574</v>
      </c>
      <c r="F106" s="20">
        <f t="shared" si="25"/>
        <v>-567</v>
      </c>
      <c r="G106" s="20">
        <f t="shared" si="25"/>
        <v>-698</v>
      </c>
      <c r="H106" s="20">
        <f t="shared" si="25"/>
        <v>-1147</v>
      </c>
      <c r="I106" s="20">
        <f t="shared" si="25"/>
        <v>-1058</v>
      </c>
      <c r="J106" s="20">
        <f t="shared" si="25"/>
        <v>-1290</v>
      </c>
      <c r="K106" s="20">
        <f t="shared" si="25"/>
        <v>-560</v>
      </c>
      <c r="L106" s="20">
        <f t="shared" si="25"/>
        <v>-1542</v>
      </c>
      <c r="M106" s="20">
        <f>SUM(M97:M105)</f>
        <v>0</v>
      </c>
    </row>
    <row r="108" spans="2:13">
      <c r="B108" s="11" t="s">
        <v>52</v>
      </c>
      <c r="C108" s="26">
        <f>IFERROR(C106+C94+C80,0)</f>
        <v>-164</v>
      </c>
      <c r="D108" s="26">
        <f t="shared" ref="D108:M108" si="26">IFERROR(D106+D94+D80,0)</f>
        <v>-5</v>
      </c>
      <c r="E108" s="26">
        <f t="shared" si="26"/>
        <v>-321</v>
      </c>
      <c r="F108" s="26">
        <f t="shared" si="26"/>
        <v>-341</v>
      </c>
      <c r="G108" s="26">
        <f t="shared" si="26"/>
        <v>18</v>
      </c>
      <c r="H108" s="26">
        <f t="shared" si="26"/>
        <v>74</v>
      </c>
      <c r="I108" s="26">
        <f t="shared" si="26"/>
        <v>691</v>
      </c>
      <c r="J108" s="26">
        <f t="shared" si="26"/>
        <v>-175</v>
      </c>
      <c r="K108" s="26">
        <f t="shared" si="26"/>
        <v>-128</v>
      </c>
      <c r="L108" s="26">
        <f t="shared" si="26"/>
        <v>-205</v>
      </c>
      <c r="M108" s="26">
        <f t="shared" si="26"/>
        <v>0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 D15:L15 M21 M24 M32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dimension ref="A1:L93"/>
  <sheetViews>
    <sheetView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K56" sqref="G56:K56"/>
    </sheetView>
  </sheetViews>
  <sheetFormatPr defaultColWidth="10.453125" defaultRowHeight="12.5"/>
  <cols>
    <col min="1" max="1" width="26.7265625" style="2" bestFit="1" customWidth="1"/>
    <col min="2" max="11" width="11.453125" style="2" bestFit="1" customWidth="1"/>
    <col min="12" max="16384" width="10.453125" style="2"/>
  </cols>
  <sheetData>
    <row r="1" spans="1:11" s="1" customFormat="1" ht="13">
      <c r="A1" s="1" t="s">
        <v>0</v>
      </c>
      <c r="B1" s="1" t="s">
        <v>1</v>
      </c>
      <c r="E1" s="154" t="str">
        <f>IF(B2&lt;&gt;B3, "A NEW VERSION OF THE WORKSHEET IS AVAILABLE", "")</f>
        <v/>
      </c>
      <c r="F1" s="154"/>
      <c r="G1" s="154"/>
      <c r="H1" s="154"/>
      <c r="I1" s="154"/>
      <c r="J1" s="154"/>
      <c r="K1" s="154"/>
    </row>
    <row r="2" spans="1:11" ht="13">
      <c r="A2" s="1" t="s">
        <v>2</v>
      </c>
      <c r="B2" s="2">
        <v>2.1</v>
      </c>
      <c r="E2" s="155" t="s">
        <v>3</v>
      </c>
      <c r="F2" s="155"/>
      <c r="G2" s="155"/>
      <c r="H2" s="155"/>
      <c r="I2" s="155"/>
      <c r="J2" s="155"/>
      <c r="K2" s="155"/>
    </row>
    <row r="3" spans="1:11" ht="13">
      <c r="A3" s="1" t="s">
        <v>4</v>
      </c>
      <c r="B3" s="2">
        <v>2.1</v>
      </c>
    </row>
    <row r="4" spans="1:11" ht="13">
      <c r="A4" s="1"/>
    </row>
    <row r="5" spans="1:11" ht="13">
      <c r="A5" s="1" t="s">
        <v>5</v>
      </c>
    </row>
    <row r="6" spans="1:11">
      <c r="A6" s="2" t="s">
        <v>6</v>
      </c>
      <c r="B6" s="2">
        <f>IF(B9&gt;0, B9/B8, 0)</f>
        <v>129.51521771884887</v>
      </c>
    </row>
    <row r="7" spans="1:11">
      <c r="A7" s="2" t="s">
        <v>7</v>
      </c>
      <c r="B7" s="3">
        <v>1</v>
      </c>
    </row>
    <row r="8" spans="1:11">
      <c r="A8" s="2" t="s">
        <v>8</v>
      </c>
      <c r="B8" s="3">
        <v>663.7</v>
      </c>
    </row>
    <row r="9" spans="1:11">
      <c r="A9" s="2" t="s">
        <v>9</v>
      </c>
      <c r="B9" s="3">
        <v>85959.25</v>
      </c>
    </row>
    <row r="15" spans="1:11" ht="13">
      <c r="A15" s="1" t="s">
        <v>10</v>
      </c>
      <c r="B15" s="2">
        <f>B26+B34</f>
        <v>1001.8500000000001</v>
      </c>
      <c r="K15" s="2">
        <f>K17-K18-K20-K21-K22-K23-K19</f>
        <v>858</v>
      </c>
    </row>
    <row r="16" spans="1:11" s="6" customFormat="1" ht="13">
      <c r="A16" s="4" t="s">
        <v>11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>
      <c r="A17" s="2" t="s">
        <v>12</v>
      </c>
      <c r="B17" s="3">
        <v>5732.98</v>
      </c>
      <c r="C17" s="3">
        <v>6017.32</v>
      </c>
      <c r="D17" s="3">
        <v>5917.79</v>
      </c>
      <c r="E17" s="3">
        <v>6322</v>
      </c>
      <c r="F17" s="3">
        <v>7334</v>
      </c>
      <c r="G17" s="3">
        <v>7315</v>
      </c>
      <c r="H17" s="3">
        <v>8048</v>
      </c>
      <c r="I17" s="3">
        <v>9512</v>
      </c>
      <c r="J17" s="3">
        <v>9764</v>
      </c>
      <c r="K17" s="3">
        <v>9653</v>
      </c>
    </row>
    <row r="18" spans="1:11" ht="14.5">
      <c r="A18" s="2" t="s">
        <v>13</v>
      </c>
      <c r="B18" s="7">
        <v>2721.83</v>
      </c>
      <c r="C18" s="7">
        <v>3010.45</v>
      </c>
      <c r="D18" s="7">
        <v>2430.11</v>
      </c>
      <c r="E18" s="7">
        <v>3129</v>
      </c>
      <c r="F18" s="7">
        <v>3627</v>
      </c>
      <c r="G18" s="7">
        <v>3072</v>
      </c>
      <c r="H18" s="7">
        <v>3756</v>
      </c>
      <c r="I18" s="7">
        <v>4992</v>
      </c>
      <c r="J18" s="7">
        <v>4579</v>
      </c>
      <c r="K18" s="7">
        <v>4149</v>
      </c>
    </row>
    <row r="19" spans="1:11" ht="14.5">
      <c r="A19" s="2" t="s">
        <v>14</v>
      </c>
      <c r="B19" s="7">
        <v>109.53</v>
      </c>
      <c r="C19" s="7">
        <v>-60.1</v>
      </c>
      <c r="D19" s="7">
        <v>56.67</v>
      </c>
      <c r="E19" s="7">
        <v>220</v>
      </c>
      <c r="F19" s="7">
        <v>123</v>
      </c>
      <c r="G19" s="7">
        <v>-140</v>
      </c>
      <c r="H19" s="7">
        <v>-47</v>
      </c>
      <c r="I19" s="7">
        <v>116</v>
      </c>
      <c r="J19" s="7">
        <v>-161</v>
      </c>
      <c r="K19" s="7">
        <v>-55</v>
      </c>
    </row>
    <row r="20" spans="1:11">
      <c r="A20" s="2" t="s">
        <v>15</v>
      </c>
      <c r="B20" s="3">
        <v>31.7</v>
      </c>
      <c r="C20" s="3">
        <v>31.06</v>
      </c>
      <c r="D20" s="3">
        <v>29.32</v>
      </c>
      <c r="E20" s="3">
        <v>34</v>
      </c>
      <c r="F20" s="3">
        <v>37</v>
      </c>
      <c r="G20" s="3">
        <v>36</v>
      </c>
      <c r="H20" s="3">
        <v>27</v>
      </c>
      <c r="I20" s="3">
        <v>32</v>
      </c>
      <c r="J20" s="3">
        <v>35</v>
      </c>
      <c r="K20" s="3">
        <v>37</v>
      </c>
    </row>
    <row r="21" spans="1:11">
      <c r="A21" s="2" t="s">
        <v>16</v>
      </c>
      <c r="B21" s="3">
        <v>765.4</v>
      </c>
      <c r="C21" s="3">
        <v>262.14</v>
      </c>
      <c r="D21" s="3">
        <v>725.24</v>
      </c>
      <c r="E21" s="3">
        <v>729</v>
      </c>
      <c r="F21" s="3">
        <v>825</v>
      </c>
      <c r="G21" s="3">
        <v>850</v>
      </c>
      <c r="H21" s="3">
        <v>772</v>
      </c>
      <c r="I21" s="3">
        <v>880</v>
      </c>
      <c r="J21" s="3">
        <v>928</v>
      </c>
      <c r="K21" s="3">
        <v>887</v>
      </c>
    </row>
    <row r="22" spans="1:11">
      <c r="A22" s="2" t="s">
        <v>17</v>
      </c>
      <c r="B22" s="3">
        <v>326.43</v>
      </c>
      <c r="C22" s="3">
        <v>374.71</v>
      </c>
      <c r="D22" s="3">
        <v>406</v>
      </c>
      <c r="E22" s="3">
        <v>422</v>
      </c>
      <c r="F22" s="3">
        <v>466</v>
      </c>
      <c r="G22" s="3">
        <v>478</v>
      </c>
      <c r="H22" s="3">
        <v>570</v>
      </c>
      <c r="I22" s="3">
        <v>586</v>
      </c>
      <c r="J22" s="3">
        <v>653</v>
      </c>
      <c r="K22" s="3">
        <v>743</v>
      </c>
    </row>
    <row r="23" spans="1:11">
      <c r="A23" s="2" t="s">
        <v>18</v>
      </c>
      <c r="B23" s="3">
        <v>1085.46</v>
      </c>
      <c r="C23" s="3">
        <v>1119.56</v>
      </c>
      <c r="D23" s="3">
        <v>1158.93</v>
      </c>
      <c r="E23" s="3">
        <v>1556</v>
      </c>
      <c r="F23" s="3">
        <v>1701</v>
      </c>
      <c r="G23" s="3">
        <v>1931</v>
      </c>
      <c r="H23" s="3">
        <v>1960</v>
      </c>
      <c r="I23" s="3">
        <v>2364</v>
      </c>
      <c r="J23" s="3">
        <v>2715</v>
      </c>
      <c r="K23" s="3">
        <v>3034</v>
      </c>
    </row>
    <row r="24" spans="1:11">
      <c r="A24" s="2" t="s">
        <v>19</v>
      </c>
      <c r="B24" s="3">
        <v>41.64</v>
      </c>
      <c r="C24" s="3">
        <v>107.92</v>
      </c>
      <c r="D24" s="3">
        <v>65.59</v>
      </c>
      <c r="E24" s="3">
        <v>-465</v>
      </c>
      <c r="F24" s="3">
        <v>-524</v>
      </c>
      <c r="G24" s="3">
        <v>-661</v>
      </c>
      <c r="H24" s="3">
        <v>-673</v>
      </c>
      <c r="I24" s="3">
        <v>-907</v>
      </c>
      <c r="J24" s="3">
        <v>-1117</v>
      </c>
      <c r="K24" s="3">
        <v>-1278</v>
      </c>
    </row>
    <row r="25" spans="1:11">
      <c r="A25" s="2" t="s">
        <v>20</v>
      </c>
      <c r="B25" s="3">
        <v>58.89</v>
      </c>
      <c r="C25" s="3">
        <v>92.8</v>
      </c>
      <c r="D25" s="3">
        <v>96.31</v>
      </c>
      <c r="E25" s="3">
        <v>85</v>
      </c>
      <c r="F25" s="3">
        <v>103</v>
      </c>
      <c r="G25" s="3">
        <v>95</v>
      </c>
      <c r="H25" s="3">
        <v>107</v>
      </c>
      <c r="I25" s="3">
        <v>98</v>
      </c>
      <c r="J25" s="3">
        <v>144</v>
      </c>
      <c r="K25" s="3">
        <v>142</v>
      </c>
    </row>
    <row r="26" spans="1:11">
      <c r="A26" s="2" t="s">
        <v>21</v>
      </c>
      <c r="B26" s="3">
        <v>84.34</v>
      </c>
      <c r="C26" s="3">
        <v>94.86</v>
      </c>
      <c r="D26" s="3">
        <v>90.3</v>
      </c>
      <c r="E26" s="3">
        <v>89</v>
      </c>
      <c r="F26" s="3">
        <v>131</v>
      </c>
      <c r="G26" s="3">
        <v>140</v>
      </c>
      <c r="H26" s="3">
        <v>139</v>
      </c>
      <c r="I26" s="3">
        <v>139</v>
      </c>
      <c r="J26" s="3">
        <v>155</v>
      </c>
      <c r="K26" s="3">
        <v>158</v>
      </c>
    </row>
    <row r="27" spans="1:11" ht="14.5">
      <c r="A27" s="2" t="s">
        <v>22</v>
      </c>
      <c r="B27" s="3">
        <v>22.95</v>
      </c>
      <c r="C27" s="3">
        <v>20.62</v>
      </c>
      <c r="D27" s="3">
        <v>16.579999999999998</v>
      </c>
      <c r="E27" s="3">
        <v>16</v>
      </c>
      <c r="F27" s="3">
        <v>40</v>
      </c>
      <c r="G27" s="3">
        <v>50</v>
      </c>
      <c r="H27" s="3">
        <v>34</v>
      </c>
      <c r="I27" s="3">
        <v>39</v>
      </c>
      <c r="J27" s="7">
        <v>56</v>
      </c>
      <c r="K27" s="7">
        <v>73</v>
      </c>
    </row>
    <row r="28" spans="1:11">
      <c r="A28" s="2" t="s">
        <v>23</v>
      </c>
      <c r="B28" s="3">
        <v>821.65</v>
      </c>
      <c r="C28" s="3">
        <v>1028.7</v>
      </c>
      <c r="D28" s="3">
        <v>1148.7</v>
      </c>
      <c r="E28" s="3">
        <v>1117</v>
      </c>
      <c r="F28" s="3">
        <v>1257</v>
      </c>
      <c r="G28" s="3">
        <v>1374</v>
      </c>
      <c r="H28" s="3">
        <v>1523</v>
      </c>
      <c r="I28" s="3">
        <v>1601</v>
      </c>
      <c r="J28" s="3">
        <v>1743</v>
      </c>
      <c r="K28" s="3">
        <v>1937</v>
      </c>
    </row>
    <row r="29" spans="1:11">
      <c r="A29" s="2" t="s">
        <v>24</v>
      </c>
      <c r="B29" s="3">
        <v>236.77</v>
      </c>
      <c r="C29" s="3">
        <v>305.37</v>
      </c>
      <c r="D29" s="3">
        <v>337.73</v>
      </c>
      <c r="E29" s="3">
        <v>290</v>
      </c>
      <c r="F29" s="3">
        <v>126</v>
      </c>
      <c r="G29" s="3">
        <v>331</v>
      </c>
      <c r="H29" s="3">
        <v>324</v>
      </c>
      <c r="I29" s="3">
        <v>346</v>
      </c>
      <c r="J29" s="3">
        <v>421</v>
      </c>
      <c r="K29" s="3">
        <v>435</v>
      </c>
    </row>
    <row r="30" spans="1:11">
      <c r="A30" s="2" t="s">
        <v>25</v>
      </c>
      <c r="B30" s="3">
        <v>573.45000000000005</v>
      </c>
      <c r="C30" s="3">
        <v>711.48</v>
      </c>
      <c r="D30" s="3">
        <v>798.59</v>
      </c>
      <c r="E30" s="3">
        <v>814</v>
      </c>
      <c r="F30" s="3">
        <v>1114</v>
      </c>
      <c r="G30" s="3">
        <v>1021</v>
      </c>
      <c r="H30" s="3">
        <v>1172</v>
      </c>
      <c r="I30" s="3">
        <v>1225</v>
      </c>
      <c r="J30" s="3">
        <v>1302</v>
      </c>
      <c r="K30" s="3">
        <v>1481</v>
      </c>
    </row>
    <row r="31" spans="1:11">
      <c r="A31" s="2" t="s">
        <v>26</v>
      </c>
      <c r="B31" s="3">
        <v>161.25</v>
      </c>
      <c r="C31" s="3">
        <v>548.34</v>
      </c>
      <c r="D31" s="3">
        <v>451.68</v>
      </c>
      <c r="E31" s="3">
        <v>548.25</v>
      </c>
      <c r="F31" s="3">
        <v>612.75</v>
      </c>
      <c r="G31" s="3">
        <v>870.75</v>
      </c>
      <c r="H31" s="3">
        <v>967.5</v>
      </c>
      <c r="I31" s="3">
        <v>1193.25</v>
      </c>
      <c r="J31" s="3">
        <v>580.5</v>
      </c>
      <c r="K31" s="3">
        <v>1225.5</v>
      </c>
    </row>
    <row r="32" spans="1:11">
      <c r="A32" s="2" t="s">
        <v>27</v>
      </c>
      <c r="B32" s="8">
        <f>B29/B28</f>
        <v>0.28816406012292339</v>
      </c>
      <c r="C32" s="8">
        <f t="shared" ref="C32:K32" si="0">C29/C28</f>
        <v>0.29685039370078742</v>
      </c>
      <c r="D32" s="8">
        <f t="shared" si="0"/>
        <v>0.29401062070166273</v>
      </c>
      <c r="E32" s="8">
        <f t="shared" si="0"/>
        <v>0.25962399283795884</v>
      </c>
      <c r="F32" s="8">
        <f t="shared" si="0"/>
        <v>0.10023866348448687</v>
      </c>
      <c r="G32" s="8">
        <f t="shared" si="0"/>
        <v>0.24090247452692867</v>
      </c>
      <c r="H32" s="8">
        <f t="shared" si="0"/>
        <v>0.21273801707156928</v>
      </c>
      <c r="I32" s="8">
        <f t="shared" si="0"/>
        <v>0.21611492816989381</v>
      </c>
      <c r="J32" s="8">
        <f t="shared" si="0"/>
        <v>0.24153757888697647</v>
      </c>
      <c r="K32" s="8">
        <f t="shared" si="0"/>
        <v>0.22457408363448633</v>
      </c>
    </row>
    <row r="34" spans="1:11">
      <c r="A34" s="2" t="s">
        <v>28</v>
      </c>
      <c r="B34" s="2">
        <f>+B30+B29+B27+B26</f>
        <v>917.5100000000001</v>
      </c>
      <c r="C34" s="2">
        <f t="shared" ref="C34:K34" si="1">+C30+C29+C27+C26</f>
        <v>1132.33</v>
      </c>
      <c r="D34" s="2">
        <f t="shared" si="1"/>
        <v>1243.2</v>
      </c>
      <c r="E34" s="2">
        <f t="shared" si="1"/>
        <v>1209</v>
      </c>
      <c r="F34" s="2">
        <f t="shared" si="1"/>
        <v>1411</v>
      </c>
      <c r="G34" s="2">
        <f t="shared" si="1"/>
        <v>1542</v>
      </c>
      <c r="H34" s="2">
        <f t="shared" si="1"/>
        <v>1669</v>
      </c>
      <c r="I34" s="2">
        <f t="shared" si="1"/>
        <v>1749</v>
      </c>
      <c r="J34" s="2">
        <f t="shared" si="1"/>
        <v>1934</v>
      </c>
      <c r="K34" s="2">
        <f t="shared" si="1"/>
        <v>2147</v>
      </c>
    </row>
    <row r="40" spans="1:11" ht="13">
      <c r="A40" s="1" t="s">
        <v>29</v>
      </c>
    </row>
    <row r="41" spans="1:11" s="6" customFormat="1" ht="13">
      <c r="A41" s="4" t="s">
        <v>11</v>
      </c>
      <c r="B41" s="5">
        <v>44834</v>
      </c>
      <c r="C41" s="5">
        <v>44926</v>
      </c>
      <c r="D41" s="5">
        <v>45016</v>
      </c>
      <c r="E41" s="5">
        <v>45107</v>
      </c>
      <c r="F41" s="5">
        <v>45199</v>
      </c>
      <c r="G41" s="5">
        <v>45291</v>
      </c>
      <c r="H41" s="5">
        <v>45382</v>
      </c>
      <c r="I41" s="5">
        <v>45473</v>
      </c>
      <c r="J41" s="5">
        <v>45565</v>
      </c>
      <c r="K41" s="5">
        <v>45657</v>
      </c>
    </row>
    <row r="42" spans="1:11">
      <c r="A42" s="2" t="s">
        <v>12</v>
      </c>
      <c r="B42" s="3">
        <v>2496</v>
      </c>
      <c r="C42" s="3">
        <v>2470</v>
      </c>
      <c r="D42" s="3">
        <v>2240</v>
      </c>
      <c r="E42" s="3">
        <v>2477</v>
      </c>
      <c r="F42" s="3">
        <v>2476</v>
      </c>
      <c r="G42" s="3">
        <v>2422</v>
      </c>
      <c r="H42" s="3">
        <v>2278</v>
      </c>
      <c r="I42" s="3">
        <v>2643</v>
      </c>
      <c r="J42" s="3">
        <v>2664</v>
      </c>
      <c r="K42" s="3">
        <v>2794</v>
      </c>
    </row>
    <row r="43" spans="1:11">
      <c r="A43" s="2" t="s">
        <v>30</v>
      </c>
      <c r="B43" s="3">
        <v>2063</v>
      </c>
      <c r="C43" s="3">
        <v>2014</v>
      </c>
      <c r="D43" s="3">
        <v>1847</v>
      </c>
      <c r="E43" s="3">
        <v>1903</v>
      </c>
      <c r="F43" s="3">
        <v>1979</v>
      </c>
      <c r="G43" s="3">
        <v>1909</v>
      </c>
      <c r="H43" s="3">
        <v>1836</v>
      </c>
      <c r="I43" s="3">
        <v>2017</v>
      </c>
      <c r="J43" s="3">
        <v>2142</v>
      </c>
      <c r="K43" s="3">
        <v>2261</v>
      </c>
    </row>
    <row r="44" spans="1:11">
      <c r="A44" s="2" t="s">
        <v>20</v>
      </c>
      <c r="B44" s="3">
        <v>19</v>
      </c>
      <c r="C44" s="3">
        <v>40</v>
      </c>
      <c r="D44" s="3">
        <v>68</v>
      </c>
      <c r="E44" s="3">
        <v>46</v>
      </c>
      <c r="F44" s="3">
        <v>38</v>
      </c>
      <c r="G44" s="3">
        <v>43</v>
      </c>
      <c r="H44" s="3">
        <v>15</v>
      </c>
      <c r="I44" s="3">
        <v>37</v>
      </c>
      <c r="J44" s="3">
        <v>82</v>
      </c>
      <c r="K44" s="3">
        <v>42</v>
      </c>
    </row>
    <row r="45" spans="1:11">
      <c r="A45" s="2" t="s">
        <v>21</v>
      </c>
      <c r="B45" s="3">
        <v>37</v>
      </c>
      <c r="C45" s="3">
        <v>39</v>
      </c>
      <c r="D45" s="3">
        <v>43</v>
      </c>
      <c r="E45" s="3">
        <v>36</v>
      </c>
      <c r="F45" s="3">
        <v>39</v>
      </c>
      <c r="G45" s="3">
        <v>42</v>
      </c>
      <c r="H45" s="3">
        <v>41</v>
      </c>
      <c r="I45" s="3">
        <v>41</v>
      </c>
      <c r="J45" s="3">
        <v>41</v>
      </c>
      <c r="K45" s="3">
        <v>44</v>
      </c>
    </row>
    <row r="46" spans="1:11" ht="14.5">
      <c r="A46" s="2" t="s">
        <v>22</v>
      </c>
      <c r="B46" s="7">
        <v>15</v>
      </c>
      <c r="C46" s="7">
        <v>14</v>
      </c>
      <c r="D46" s="7">
        <v>17</v>
      </c>
      <c r="E46" s="7">
        <v>17</v>
      </c>
      <c r="F46" s="7">
        <v>20</v>
      </c>
      <c r="G46" s="7">
        <v>19</v>
      </c>
      <c r="H46" s="7">
        <v>17</v>
      </c>
      <c r="I46" s="7">
        <v>17</v>
      </c>
      <c r="J46" s="7">
        <v>11</v>
      </c>
      <c r="K46" s="7">
        <v>13</v>
      </c>
    </row>
    <row r="47" spans="1:11">
      <c r="A47" s="2" t="s">
        <v>23</v>
      </c>
      <c r="B47" s="3">
        <v>400</v>
      </c>
      <c r="C47" s="3">
        <v>443</v>
      </c>
      <c r="D47" s="3">
        <v>401</v>
      </c>
      <c r="E47" s="3">
        <v>567</v>
      </c>
      <c r="F47" s="3">
        <v>476</v>
      </c>
      <c r="G47" s="3">
        <v>495</v>
      </c>
      <c r="H47" s="3">
        <v>399</v>
      </c>
      <c r="I47" s="3">
        <v>605</v>
      </c>
      <c r="J47" s="3">
        <v>552</v>
      </c>
      <c r="K47" s="3">
        <v>518</v>
      </c>
    </row>
    <row r="48" spans="1:11">
      <c r="A48" s="2" t="s">
        <v>24</v>
      </c>
      <c r="B48" s="3">
        <v>93</v>
      </c>
      <c r="C48" s="3">
        <v>110</v>
      </c>
      <c r="D48" s="3">
        <v>96</v>
      </c>
      <c r="E48" s="3">
        <v>131</v>
      </c>
      <c r="F48" s="3">
        <v>116</v>
      </c>
      <c r="G48" s="3">
        <v>109</v>
      </c>
      <c r="H48" s="3">
        <v>79</v>
      </c>
      <c r="I48" s="3">
        <v>131</v>
      </c>
      <c r="J48" s="3">
        <v>119</v>
      </c>
      <c r="K48" s="3">
        <v>112</v>
      </c>
    </row>
    <row r="49" spans="1:11">
      <c r="A49" s="2" t="s">
        <v>25</v>
      </c>
      <c r="B49" s="3">
        <v>301</v>
      </c>
      <c r="C49" s="3">
        <v>328</v>
      </c>
      <c r="D49" s="3">
        <v>302</v>
      </c>
      <c r="E49" s="3">
        <v>427</v>
      </c>
      <c r="F49" s="3">
        <v>353</v>
      </c>
      <c r="G49" s="3">
        <v>383</v>
      </c>
      <c r="H49" s="3">
        <v>318</v>
      </c>
      <c r="I49" s="3">
        <v>464</v>
      </c>
      <c r="J49" s="3">
        <v>423</v>
      </c>
      <c r="K49" s="3">
        <v>399</v>
      </c>
    </row>
    <row r="50" spans="1:11">
      <c r="A50" s="2" t="s">
        <v>31</v>
      </c>
      <c r="B50" s="3">
        <v>433</v>
      </c>
      <c r="C50" s="3">
        <v>456</v>
      </c>
      <c r="D50" s="3">
        <v>393</v>
      </c>
      <c r="E50" s="3">
        <v>574</v>
      </c>
      <c r="F50" s="3">
        <v>497</v>
      </c>
      <c r="G50" s="3">
        <v>513</v>
      </c>
      <c r="H50" s="3">
        <v>442</v>
      </c>
      <c r="I50" s="3">
        <v>626</v>
      </c>
      <c r="J50" s="3">
        <v>522</v>
      </c>
      <c r="K50" s="3">
        <v>533</v>
      </c>
    </row>
    <row r="51" spans="1:11">
      <c r="A51" s="2" t="s">
        <v>28</v>
      </c>
      <c r="B51" s="2">
        <f>B49+B48+B46+B45</f>
        <v>446</v>
      </c>
      <c r="C51" s="2">
        <f t="shared" ref="C51:K51" si="2">C49+C48+C46+C45</f>
        <v>491</v>
      </c>
      <c r="D51" s="2">
        <f t="shared" si="2"/>
        <v>458</v>
      </c>
      <c r="E51" s="2">
        <f t="shared" si="2"/>
        <v>611</v>
      </c>
      <c r="F51" s="2">
        <f t="shared" si="2"/>
        <v>528</v>
      </c>
      <c r="G51" s="2">
        <f t="shared" si="2"/>
        <v>553</v>
      </c>
      <c r="H51" s="2">
        <f t="shared" si="2"/>
        <v>455</v>
      </c>
      <c r="I51" s="2">
        <f t="shared" si="2"/>
        <v>653</v>
      </c>
      <c r="J51" s="2">
        <f t="shared" si="2"/>
        <v>594</v>
      </c>
      <c r="K51" s="2">
        <f t="shared" si="2"/>
        <v>568</v>
      </c>
    </row>
    <row r="55" spans="1:11" ht="13">
      <c r="A55" s="1" t="s">
        <v>32</v>
      </c>
    </row>
    <row r="56" spans="1:11" s="6" customFormat="1" ht="13">
      <c r="A56" s="4" t="s">
        <v>11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>
      <c r="A57" s="2" t="s">
        <v>33</v>
      </c>
      <c r="B57" s="3">
        <v>64.5</v>
      </c>
      <c r="C57" s="3">
        <v>129.02000000000001</v>
      </c>
      <c r="D57" s="3">
        <v>129.05000000000001</v>
      </c>
      <c r="E57" s="3">
        <v>129</v>
      </c>
      <c r="F57" s="3">
        <v>129</v>
      </c>
      <c r="G57" s="3">
        <v>129</v>
      </c>
      <c r="H57" s="3">
        <v>129</v>
      </c>
      <c r="I57" s="3">
        <v>129</v>
      </c>
      <c r="J57" s="3">
        <v>129</v>
      </c>
      <c r="K57" s="3">
        <v>129</v>
      </c>
    </row>
    <row r="58" spans="1:11">
      <c r="A58" s="2" t="s">
        <v>34</v>
      </c>
      <c r="B58" s="3">
        <v>1760.28</v>
      </c>
      <c r="C58" s="3">
        <v>1888.35</v>
      </c>
      <c r="D58" s="3">
        <v>2196.63</v>
      </c>
      <c r="E58" s="3">
        <v>2414</v>
      </c>
      <c r="F58" s="3">
        <v>2846</v>
      </c>
      <c r="G58" s="3">
        <v>2894</v>
      </c>
      <c r="H58" s="3">
        <v>3111</v>
      </c>
      <c r="I58" s="3">
        <v>3219</v>
      </c>
      <c r="J58" s="3">
        <v>3670</v>
      </c>
      <c r="K58" s="3">
        <v>3703</v>
      </c>
    </row>
    <row r="59" spans="1:11" ht="14.5">
      <c r="A59" s="2" t="s">
        <v>35</v>
      </c>
      <c r="B59" s="7">
        <v>427.92</v>
      </c>
      <c r="C59" s="7">
        <v>331.32</v>
      </c>
      <c r="D59" s="7">
        <v>238.8</v>
      </c>
      <c r="E59" s="7">
        <v>312</v>
      </c>
      <c r="F59" s="7">
        <v>352</v>
      </c>
      <c r="G59" s="7">
        <v>338</v>
      </c>
      <c r="H59" s="7">
        <v>511</v>
      </c>
      <c r="I59" s="7">
        <v>479</v>
      </c>
      <c r="J59" s="7">
        <v>608</v>
      </c>
      <c r="K59" s="7">
        <v>528</v>
      </c>
    </row>
    <row r="60" spans="1:11">
      <c r="A60" s="2" t="s">
        <v>36</v>
      </c>
      <c r="B60" s="3">
        <v>872.58</v>
      </c>
      <c r="C60" s="3">
        <v>1009.64</v>
      </c>
      <c r="D60" s="3">
        <v>1058.73</v>
      </c>
      <c r="E60" s="3">
        <v>1217</v>
      </c>
      <c r="F60" s="3">
        <v>1569</v>
      </c>
      <c r="G60" s="3">
        <v>1603</v>
      </c>
      <c r="H60" s="3">
        <v>1675</v>
      </c>
      <c r="I60" s="3">
        <v>1850</v>
      </c>
      <c r="J60" s="3">
        <v>2393</v>
      </c>
      <c r="K60" s="3">
        <v>2993</v>
      </c>
    </row>
    <row r="61" spans="1:11" s="1" customFormat="1" ht="13">
      <c r="A61" s="1" t="s">
        <v>37</v>
      </c>
      <c r="B61" s="3">
        <v>3125.28</v>
      </c>
      <c r="C61" s="3">
        <v>3358.33</v>
      </c>
      <c r="D61" s="3">
        <v>3623.21</v>
      </c>
      <c r="E61" s="3">
        <v>4072</v>
      </c>
      <c r="F61" s="3">
        <v>4896</v>
      </c>
      <c r="G61" s="3">
        <v>4964</v>
      </c>
      <c r="H61" s="3">
        <v>5426</v>
      </c>
      <c r="I61" s="3">
        <v>5677</v>
      </c>
      <c r="J61" s="3">
        <v>6800</v>
      </c>
      <c r="K61" s="3">
        <v>7353</v>
      </c>
    </row>
    <row r="62" spans="1:11">
      <c r="A62" s="2" t="s">
        <v>38</v>
      </c>
      <c r="B62" s="3">
        <v>1075.92</v>
      </c>
      <c r="C62" s="3">
        <v>1050.43</v>
      </c>
      <c r="D62" s="3">
        <v>1084.7</v>
      </c>
      <c r="E62" s="3">
        <v>1110</v>
      </c>
      <c r="F62" s="3">
        <v>1300</v>
      </c>
      <c r="G62" s="3">
        <v>1396</v>
      </c>
      <c r="H62" s="3">
        <v>1612</v>
      </c>
      <c r="I62" s="3">
        <v>1760</v>
      </c>
      <c r="J62" s="3">
        <v>2246</v>
      </c>
      <c r="K62" s="3">
        <v>2724</v>
      </c>
    </row>
    <row r="63" spans="1:11">
      <c r="A63" s="2" t="s">
        <v>39</v>
      </c>
      <c r="B63" s="3">
        <v>3.03</v>
      </c>
      <c r="C63" s="3">
        <v>36.729999999999997</v>
      </c>
      <c r="D63" s="3">
        <v>11.16</v>
      </c>
      <c r="E63" s="3">
        <v>27</v>
      </c>
      <c r="F63" s="3">
        <v>45</v>
      </c>
      <c r="G63" s="3">
        <v>58</v>
      </c>
      <c r="H63" s="3">
        <v>24</v>
      </c>
      <c r="I63" s="3">
        <v>39</v>
      </c>
      <c r="J63" s="3">
        <v>67</v>
      </c>
      <c r="K63" s="3">
        <v>44</v>
      </c>
    </row>
    <row r="64" spans="1:11" ht="14.5">
      <c r="A64" s="2" t="s">
        <v>40</v>
      </c>
      <c r="B64" s="3">
        <v>283.8</v>
      </c>
      <c r="C64" s="7">
        <v>543.86</v>
      </c>
      <c r="D64" s="3">
        <v>608.21</v>
      </c>
      <c r="E64" s="3">
        <v>543</v>
      </c>
      <c r="F64" s="3">
        <v>450</v>
      </c>
      <c r="G64" s="3">
        <v>733</v>
      </c>
      <c r="H64" s="3">
        <v>854</v>
      </c>
      <c r="I64" s="3">
        <v>828</v>
      </c>
      <c r="J64" s="3">
        <v>1096</v>
      </c>
      <c r="K64" s="3">
        <v>602</v>
      </c>
    </row>
    <row r="65" spans="1:11">
      <c r="A65" s="2" t="s">
        <v>41</v>
      </c>
      <c r="B65" s="3">
        <v>1762.53</v>
      </c>
      <c r="C65" s="3">
        <v>1727.31</v>
      </c>
      <c r="D65" s="3">
        <v>1919.14</v>
      </c>
      <c r="E65" s="3">
        <v>2392</v>
      </c>
      <c r="F65" s="3">
        <v>3101</v>
      </c>
      <c r="G65" s="3">
        <v>2777</v>
      </c>
      <c r="H65" s="3">
        <v>2936</v>
      </c>
      <c r="I65" s="3">
        <v>3050</v>
      </c>
      <c r="J65" s="3">
        <v>3391</v>
      </c>
      <c r="K65" s="3">
        <v>3983</v>
      </c>
    </row>
    <row r="66" spans="1:11" s="1" customFormat="1" ht="13">
      <c r="A66" s="1" t="s">
        <v>37</v>
      </c>
      <c r="B66" s="3">
        <v>3125.28</v>
      </c>
      <c r="C66" s="3">
        <v>3358.33</v>
      </c>
      <c r="D66" s="3">
        <v>3623.21</v>
      </c>
      <c r="E66" s="3">
        <v>4072</v>
      </c>
      <c r="F66" s="3">
        <v>4896</v>
      </c>
      <c r="G66" s="3">
        <v>4964</v>
      </c>
      <c r="H66" s="3">
        <v>5426</v>
      </c>
      <c r="I66" s="3">
        <v>5677</v>
      </c>
      <c r="J66" s="3">
        <v>6800</v>
      </c>
      <c r="K66" s="3">
        <v>7353</v>
      </c>
    </row>
    <row r="67" spans="1:11">
      <c r="A67" s="2" t="s">
        <v>42</v>
      </c>
      <c r="B67" s="3">
        <v>176.75</v>
      </c>
      <c r="C67" s="3">
        <v>252.09</v>
      </c>
      <c r="D67" s="3">
        <v>246.99</v>
      </c>
      <c r="E67" s="3">
        <v>340</v>
      </c>
      <c r="F67" s="3">
        <v>517</v>
      </c>
      <c r="G67" s="3">
        <v>539</v>
      </c>
      <c r="H67" s="3">
        <v>388</v>
      </c>
      <c r="I67" s="3">
        <v>652</v>
      </c>
      <c r="J67" s="3">
        <v>1015</v>
      </c>
      <c r="K67" s="3">
        <v>1069</v>
      </c>
    </row>
    <row r="68" spans="1:11" ht="14.5">
      <c r="A68" s="2" t="s">
        <v>43</v>
      </c>
      <c r="B68" s="7">
        <v>994.71</v>
      </c>
      <c r="C68" s="7">
        <v>925.56</v>
      </c>
      <c r="D68" s="7">
        <v>1253.44</v>
      </c>
      <c r="E68" s="7">
        <v>1511</v>
      </c>
      <c r="F68" s="7">
        <v>1411</v>
      </c>
      <c r="G68" s="7">
        <v>1380</v>
      </c>
      <c r="H68" s="7">
        <v>1126</v>
      </c>
      <c r="I68" s="7">
        <v>1412</v>
      </c>
      <c r="J68" s="7">
        <v>1225</v>
      </c>
      <c r="K68" s="7">
        <v>1336</v>
      </c>
    </row>
    <row r="69" spans="1:11">
      <c r="A69" s="2" t="s">
        <v>44</v>
      </c>
      <c r="B69" s="3">
        <v>204.94</v>
      </c>
      <c r="C69" s="3">
        <v>317.14</v>
      </c>
      <c r="D69" s="3">
        <v>235.96</v>
      </c>
      <c r="E69" s="3">
        <v>201</v>
      </c>
      <c r="F69" s="3">
        <v>552</v>
      </c>
      <c r="G69" s="3">
        <v>279</v>
      </c>
      <c r="H69" s="3">
        <v>944</v>
      </c>
      <c r="I69" s="3">
        <v>579</v>
      </c>
      <c r="J69" s="3">
        <v>756</v>
      </c>
      <c r="K69" s="3">
        <v>943</v>
      </c>
    </row>
    <row r="70" spans="1:11">
      <c r="A70" s="2" t="s">
        <v>45</v>
      </c>
      <c r="B70" s="3">
        <v>644981999</v>
      </c>
      <c r="C70" s="3">
        <v>1290171198</v>
      </c>
      <c r="D70" s="3">
        <v>1290471198</v>
      </c>
      <c r="E70" s="3">
        <v>1290864398</v>
      </c>
      <c r="F70" s="3">
        <v>1290864398</v>
      </c>
      <c r="G70" s="3">
        <v>1291018088</v>
      </c>
      <c r="H70" s="3">
        <v>1291018088</v>
      </c>
      <c r="I70" s="3">
        <v>1291018088</v>
      </c>
      <c r="J70" s="3">
        <v>1291018088</v>
      </c>
      <c r="K70" s="3">
        <v>1291018088</v>
      </c>
    </row>
    <row r="71" spans="1:11" ht="14">
      <c r="A71" s="2" t="s">
        <v>46</v>
      </c>
      <c r="B71" s="9"/>
      <c r="C71" s="9">
        <v>645085599</v>
      </c>
      <c r="G71" s="9"/>
      <c r="H71" s="9"/>
    </row>
    <row r="72" spans="1:11">
      <c r="A72" s="2" t="s">
        <v>47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3" spans="1:11">
      <c r="H73" s="2">
        <f>H62-G62+H45</f>
        <v>257</v>
      </c>
      <c r="I73" s="2">
        <f t="shared" ref="I73:K73" si="3">I62-H62+I45</f>
        <v>189</v>
      </c>
      <c r="J73" s="2">
        <f t="shared" si="3"/>
        <v>527</v>
      </c>
      <c r="K73" s="2">
        <f t="shared" si="3"/>
        <v>522</v>
      </c>
    </row>
    <row r="74" spans="1:11">
      <c r="A74" s="2" t="s">
        <v>41</v>
      </c>
      <c r="B74" s="2">
        <f>B65-SUM(B67:B69)</f>
        <v>386.12999999999988</v>
      </c>
      <c r="C74" s="2">
        <f t="shared" ref="C74:K74" si="4">C65-SUM(C67:C69)</f>
        <v>232.51999999999998</v>
      </c>
      <c r="D74" s="2">
        <f t="shared" si="4"/>
        <v>182.75</v>
      </c>
      <c r="E74" s="2">
        <f t="shared" si="4"/>
        <v>340</v>
      </c>
      <c r="F74" s="2">
        <f t="shared" si="4"/>
        <v>621</v>
      </c>
      <c r="G74" s="2">
        <f t="shared" si="4"/>
        <v>579</v>
      </c>
      <c r="H74" s="2">
        <f t="shared" si="4"/>
        <v>478</v>
      </c>
      <c r="I74" s="2">
        <f t="shared" si="4"/>
        <v>407</v>
      </c>
      <c r="J74" s="2">
        <f t="shared" si="4"/>
        <v>395</v>
      </c>
      <c r="K74" s="2">
        <f t="shared" si="4"/>
        <v>635</v>
      </c>
    </row>
    <row r="76" spans="1:11">
      <c r="A76" s="2" t="s">
        <v>80</v>
      </c>
      <c r="B76" s="2">
        <f>B61</f>
        <v>3125.28</v>
      </c>
      <c r="C76" s="2">
        <f t="shared" ref="C76:K76" si="5">C61</f>
        <v>3358.33</v>
      </c>
      <c r="D76" s="2">
        <f t="shared" si="5"/>
        <v>3623.21</v>
      </c>
      <c r="E76" s="2">
        <f t="shared" si="5"/>
        <v>4072</v>
      </c>
      <c r="F76" s="2">
        <f t="shared" si="5"/>
        <v>4896</v>
      </c>
      <c r="G76" s="2">
        <f t="shared" si="5"/>
        <v>4964</v>
      </c>
      <c r="H76" s="2">
        <f t="shared" si="5"/>
        <v>5426</v>
      </c>
      <c r="I76" s="2">
        <f t="shared" si="5"/>
        <v>5677</v>
      </c>
      <c r="J76" s="2">
        <f t="shared" si="5"/>
        <v>6800</v>
      </c>
      <c r="K76" s="2">
        <f t="shared" si="5"/>
        <v>7353</v>
      </c>
    </row>
    <row r="80" spans="1:11" ht="13">
      <c r="A80" s="1" t="s">
        <v>48</v>
      </c>
    </row>
    <row r="81" spans="1:12" s="6" customFormat="1" ht="13">
      <c r="A81" s="4" t="s">
        <v>11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  <c r="L81" s="5"/>
    </row>
    <row r="82" spans="1:12" s="1" customFormat="1" ht="13">
      <c r="A82" s="2" t="s">
        <v>49</v>
      </c>
      <c r="B82" s="3">
        <v>664.84</v>
      </c>
      <c r="C82" s="3">
        <v>817.62</v>
      </c>
      <c r="D82" s="3">
        <v>648.73</v>
      </c>
      <c r="E82" s="3">
        <v>516</v>
      </c>
      <c r="F82" s="3">
        <v>1062</v>
      </c>
      <c r="G82" s="3">
        <v>1214</v>
      </c>
      <c r="H82" s="3">
        <v>2007</v>
      </c>
      <c r="I82" s="3">
        <v>1016</v>
      </c>
      <c r="J82" s="3">
        <v>1419</v>
      </c>
      <c r="K82" s="3">
        <v>1436</v>
      </c>
    </row>
    <row r="83" spans="1:12">
      <c r="A83" s="2" t="s">
        <v>50</v>
      </c>
      <c r="B83" s="3">
        <v>-186.15</v>
      </c>
      <c r="C83" s="3">
        <v>-202.53</v>
      </c>
      <c r="D83" s="3">
        <v>-125.29</v>
      </c>
      <c r="E83" s="3">
        <v>59</v>
      </c>
      <c r="F83" s="3">
        <v>-367</v>
      </c>
      <c r="G83" s="3">
        <v>-22</v>
      </c>
      <c r="H83" s="3">
        <v>-933</v>
      </c>
      <c r="I83" s="3">
        <v>441</v>
      </c>
      <c r="J83" s="3">
        <v>-928</v>
      </c>
      <c r="K83" s="3">
        <v>127</v>
      </c>
    </row>
    <row r="84" spans="1:12">
      <c r="A84" s="2" t="s">
        <v>51</v>
      </c>
      <c r="B84" s="3">
        <v>-625.47</v>
      </c>
      <c r="C84" s="3">
        <v>-600.99</v>
      </c>
      <c r="D84" s="3">
        <v>-573.95000000000005</v>
      </c>
      <c r="E84" s="3">
        <v>-567</v>
      </c>
      <c r="F84" s="3">
        <v>-698</v>
      </c>
      <c r="G84" s="3">
        <v>-1147</v>
      </c>
      <c r="H84" s="3">
        <v>-1058</v>
      </c>
      <c r="I84" s="3">
        <v>-1290</v>
      </c>
      <c r="J84" s="3">
        <v>-560</v>
      </c>
      <c r="K84" s="3">
        <v>-1542</v>
      </c>
    </row>
    <row r="85" spans="1:12" s="1" customFormat="1" ht="13">
      <c r="A85" s="2" t="s">
        <v>52</v>
      </c>
      <c r="B85" s="3">
        <v>-146.78</v>
      </c>
      <c r="C85" s="3">
        <v>14.1</v>
      </c>
      <c r="D85" s="3">
        <v>-50.51</v>
      </c>
      <c r="E85" s="3">
        <v>8</v>
      </c>
      <c r="F85" s="3">
        <v>-3</v>
      </c>
      <c r="G85" s="3">
        <v>45</v>
      </c>
      <c r="H85" s="3">
        <v>16</v>
      </c>
      <c r="I85" s="3">
        <v>167</v>
      </c>
      <c r="J85" s="3">
        <v>-69</v>
      </c>
      <c r="K85" s="3">
        <v>21</v>
      </c>
    </row>
    <row r="90" spans="1:12" s="1" customFormat="1" ht="13">
      <c r="A90" s="1" t="s">
        <v>53</v>
      </c>
      <c r="B90" s="3">
        <v>192.88</v>
      </c>
      <c r="C90" s="3">
        <v>244.3</v>
      </c>
      <c r="D90" s="3">
        <v>294.85000000000002</v>
      </c>
      <c r="E90" s="3">
        <v>326.05</v>
      </c>
      <c r="F90" s="3">
        <v>346.65</v>
      </c>
      <c r="G90" s="3">
        <v>274.85000000000002</v>
      </c>
      <c r="H90" s="3">
        <v>411.3</v>
      </c>
      <c r="I90" s="3">
        <v>503.7</v>
      </c>
      <c r="J90" s="3">
        <v>479.8</v>
      </c>
      <c r="K90" s="3">
        <v>497.2</v>
      </c>
    </row>
    <row r="92" spans="1:12" s="1" customFormat="1" ht="13">
      <c r="A92" s="1" t="s">
        <v>54</v>
      </c>
    </row>
    <row r="93" spans="1:12">
      <c r="A93" s="2" t="s">
        <v>55</v>
      </c>
      <c r="B93" s="10">
        <v>129</v>
      </c>
      <c r="C93" s="10">
        <v>129.02000000000001</v>
      </c>
      <c r="D93" s="10">
        <v>129.05000000000001</v>
      </c>
      <c r="E93" s="10">
        <v>129.09</v>
      </c>
      <c r="F93" s="10">
        <v>129.09</v>
      </c>
      <c r="G93" s="10">
        <v>129.1</v>
      </c>
      <c r="H93" s="10">
        <v>129.13999999999999</v>
      </c>
      <c r="I93" s="10">
        <v>129.28</v>
      </c>
      <c r="J93" s="10">
        <v>129.31</v>
      </c>
      <c r="K93" s="10">
        <v>129.41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5B87-3A29-4E54-9C31-2DD38E380AE8}">
  <dimension ref="B2:O70"/>
  <sheetViews>
    <sheetView showGridLines="0" zoomScale="95" zoomScaleNormal="95" workbookViewId="0">
      <selection activeCell="I4" sqref="I4"/>
    </sheetView>
  </sheetViews>
  <sheetFormatPr defaultRowHeight="14.5"/>
  <cols>
    <col min="1" max="1" width="1.81640625" customWidth="1"/>
    <col min="2" max="2" width="22.81640625" customWidth="1"/>
    <col min="3" max="14" width="10.08984375" customWidth="1"/>
    <col min="15" max="15" width="14.54296875" customWidth="1"/>
  </cols>
  <sheetData>
    <row r="2" spans="2:15">
      <c r="B2" s="75" t="s">
        <v>184</v>
      </c>
      <c r="C2" s="76">
        <v>41334</v>
      </c>
      <c r="D2" s="76">
        <v>41699</v>
      </c>
      <c r="E2" s="76">
        <v>42064</v>
      </c>
      <c r="F2" s="76">
        <v>42430</v>
      </c>
      <c r="G2" s="76">
        <v>42795</v>
      </c>
      <c r="H2" s="76">
        <v>43160</v>
      </c>
      <c r="I2" s="76">
        <v>43525</v>
      </c>
      <c r="J2" s="76">
        <v>43891</v>
      </c>
      <c r="K2" s="76">
        <v>44256</v>
      </c>
      <c r="L2" s="76">
        <v>44621</v>
      </c>
      <c r="M2" s="76">
        <v>44986</v>
      </c>
      <c r="N2" s="76">
        <v>45352</v>
      </c>
      <c r="O2" s="16"/>
    </row>
    <row r="3" spans="2:15">
      <c r="B3" s="82" t="s">
        <v>185</v>
      </c>
      <c r="C3" s="85">
        <v>96</v>
      </c>
      <c r="D3" s="85">
        <v>96</v>
      </c>
      <c r="E3" s="85">
        <v>96</v>
      </c>
      <c r="F3" s="85">
        <v>96</v>
      </c>
      <c r="G3" s="85">
        <v>96</v>
      </c>
      <c r="H3" s="85">
        <v>96</v>
      </c>
      <c r="I3" s="85">
        <v>96</v>
      </c>
      <c r="J3" s="85">
        <v>96</v>
      </c>
      <c r="K3" s="85">
        <v>96</v>
      </c>
      <c r="L3" s="85">
        <v>96</v>
      </c>
      <c r="M3" s="85">
        <v>96</v>
      </c>
      <c r="N3" s="85">
        <v>96</v>
      </c>
      <c r="O3" s="74"/>
    </row>
    <row r="4" spans="2:15">
      <c r="B4" s="83" t="s">
        <v>34</v>
      </c>
      <c r="C4" s="86">
        <v>3288</v>
      </c>
      <c r="D4" s="86">
        <v>3943</v>
      </c>
      <c r="E4" s="86">
        <v>4646</v>
      </c>
      <c r="F4" s="86">
        <v>6429</v>
      </c>
      <c r="G4" s="86">
        <v>7508</v>
      </c>
      <c r="H4" s="86">
        <v>8314</v>
      </c>
      <c r="I4" s="86">
        <v>9375</v>
      </c>
      <c r="J4" s="86">
        <v>10034</v>
      </c>
      <c r="K4" s="86">
        <v>12710</v>
      </c>
      <c r="L4" s="86">
        <v>13716</v>
      </c>
      <c r="M4" s="86">
        <v>15896</v>
      </c>
      <c r="N4" s="86">
        <v>18632</v>
      </c>
      <c r="O4" s="27"/>
    </row>
    <row r="5" spans="2:15">
      <c r="B5" s="83" t="s">
        <v>186</v>
      </c>
      <c r="C5" s="86">
        <v>251</v>
      </c>
      <c r="D5" s="86">
        <v>249</v>
      </c>
      <c r="E5" s="86">
        <v>418</v>
      </c>
      <c r="F5" s="86">
        <v>323</v>
      </c>
      <c r="G5" s="86">
        <v>560</v>
      </c>
      <c r="H5" s="86">
        <v>533</v>
      </c>
      <c r="I5" s="86">
        <v>1320</v>
      </c>
      <c r="J5" s="86">
        <v>1118</v>
      </c>
      <c r="K5" s="86">
        <v>1093</v>
      </c>
      <c r="L5" s="86">
        <v>1587</v>
      </c>
      <c r="M5" s="86">
        <v>1933</v>
      </c>
      <c r="N5" s="86">
        <v>2474</v>
      </c>
      <c r="O5" s="27"/>
    </row>
    <row r="6" spans="2:15">
      <c r="B6" s="84" t="s">
        <v>187</v>
      </c>
      <c r="C6" s="86">
        <v>47</v>
      </c>
      <c r="D6" s="86">
        <v>41</v>
      </c>
      <c r="E6" s="86">
        <v>78</v>
      </c>
      <c r="F6" s="86">
        <v>73</v>
      </c>
      <c r="G6" s="86">
        <v>41</v>
      </c>
      <c r="H6" s="86">
        <v>28</v>
      </c>
      <c r="I6" s="86">
        <v>19</v>
      </c>
      <c r="J6" s="86">
        <v>19</v>
      </c>
      <c r="K6" s="86">
        <v>15</v>
      </c>
      <c r="L6" s="86">
        <v>45</v>
      </c>
      <c r="M6" s="86">
        <v>76</v>
      </c>
      <c r="N6" s="86">
        <v>54</v>
      </c>
    </row>
    <row r="7" spans="2:15">
      <c r="B7" s="84" t="s">
        <v>188</v>
      </c>
      <c r="C7" s="86">
        <v>190</v>
      </c>
      <c r="D7" s="86">
        <v>199</v>
      </c>
      <c r="E7" s="86">
        <v>332</v>
      </c>
      <c r="F7" s="86">
        <v>231</v>
      </c>
      <c r="G7" s="86">
        <v>504</v>
      </c>
      <c r="H7" s="86">
        <v>492</v>
      </c>
      <c r="I7" s="86">
        <v>597</v>
      </c>
      <c r="J7" s="86">
        <v>321</v>
      </c>
      <c r="K7" s="86">
        <v>334</v>
      </c>
      <c r="L7" s="86">
        <v>731</v>
      </c>
      <c r="M7" s="86">
        <v>896</v>
      </c>
      <c r="N7" s="86">
        <v>1053</v>
      </c>
      <c r="O7" s="27"/>
    </row>
    <row r="8" spans="2:15">
      <c r="B8" s="84" t="s">
        <v>189</v>
      </c>
      <c r="C8" s="86">
        <v>0</v>
      </c>
      <c r="D8" s="86">
        <v>0</v>
      </c>
      <c r="E8" s="86">
        <v>0</v>
      </c>
      <c r="F8" s="86">
        <v>0</v>
      </c>
      <c r="G8" s="86">
        <v>0</v>
      </c>
      <c r="H8" s="86">
        <v>0</v>
      </c>
      <c r="I8" s="86">
        <v>693</v>
      </c>
      <c r="J8" s="86">
        <v>764</v>
      </c>
      <c r="K8" s="86">
        <v>745</v>
      </c>
      <c r="L8" s="86">
        <v>811</v>
      </c>
      <c r="M8" s="86">
        <v>960</v>
      </c>
      <c r="N8" s="86">
        <v>1367</v>
      </c>
      <c r="O8" s="27"/>
    </row>
    <row r="9" spans="2:15">
      <c r="B9" s="84" t="s">
        <v>190</v>
      </c>
      <c r="C9" s="86">
        <v>14</v>
      </c>
      <c r="D9" s="86">
        <v>9</v>
      </c>
      <c r="E9" s="86">
        <v>8</v>
      </c>
      <c r="F9" s="86">
        <v>20</v>
      </c>
      <c r="G9" s="86">
        <v>15</v>
      </c>
      <c r="H9" s="86">
        <v>13</v>
      </c>
      <c r="I9" s="86">
        <v>11</v>
      </c>
      <c r="J9" s="86">
        <v>15</v>
      </c>
      <c r="K9" s="86">
        <v>0</v>
      </c>
      <c r="L9" s="86">
        <v>0</v>
      </c>
      <c r="M9" s="86">
        <v>0</v>
      </c>
      <c r="N9" s="86">
        <v>0</v>
      </c>
    </row>
    <row r="10" spans="2:15">
      <c r="B10" s="83" t="s">
        <v>191</v>
      </c>
      <c r="C10" s="86">
        <v>3149</v>
      </c>
      <c r="D10" s="86">
        <v>3787</v>
      </c>
      <c r="E10" s="86">
        <v>3754</v>
      </c>
      <c r="F10" s="86">
        <v>3711</v>
      </c>
      <c r="G10" s="86">
        <v>4241</v>
      </c>
      <c r="H10" s="86">
        <v>4820</v>
      </c>
      <c r="I10" s="86">
        <v>5459</v>
      </c>
      <c r="J10" s="86">
        <v>4889</v>
      </c>
      <c r="K10" s="86">
        <v>6456</v>
      </c>
      <c r="L10" s="86">
        <v>7560</v>
      </c>
      <c r="M10" s="86">
        <v>7854</v>
      </c>
      <c r="N10" s="86">
        <v>8698</v>
      </c>
      <c r="O10" s="27"/>
    </row>
    <row r="11" spans="2:15">
      <c r="B11" s="84" t="s">
        <v>192</v>
      </c>
      <c r="C11" s="86">
        <v>161</v>
      </c>
      <c r="D11" s="86">
        <v>246</v>
      </c>
      <c r="E11" s="86">
        <v>264</v>
      </c>
      <c r="F11" s="86">
        <v>384</v>
      </c>
      <c r="G11" s="86">
        <v>375</v>
      </c>
      <c r="H11" s="86">
        <v>328</v>
      </c>
      <c r="I11" s="86">
        <v>361</v>
      </c>
      <c r="J11" s="86">
        <v>404</v>
      </c>
      <c r="K11" s="86">
        <v>423</v>
      </c>
      <c r="L11" s="86">
        <v>388</v>
      </c>
      <c r="M11" s="86">
        <v>454</v>
      </c>
      <c r="N11" s="86">
        <v>695</v>
      </c>
    </row>
    <row r="12" spans="2:15">
      <c r="B12" s="84" t="s">
        <v>193</v>
      </c>
      <c r="C12" s="86">
        <v>1442</v>
      </c>
      <c r="D12" s="86">
        <v>1746</v>
      </c>
      <c r="E12" s="86">
        <v>1549</v>
      </c>
      <c r="F12" s="86">
        <v>1565</v>
      </c>
      <c r="G12" s="86">
        <v>1923</v>
      </c>
      <c r="H12" s="86">
        <v>2160</v>
      </c>
      <c r="I12" s="86">
        <v>2394</v>
      </c>
      <c r="J12" s="86">
        <v>2137</v>
      </c>
      <c r="K12" s="86">
        <v>3379</v>
      </c>
      <c r="L12" s="86">
        <v>4164</v>
      </c>
      <c r="M12" s="86">
        <v>3635</v>
      </c>
      <c r="N12" s="86">
        <v>3831</v>
      </c>
      <c r="O12" s="27"/>
    </row>
    <row r="13" spans="2:15">
      <c r="B13" s="84" t="s">
        <v>194</v>
      </c>
      <c r="C13" s="86">
        <v>0</v>
      </c>
      <c r="D13" s="86">
        <v>0</v>
      </c>
      <c r="E13" s="86">
        <v>5</v>
      </c>
      <c r="F13" s="86">
        <v>12</v>
      </c>
      <c r="G13" s="86">
        <v>17</v>
      </c>
      <c r="H13" s="86">
        <v>16</v>
      </c>
      <c r="I13" s="86">
        <v>13</v>
      </c>
      <c r="J13" s="86">
        <v>29</v>
      </c>
      <c r="K13" s="86">
        <v>41</v>
      </c>
      <c r="L13" s="86">
        <v>76</v>
      </c>
      <c r="M13" s="86">
        <v>108</v>
      </c>
      <c r="N13" s="86">
        <v>154</v>
      </c>
    </row>
    <row r="14" spans="2:15">
      <c r="B14" s="79" t="s">
        <v>195</v>
      </c>
      <c r="C14" s="87">
        <v>1547</v>
      </c>
      <c r="D14" s="87">
        <v>1795</v>
      </c>
      <c r="E14" s="87">
        <v>1937</v>
      </c>
      <c r="F14" s="87">
        <v>1750</v>
      </c>
      <c r="G14" s="87">
        <v>1925</v>
      </c>
      <c r="H14" s="87">
        <v>2316</v>
      </c>
      <c r="I14" s="87">
        <v>2690</v>
      </c>
      <c r="J14" s="87">
        <v>2320</v>
      </c>
      <c r="K14" s="87">
        <v>2613</v>
      </c>
      <c r="L14" s="87">
        <v>2932</v>
      </c>
      <c r="M14" s="87">
        <v>3657</v>
      </c>
      <c r="N14" s="87">
        <v>4017</v>
      </c>
      <c r="O14" s="27"/>
    </row>
    <row r="15" spans="2:15">
      <c r="B15" s="80" t="s">
        <v>76</v>
      </c>
      <c r="C15" s="81">
        <v>6784</v>
      </c>
      <c r="D15" s="81">
        <v>8075</v>
      </c>
      <c r="E15" s="81">
        <v>8914</v>
      </c>
      <c r="F15" s="81">
        <v>10559</v>
      </c>
      <c r="G15" s="81">
        <v>12405</v>
      </c>
      <c r="H15" s="81">
        <v>13763</v>
      </c>
      <c r="I15" s="81">
        <v>16249</v>
      </c>
      <c r="J15" s="81">
        <v>16138</v>
      </c>
      <c r="K15" s="81">
        <v>20355</v>
      </c>
      <c r="L15" s="81">
        <v>22958</v>
      </c>
      <c r="M15" s="81">
        <v>25779</v>
      </c>
      <c r="N15" s="81">
        <v>29901</v>
      </c>
      <c r="O15" s="27"/>
    </row>
    <row r="16" spans="2:15">
      <c r="B16" s="79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27"/>
    </row>
    <row r="17" spans="2:15">
      <c r="B17" s="77" t="s">
        <v>196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27"/>
    </row>
    <row r="18" spans="2:15">
      <c r="B18" s="79" t="s">
        <v>197</v>
      </c>
      <c r="C18" s="86">
        <v>238</v>
      </c>
      <c r="D18" s="86">
        <v>247</v>
      </c>
      <c r="E18" s="86">
        <v>251</v>
      </c>
      <c r="F18" s="86">
        <v>429</v>
      </c>
      <c r="G18" s="86">
        <v>408</v>
      </c>
      <c r="H18" s="86">
        <v>586</v>
      </c>
      <c r="I18" s="86">
        <v>605</v>
      </c>
      <c r="J18" s="86">
        <v>640</v>
      </c>
      <c r="K18" s="86">
        <v>644</v>
      </c>
      <c r="L18" s="86">
        <v>644</v>
      </c>
      <c r="M18" s="86">
        <v>804</v>
      </c>
      <c r="N18" s="86">
        <v>1126</v>
      </c>
    </row>
    <row r="19" spans="2:15">
      <c r="B19" s="79" t="s">
        <v>198</v>
      </c>
      <c r="C19" s="86">
        <v>874</v>
      </c>
      <c r="D19" s="86">
        <v>931</v>
      </c>
      <c r="E19" s="86">
        <v>962</v>
      </c>
      <c r="F19" s="86">
        <v>923</v>
      </c>
      <c r="G19" s="86">
        <v>931</v>
      </c>
      <c r="H19" s="86">
        <v>957</v>
      </c>
      <c r="I19" s="86">
        <v>2402</v>
      </c>
      <c r="J19" s="86">
        <v>2257</v>
      </c>
      <c r="K19" s="86">
        <v>2249</v>
      </c>
      <c r="L19" s="86">
        <v>2325</v>
      </c>
      <c r="M19" s="86">
        <v>2883</v>
      </c>
      <c r="N19" s="86">
        <v>3390</v>
      </c>
    </row>
    <row r="20" spans="2:15">
      <c r="B20" s="79" t="s">
        <v>199</v>
      </c>
      <c r="C20" s="86">
        <v>1956</v>
      </c>
      <c r="D20" s="86">
        <v>2054</v>
      </c>
      <c r="E20" s="86">
        <v>2132</v>
      </c>
      <c r="F20" s="86">
        <v>1793</v>
      </c>
      <c r="G20" s="86">
        <v>1980</v>
      </c>
      <c r="H20" s="86">
        <v>2157</v>
      </c>
      <c r="I20" s="86">
        <v>4006</v>
      </c>
      <c r="J20" s="86">
        <v>4208</v>
      </c>
      <c r="K20" s="86">
        <v>4340</v>
      </c>
      <c r="L20" s="86">
        <v>4531</v>
      </c>
      <c r="M20" s="86">
        <v>4825</v>
      </c>
      <c r="N20" s="86">
        <v>5422</v>
      </c>
    </row>
    <row r="21" spans="2:15">
      <c r="B21" s="79" t="s">
        <v>200</v>
      </c>
      <c r="C21" s="86">
        <v>137</v>
      </c>
      <c r="D21" s="86">
        <v>155</v>
      </c>
      <c r="E21" s="86">
        <v>171</v>
      </c>
      <c r="F21" s="86">
        <v>97</v>
      </c>
      <c r="G21" s="86">
        <v>119</v>
      </c>
      <c r="H21" s="86">
        <v>200</v>
      </c>
      <c r="I21" s="86">
        <v>221</v>
      </c>
      <c r="J21" s="86">
        <v>241</v>
      </c>
      <c r="K21" s="86">
        <v>243</v>
      </c>
      <c r="L21" s="86">
        <v>253</v>
      </c>
      <c r="M21" s="86">
        <v>270</v>
      </c>
      <c r="N21" s="86">
        <v>298</v>
      </c>
    </row>
    <row r="22" spans="2:15">
      <c r="B22" s="79" t="s">
        <v>201</v>
      </c>
      <c r="C22" s="86">
        <v>57</v>
      </c>
      <c r="D22" s="86">
        <v>71</v>
      </c>
      <c r="E22" s="86">
        <v>83</v>
      </c>
      <c r="F22" s="86">
        <v>49</v>
      </c>
      <c r="G22" s="86">
        <v>59</v>
      </c>
      <c r="H22" s="86">
        <v>72</v>
      </c>
      <c r="I22" s="86">
        <v>88</v>
      </c>
      <c r="J22" s="86">
        <v>94</v>
      </c>
      <c r="K22" s="86">
        <v>99</v>
      </c>
      <c r="L22" s="86">
        <v>113</v>
      </c>
      <c r="M22" s="86">
        <v>146</v>
      </c>
      <c r="N22" s="86">
        <v>175</v>
      </c>
    </row>
    <row r="23" spans="2:15">
      <c r="B23" s="79" t="s">
        <v>202</v>
      </c>
      <c r="C23" s="86">
        <v>11</v>
      </c>
      <c r="D23" s="86">
        <v>14</v>
      </c>
      <c r="E23" s="86">
        <v>18</v>
      </c>
      <c r="F23" s="86">
        <v>11</v>
      </c>
      <c r="G23" s="86">
        <v>14</v>
      </c>
      <c r="H23" s="86">
        <v>27</v>
      </c>
      <c r="I23" s="86">
        <v>47</v>
      </c>
      <c r="J23" s="86">
        <v>43</v>
      </c>
      <c r="K23" s="86">
        <v>38</v>
      </c>
      <c r="L23" s="86">
        <v>32</v>
      </c>
      <c r="M23" s="86">
        <v>36</v>
      </c>
      <c r="N23" s="86">
        <v>40</v>
      </c>
    </row>
    <row r="24" spans="2:15">
      <c r="B24" s="79" t="s">
        <v>203</v>
      </c>
      <c r="C24" s="86">
        <v>57</v>
      </c>
      <c r="D24" s="86">
        <v>203</v>
      </c>
      <c r="E24" s="86">
        <v>351</v>
      </c>
      <c r="F24" s="86">
        <v>339</v>
      </c>
      <c r="G24" s="86">
        <v>276</v>
      </c>
      <c r="H24" s="86">
        <v>468</v>
      </c>
      <c r="I24" s="86">
        <v>512</v>
      </c>
      <c r="J24" s="86">
        <v>505</v>
      </c>
      <c r="K24" s="86">
        <v>476</v>
      </c>
      <c r="L24" s="86">
        <v>345</v>
      </c>
      <c r="M24" s="86">
        <v>422</v>
      </c>
      <c r="N24" s="86">
        <v>850</v>
      </c>
    </row>
    <row r="25" spans="2:15">
      <c r="B25" s="79" t="s">
        <v>204</v>
      </c>
      <c r="C25" s="86">
        <v>99</v>
      </c>
      <c r="D25" s="86">
        <v>128</v>
      </c>
      <c r="E25" s="86">
        <v>145</v>
      </c>
      <c r="F25" s="86">
        <v>103</v>
      </c>
      <c r="G25" s="86">
        <v>128</v>
      </c>
      <c r="H25" s="86">
        <v>238</v>
      </c>
      <c r="I25" s="86">
        <v>261</v>
      </c>
      <c r="J25" s="86">
        <v>293</v>
      </c>
      <c r="K25" s="86">
        <v>302</v>
      </c>
      <c r="L25" s="86">
        <v>294</v>
      </c>
      <c r="M25" s="86">
        <v>289</v>
      </c>
      <c r="N25" s="86">
        <v>321</v>
      </c>
    </row>
    <row r="26" spans="2:15">
      <c r="B26" s="77" t="s">
        <v>205</v>
      </c>
      <c r="C26" s="88">
        <v>3429</v>
      </c>
      <c r="D26" s="88">
        <v>3804</v>
      </c>
      <c r="E26" s="88">
        <v>4112</v>
      </c>
      <c r="F26" s="88">
        <v>3744</v>
      </c>
      <c r="G26" s="88">
        <v>3914</v>
      </c>
      <c r="H26" s="88">
        <v>4705</v>
      </c>
      <c r="I26" s="88">
        <v>8141</v>
      </c>
      <c r="J26" s="88">
        <v>8282</v>
      </c>
      <c r="K26" s="88">
        <v>8392</v>
      </c>
      <c r="L26" s="88">
        <v>8538</v>
      </c>
      <c r="M26" s="88">
        <v>9676</v>
      </c>
      <c r="N26" s="88">
        <v>11622</v>
      </c>
    </row>
    <row r="27" spans="2:15">
      <c r="B27" s="89" t="s">
        <v>206</v>
      </c>
      <c r="C27" s="90">
        <v>979</v>
      </c>
      <c r="D27" s="90">
        <v>1223</v>
      </c>
      <c r="E27" s="90">
        <v>1438</v>
      </c>
      <c r="F27" s="90">
        <v>275</v>
      </c>
      <c r="G27" s="90">
        <v>610</v>
      </c>
      <c r="H27" s="90">
        <v>973</v>
      </c>
      <c r="I27" s="90">
        <v>1592</v>
      </c>
      <c r="J27" s="90">
        <v>2010</v>
      </c>
      <c r="K27" s="90">
        <v>2533</v>
      </c>
      <c r="L27" s="90">
        <v>3019</v>
      </c>
      <c r="M27" s="90">
        <v>3814</v>
      </c>
      <c r="N27" s="90">
        <v>4381</v>
      </c>
    </row>
    <row r="28" spans="2:15">
      <c r="B28" s="77" t="s">
        <v>38</v>
      </c>
      <c r="C28" s="87">
        <f>C26-C27</f>
        <v>2450</v>
      </c>
      <c r="D28" s="87">
        <f t="shared" ref="D28:N28" si="0">D26-D27</f>
        <v>2581</v>
      </c>
      <c r="E28" s="87">
        <f t="shared" si="0"/>
        <v>2674</v>
      </c>
      <c r="F28" s="87">
        <f t="shared" si="0"/>
        <v>3469</v>
      </c>
      <c r="G28" s="87">
        <f t="shared" si="0"/>
        <v>3304</v>
      </c>
      <c r="H28" s="87">
        <f t="shared" si="0"/>
        <v>3732</v>
      </c>
      <c r="I28" s="87">
        <f t="shared" si="0"/>
        <v>6549</v>
      </c>
      <c r="J28" s="87">
        <f t="shared" si="0"/>
        <v>6272</v>
      </c>
      <c r="K28" s="87">
        <f t="shared" si="0"/>
        <v>5859</v>
      </c>
      <c r="L28" s="87">
        <f t="shared" si="0"/>
        <v>5519</v>
      </c>
      <c r="M28" s="87">
        <f t="shared" si="0"/>
        <v>5862</v>
      </c>
      <c r="N28" s="87">
        <f t="shared" si="0"/>
        <v>7241</v>
      </c>
      <c r="O28" s="27"/>
    </row>
    <row r="29" spans="2:15">
      <c r="B29" s="7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27"/>
    </row>
    <row r="30" spans="2:15">
      <c r="B30" s="77" t="s">
        <v>207</v>
      </c>
      <c r="C30" s="87">
        <v>59</v>
      </c>
      <c r="D30" s="87">
        <v>72</v>
      </c>
      <c r="E30" s="87">
        <v>196</v>
      </c>
      <c r="F30" s="87">
        <v>107</v>
      </c>
      <c r="G30" s="87">
        <v>258</v>
      </c>
      <c r="H30" s="87">
        <v>1405</v>
      </c>
      <c r="I30" s="87">
        <v>210</v>
      </c>
      <c r="J30" s="87">
        <v>140</v>
      </c>
      <c r="K30" s="87">
        <v>183</v>
      </c>
      <c r="L30" s="87">
        <v>426</v>
      </c>
      <c r="M30" s="87">
        <v>1020</v>
      </c>
      <c r="N30" s="87">
        <v>2698</v>
      </c>
      <c r="O30" s="27"/>
    </row>
    <row r="31" spans="2:15">
      <c r="B31" s="77" t="s">
        <v>40</v>
      </c>
      <c r="C31" s="87">
        <v>296</v>
      </c>
      <c r="D31" s="87">
        <v>1424</v>
      </c>
      <c r="E31" s="87">
        <v>1588</v>
      </c>
      <c r="F31" s="87">
        <v>2712</v>
      </c>
      <c r="G31" s="87">
        <v>2652</v>
      </c>
      <c r="H31" s="87">
        <v>2141</v>
      </c>
      <c r="I31" s="87">
        <v>2569</v>
      </c>
      <c r="J31" s="87">
        <v>2019</v>
      </c>
      <c r="K31" s="87">
        <v>4737</v>
      </c>
      <c r="L31" s="87">
        <v>3248</v>
      </c>
      <c r="M31" s="87">
        <v>4262</v>
      </c>
      <c r="N31" s="87">
        <v>4588</v>
      </c>
      <c r="O31" s="27"/>
    </row>
    <row r="32" spans="2:15">
      <c r="B32" s="79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27"/>
    </row>
    <row r="33" spans="2:15">
      <c r="B33" s="77" t="s">
        <v>208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</row>
    <row r="34" spans="2:15">
      <c r="B34" s="79" t="s">
        <v>209</v>
      </c>
      <c r="C34" s="91">
        <v>1830</v>
      </c>
      <c r="D34" s="91">
        <v>2070</v>
      </c>
      <c r="E34" s="91">
        <v>2259</v>
      </c>
      <c r="F34" s="91">
        <v>1998</v>
      </c>
      <c r="G34" s="91">
        <v>2627</v>
      </c>
      <c r="H34" s="91">
        <v>2658</v>
      </c>
      <c r="I34" s="91">
        <v>3150</v>
      </c>
      <c r="J34" s="91">
        <v>3390</v>
      </c>
      <c r="K34" s="91">
        <v>3799</v>
      </c>
      <c r="L34" s="91">
        <v>6153</v>
      </c>
      <c r="M34" s="91">
        <v>6211</v>
      </c>
      <c r="N34" s="91">
        <v>5923</v>
      </c>
    </row>
    <row r="35" spans="2:15">
      <c r="B35" s="79" t="s">
        <v>213</v>
      </c>
      <c r="C35" s="91">
        <v>981</v>
      </c>
      <c r="D35" s="91">
        <v>1110</v>
      </c>
      <c r="E35" s="91">
        <v>1182</v>
      </c>
      <c r="F35" s="91">
        <v>1187</v>
      </c>
      <c r="G35" s="91">
        <v>1447</v>
      </c>
      <c r="H35" s="91">
        <v>1731</v>
      </c>
      <c r="I35" s="91">
        <v>1907</v>
      </c>
      <c r="J35" s="91">
        <v>1795</v>
      </c>
      <c r="K35" s="91">
        <v>2602</v>
      </c>
      <c r="L35" s="91">
        <v>3871</v>
      </c>
      <c r="M35" s="91">
        <v>4637</v>
      </c>
      <c r="N35" s="91">
        <v>4889</v>
      </c>
    </row>
    <row r="36" spans="2:15">
      <c r="B36" s="79" t="s">
        <v>210</v>
      </c>
      <c r="C36" s="91">
        <v>737</v>
      </c>
      <c r="D36" s="91">
        <v>229</v>
      </c>
      <c r="E36" s="91">
        <v>204</v>
      </c>
      <c r="F36" s="91">
        <v>424</v>
      </c>
      <c r="G36" s="91">
        <v>801</v>
      </c>
      <c r="H36" s="91">
        <v>405</v>
      </c>
      <c r="I36" s="91">
        <v>445</v>
      </c>
      <c r="J36" s="91">
        <v>783</v>
      </c>
      <c r="K36" s="91">
        <v>611</v>
      </c>
      <c r="L36" s="91">
        <v>864</v>
      </c>
      <c r="M36" s="91">
        <v>844</v>
      </c>
      <c r="N36" s="91">
        <v>1084</v>
      </c>
    </row>
    <row r="37" spans="2:15">
      <c r="B37" s="79" t="s">
        <v>211</v>
      </c>
      <c r="C37" s="91">
        <v>4</v>
      </c>
      <c r="D37" s="91">
        <v>7</v>
      </c>
      <c r="E37" s="91">
        <v>8</v>
      </c>
      <c r="F37" s="91">
        <v>9</v>
      </c>
      <c r="G37" s="91">
        <v>14</v>
      </c>
      <c r="H37" s="91">
        <v>13</v>
      </c>
      <c r="I37" s="91">
        <v>16</v>
      </c>
      <c r="J37" s="91">
        <v>12</v>
      </c>
      <c r="K37" s="91">
        <v>11</v>
      </c>
      <c r="L37" s="91">
        <v>8</v>
      </c>
      <c r="M37" s="91">
        <v>12</v>
      </c>
      <c r="N37" s="91">
        <v>17</v>
      </c>
    </row>
    <row r="38" spans="2:15">
      <c r="B38" s="79" t="s">
        <v>212</v>
      </c>
      <c r="C38" s="92">
        <v>437</v>
      </c>
      <c r="D38" s="92">
        <v>603</v>
      </c>
      <c r="E38" s="92">
        <v>817</v>
      </c>
      <c r="F38" s="92">
        <v>705</v>
      </c>
      <c r="G38" s="92">
        <v>1303</v>
      </c>
      <c r="H38" s="92">
        <v>1678</v>
      </c>
      <c r="I38" s="92">
        <v>1456</v>
      </c>
      <c r="J38" s="92">
        <v>1727</v>
      </c>
      <c r="K38" s="92">
        <v>2555</v>
      </c>
      <c r="L38" s="92">
        <v>2869</v>
      </c>
      <c r="M38" s="92">
        <v>3024</v>
      </c>
      <c r="N38" s="92">
        <v>3555</v>
      </c>
      <c r="O38" s="27"/>
    </row>
    <row r="39" spans="2:15">
      <c r="B39" s="94" t="s">
        <v>80</v>
      </c>
      <c r="C39" s="93">
        <v>6784</v>
      </c>
      <c r="D39" s="93">
        <v>8075</v>
      </c>
      <c r="E39" s="93">
        <v>8914</v>
      </c>
      <c r="F39" s="93">
        <v>10559</v>
      </c>
      <c r="G39" s="93">
        <v>12405</v>
      </c>
      <c r="H39" s="93">
        <v>13763</v>
      </c>
      <c r="I39" s="93">
        <v>16249</v>
      </c>
      <c r="J39" s="93">
        <v>16138</v>
      </c>
      <c r="K39" s="93">
        <v>20355</v>
      </c>
      <c r="L39" s="93">
        <v>22958</v>
      </c>
      <c r="M39" s="93">
        <v>25779</v>
      </c>
      <c r="N39" s="93">
        <v>29901</v>
      </c>
      <c r="O39" s="27"/>
    </row>
    <row r="42" spans="2:15">
      <c r="C42" s="108">
        <v>41334</v>
      </c>
      <c r="D42" s="108">
        <v>41699</v>
      </c>
      <c r="E42" s="108">
        <v>42064</v>
      </c>
      <c r="F42" s="108">
        <v>42430</v>
      </c>
      <c r="G42" s="108">
        <v>42795</v>
      </c>
      <c r="H42" s="108">
        <v>43160</v>
      </c>
      <c r="I42" s="108">
        <v>43525</v>
      </c>
      <c r="J42" s="108">
        <v>43891</v>
      </c>
      <c r="K42" s="108">
        <v>44256</v>
      </c>
      <c r="L42" s="108">
        <v>44621</v>
      </c>
      <c r="M42" s="108">
        <v>44986</v>
      </c>
      <c r="N42" s="108">
        <v>45352</v>
      </c>
      <c r="O42" s="107"/>
    </row>
    <row r="43" spans="2:15">
      <c r="B43" s="109" t="s">
        <v>224</v>
      </c>
      <c r="C43" s="110">
        <v>1187</v>
      </c>
      <c r="D43" s="110">
        <v>1402</v>
      </c>
      <c r="E43" s="110">
        <v>1188</v>
      </c>
      <c r="F43" s="110">
        <v>2243</v>
      </c>
      <c r="G43" s="110">
        <v>1527</v>
      </c>
      <c r="H43" s="110">
        <v>2113</v>
      </c>
      <c r="I43" s="110">
        <v>2470</v>
      </c>
      <c r="J43" s="110">
        <v>3038</v>
      </c>
      <c r="K43" s="110">
        <v>3683</v>
      </c>
      <c r="L43" s="111">
        <v>986</v>
      </c>
      <c r="M43" s="110">
        <v>4193</v>
      </c>
      <c r="N43" s="110">
        <v>6104</v>
      </c>
    </row>
    <row r="44" spans="2:15">
      <c r="B44" s="109" t="s">
        <v>91</v>
      </c>
      <c r="C44" s="110">
        <v>1784</v>
      </c>
      <c r="D44" s="110">
        <v>2051</v>
      </c>
      <c r="E44" s="110">
        <v>2271</v>
      </c>
      <c r="F44" s="110">
        <v>2848</v>
      </c>
      <c r="G44" s="110">
        <v>3056</v>
      </c>
      <c r="H44" s="110">
        <v>3274</v>
      </c>
      <c r="I44" s="110">
        <v>3861</v>
      </c>
      <c r="J44" s="110">
        <v>4380</v>
      </c>
      <c r="K44" s="110">
        <v>4970</v>
      </c>
      <c r="L44" s="110">
        <v>4957</v>
      </c>
      <c r="M44" s="110">
        <v>6460</v>
      </c>
      <c r="N44" s="110">
        <v>7929</v>
      </c>
    </row>
    <row r="45" spans="2:15">
      <c r="B45" s="112" t="s">
        <v>42</v>
      </c>
      <c r="C45" s="74">
        <v>-299</v>
      </c>
      <c r="D45" s="74">
        <v>-254</v>
      </c>
      <c r="E45" s="74">
        <v>-155</v>
      </c>
      <c r="F45" s="74">
        <v>-146</v>
      </c>
      <c r="G45" s="74">
        <v>-475</v>
      </c>
      <c r="H45" s="74">
        <v>-483</v>
      </c>
      <c r="I45" s="74">
        <v>-205</v>
      </c>
      <c r="J45" s="74">
        <v>160</v>
      </c>
      <c r="K45" s="74">
        <v>-849</v>
      </c>
      <c r="L45" s="52">
        <v>-1326</v>
      </c>
      <c r="M45" s="74">
        <v>-834</v>
      </c>
      <c r="N45" s="74">
        <v>-362</v>
      </c>
    </row>
    <row r="46" spans="2:15">
      <c r="B46" s="112" t="s">
        <v>43</v>
      </c>
      <c r="C46" s="74">
        <v>-247</v>
      </c>
      <c r="D46" s="74">
        <v>-231</v>
      </c>
      <c r="E46" s="74">
        <v>-144</v>
      </c>
      <c r="F46" s="74">
        <v>202</v>
      </c>
      <c r="G46" s="74">
        <v>-629</v>
      </c>
      <c r="H46" s="74">
        <v>-39</v>
      </c>
      <c r="I46" s="74">
        <v>-492</v>
      </c>
      <c r="J46" s="74">
        <v>-251</v>
      </c>
      <c r="K46" s="74">
        <v>-409</v>
      </c>
      <c r="L46" s="52">
        <v>-2354</v>
      </c>
      <c r="M46" s="74">
        <v>-56</v>
      </c>
      <c r="N46" s="74">
        <v>315</v>
      </c>
    </row>
    <row r="47" spans="2:15">
      <c r="B47" s="112" t="s">
        <v>92</v>
      </c>
      <c r="C47" s="74">
        <v>388</v>
      </c>
      <c r="D47" s="74">
        <v>317</v>
      </c>
      <c r="E47" s="74">
        <v>-151</v>
      </c>
      <c r="F47" s="74">
        <v>142</v>
      </c>
      <c r="G47" s="74">
        <v>501</v>
      </c>
      <c r="H47" s="74">
        <v>442</v>
      </c>
      <c r="I47" s="74">
        <v>287</v>
      </c>
      <c r="J47" s="74">
        <v>-241</v>
      </c>
      <c r="K47" s="52">
        <v>1143</v>
      </c>
      <c r="L47" s="74">
        <v>644</v>
      </c>
      <c r="M47" s="74">
        <v>-539</v>
      </c>
      <c r="N47" s="74">
        <v>269</v>
      </c>
    </row>
    <row r="48" spans="2:15">
      <c r="B48" s="112" t="s">
        <v>94</v>
      </c>
      <c r="C48" s="74">
        <v>0</v>
      </c>
      <c r="D48" s="74">
        <v>0</v>
      </c>
      <c r="E48" s="74">
        <v>0</v>
      </c>
      <c r="F48" s="74">
        <v>0</v>
      </c>
      <c r="G48" s="74">
        <v>0</v>
      </c>
      <c r="H48" s="74">
        <v>0</v>
      </c>
      <c r="I48" s="74">
        <v>0</v>
      </c>
      <c r="J48" s="74">
        <v>0</v>
      </c>
      <c r="K48" s="74">
        <v>-92</v>
      </c>
      <c r="L48" s="74">
        <v>242</v>
      </c>
      <c r="M48" s="74">
        <v>657</v>
      </c>
      <c r="N48" s="74">
        <v>-212</v>
      </c>
    </row>
    <row r="49" spans="2:14">
      <c r="B49" s="109" t="s">
        <v>95</v>
      </c>
      <c r="C49" s="111">
        <v>-159</v>
      </c>
      <c r="D49" s="111">
        <v>-168</v>
      </c>
      <c r="E49" s="111">
        <v>-450</v>
      </c>
      <c r="F49" s="111">
        <v>198</v>
      </c>
      <c r="G49" s="111">
        <v>-603</v>
      </c>
      <c r="H49" s="111">
        <v>-80</v>
      </c>
      <c r="I49" s="111">
        <v>-410</v>
      </c>
      <c r="J49" s="111">
        <v>-331</v>
      </c>
      <c r="K49" s="111">
        <v>-206</v>
      </c>
      <c r="L49" s="110">
        <v>-2795</v>
      </c>
      <c r="M49" s="111">
        <v>-772</v>
      </c>
      <c r="N49" s="111">
        <v>10</v>
      </c>
    </row>
    <row r="50" spans="2:14">
      <c r="B50" s="112" t="s">
        <v>96</v>
      </c>
      <c r="C50" s="74">
        <v>-438</v>
      </c>
      <c r="D50" s="74">
        <v>-480</v>
      </c>
      <c r="E50" s="74">
        <v>-633</v>
      </c>
      <c r="F50" s="74">
        <v>-802</v>
      </c>
      <c r="G50" s="74">
        <v>-925</v>
      </c>
      <c r="H50" s="52">
        <v>-1081</v>
      </c>
      <c r="I50" s="74">
        <v>-982</v>
      </c>
      <c r="J50" s="52">
        <v>-1011</v>
      </c>
      <c r="K50" s="52">
        <v>-1080</v>
      </c>
      <c r="L50" s="52">
        <v>-1176</v>
      </c>
      <c r="M50" s="52">
        <v>-1494</v>
      </c>
      <c r="N50" s="52">
        <v>-1835</v>
      </c>
    </row>
    <row r="51" spans="2:14">
      <c r="B51" s="109" t="s">
        <v>225</v>
      </c>
      <c r="C51" s="111">
        <v>-463</v>
      </c>
      <c r="D51" s="111">
        <v>-586</v>
      </c>
      <c r="E51" s="111">
        <v>-465</v>
      </c>
      <c r="F51" s="111">
        <v>-866</v>
      </c>
      <c r="G51" s="111">
        <v>-681</v>
      </c>
      <c r="H51" s="110">
        <v>-1556</v>
      </c>
      <c r="I51" s="111">
        <v>-918</v>
      </c>
      <c r="J51" s="111">
        <v>-518</v>
      </c>
      <c r="K51" s="111">
        <v>-541</v>
      </c>
      <c r="L51" s="111">
        <v>-317</v>
      </c>
      <c r="M51" s="110">
        <v>-1282</v>
      </c>
      <c r="N51" s="110">
        <v>-2548</v>
      </c>
    </row>
    <row r="52" spans="2:14">
      <c r="B52" s="112" t="s">
        <v>98</v>
      </c>
      <c r="C52" s="74">
        <v>-644</v>
      </c>
      <c r="D52" s="74">
        <v>-251</v>
      </c>
      <c r="E52" s="74">
        <v>-454</v>
      </c>
      <c r="F52" s="74">
        <v>-817</v>
      </c>
      <c r="G52" s="74">
        <v>-684</v>
      </c>
      <c r="H52" s="52">
        <v>-1426</v>
      </c>
      <c r="I52" s="52">
        <v>-1151</v>
      </c>
      <c r="J52" s="74">
        <v>-404</v>
      </c>
      <c r="K52" s="74">
        <v>-282</v>
      </c>
      <c r="L52" s="74">
        <v>-551</v>
      </c>
      <c r="M52" s="52">
        <v>-1446</v>
      </c>
      <c r="N52" s="52">
        <v>-2496</v>
      </c>
    </row>
    <row r="53" spans="2:14">
      <c r="B53" s="112" t="s">
        <v>99</v>
      </c>
      <c r="C53" s="74">
        <v>7</v>
      </c>
      <c r="D53" s="74">
        <v>16</v>
      </c>
      <c r="E53" s="74">
        <v>16</v>
      </c>
      <c r="F53" s="74">
        <v>15</v>
      </c>
      <c r="G53" s="74">
        <v>17</v>
      </c>
      <c r="H53" s="74">
        <v>17</v>
      </c>
      <c r="I53" s="74">
        <v>17</v>
      </c>
      <c r="J53" s="74">
        <v>37</v>
      </c>
      <c r="K53" s="74">
        <v>28</v>
      </c>
      <c r="L53" s="74">
        <v>40</v>
      </c>
      <c r="M53" s="74">
        <v>26</v>
      </c>
      <c r="N53" s="74">
        <v>5</v>
      </c>
    </row>
    <row r="54" spans="2:14">
      <c r="B54" s="112" t="s">
        <v>100</v>
      </c>
      <c r="C54" s="74">
        <v>-247</v>
      </c>
      <c r="D54" s="74">
        <v>-872</v>
      </c>
      <c r="E54" s="74">
        <v>-243</v>
      </c>
      <c r="F54" s="74">
        <v>-282</v>
      </c>
      <c r="G54" s="74">
        <v>-153</v>
      </c>
      <c r="H54" s="74">
        <v>-320</v>
      </c>
      <c r="I54" s="74">
        <v>-573</v>
      </c>
      <c r="J54" s="74">
        <v>-25</v>
      </c>
      <c r="K54" s="74">
        <v>-140</v>
      </c>
      <c r="L54" s="74">
        <v>0</v>
      </c>
      <c r="M54" s="74">
        <v>-146</v>
      </c>
      <c r="N54" s="74">
        <v>-212</v>
      </c>
    </row>
    <row r="55" spans="2:14">
      <c r="B55" s="112" t="s">
        <v>101</v>
      </c>
      <c r="C55" s="74">
        <v>330</v>
      </c>
      <c r="D55" s="74">
        <v>463</v>
      </c>
      <c r="E55" s="74">
        <v>278</v>
      </c>
      <c r="F55" s="74">
        <v>205</v>
      </c>
      <c r="G55" s="74">
        <v>357</v>
      </c>
      <c r="H55" s="74">
        <v>362</v>
      </c>
      <c r="I55" s="74">
        <v>733</v>
      </c>
      <c r="J55" s="74">
        <v>134</v>
      </c>
      <c r="K55" s="74">
        <v>272</v>
      </c>
      <c r="L55" s="74">
        <v>207</v>
      </c>
      <c r="M55" s="74">
        <v>446</v>
      </c>
      <c r="N55" s="74">
        <v>240</v>
      </c>
    </row>
    <row r="56" spans="2:14">
      <c r="B56" s="112" t="s">
        <v>102</v>
      </c>
      <c r="C56" s="74">
        <v>11</v>
      </c>
      <c r="D56" s="74">
        <v>14</v>
      </c>
      <c r="E56" s="74">
        <v>11</v>
      </c>
      <c r="F56" s="74">
        <v>15</v>
      </c>
      <c r="G56" s="74">
        <v>32</v>
      </c>
      <c r="H56" s="74">
        <v>39</v>
      </c>
      <c r="I56" s="74">
        <v>40</v>
      </c>
      <c r="J56" s="74">
        <v>65</v>
      </c>
      <c r="K56" s="74">
        <v>73</v>
      </c>
      <c r="L56" s="74">
        <v>77</v>
      </c>
      <c r="M56" s="74">
        <v>87</v>
      </c>
      <c r="N56" s="74">
        <v>135</v>
      </c>
    </row>
    <row r="57" spans="2:14">
      <c r="B57" s="112" t="s">
        <v>103</v>
      </c>
      <c r="C57" s="74">
        <v>33</v>
      </c>
      <c r="D57" s="74">
        <v>65</v>
      </c>
      <c r="E57" s="74">
        <v>71</v>
      </c>
      <c r="F57" s="74">
        <v>69</v>
      </c>
      <c r="G57" s="74">
        <v>74</v>
      </c>
      <c r="H57" s="74">
        <v>38</v>
      </c>
      <c r="I57" s="74">
        <v>40</v>
      </c>
      <c r="J57" s="74">
        <v>27</v>
      </c>
      <c r="K57" s="74">
        <v>8</v>
      </c>
      <c r="L57" s="74">
        <v>15</v>
      </c>
      <c r="M57" s="74">
        <v>56</v>
      </c>
      <c r="N57" s="74">
        <v>129</v>
      </c>
    </row>
    <row r="58" spans="2:14">
      <c r="B58" s="112" t="s">
        <v>104</v>
      </c>
      <c r="C58" s="74">
        <v>0</v>
      </c>
      <c r="D58" s="74">
        <v>0</v>
      </c>
      <c r="E58" s="74">
        <v>0</v>
      </c>
      <c r="F58" s="74">
        <v>0</v>
      </c>
      <c r="G58" s="74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-180</v>
      </c>
      <c r="N58" s="74">
        <v>0</v>
      </c>
    </row>
    <row r="59" spans="2:14">
      <c r="B59" s="112" t="s">
        <v>105</v>
      </c>
      <c r="C59" s="74">
        <v>0</v>
      </c>
      <c r="D59" s="74">
        <v>0</v>
      </c>
      <c r="E59" s="74">
        <v>0</v>
      </c>
      <c r="F59" s="74">
        <v>0</v>
      </c>
      <c r="G59" s="74">
        <v>0</v>
      </c>
      <c r="H59" s="74">
        <v>141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</row>
    <row r="60" spans="2:14">
      <c r="B60" s="112" t="s">
        <v>106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-525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</row>
    <row r="61" spans="2:14">
      <c r="B61" s="112" t="s">
        <v>108</v>
      </c>
      <c r="C61" s="74">
        <v>46</v>
      </c>
      <c r="D61" s="74">
        <v>-21</v>
      </c>
      <c r="E61" s="74">
        <v>-144</v>
      </c>
      <c r="F61" s="74">
        <v>-70</v>
      </c>
      <c r="G61" s="74">
        <v>-324</v>
      </c>
      <c r="H61" s="74">
        <v>118</v>
      </c>
      <c r="I61" s="74">
        <v>-24</v>
      </c>
      <c r="J61" s="74">
        <v>-353</v>
      </c>
      <c r="K61" s="74">
        <v>-500</v>
      </c>
      <c r="L61" s="74">
        <v>-105</v>
      </c>
      <c r="M61" s="74">
        <v>-126</v>
      </c>
      <c r="N61" s="74">
        <v>-350</v>
      </c>
    </row>
    <row r="62" spans="2:14">
      <c r="B62" s="109" t="s">
        <v>226</v>
      </c>
      <c r="C62" s="111">
        <v>-601</v>
      </c>
      <c r="D62" s="111">
        <v>-626</v>
      </c>
      <c r="E62" s="111">
        <v>-576</v>
      </c>
      <c r="F62" s="111">
        <v>-849</v>
      </c>
      <c r="G62" s="111">
        <v>-756</v>
      </c>
      <c r="H62" s="110">
        <v>-1379</v>
      </c>
      <c r="I62" s="110">
        <v>-1117</v>
      </c>
      <c r="J62" s="110">
        <v>-2871</v>
      </c>
      <c r="K62" s="111">
        <v>-650</v>
      </c>
      <c r="L62" s="110">
        <v>-1808</v>
      </c>
      <c r="M62" s="110">
        <v>-2140</v>
      </c>
      <c r="N62" s="110">
        <v>-2982</v>
      </c>
    </row>
    <row r="63" spans="2:14">
      <c r="B63" s="112" t="s">
        <v>110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1</v>
      </c>
    </row>
    <row r="64" spans="2:14">
      <c r="B64" s="112" t="s">
        <v>113</v>
      </c>
      <c r="C64" s="74">
        <v>33</v>
      </c>
      <c r="D64" s="74">
        <v>44</v>
      </c>
      <c r="E64" s="74">
        <v>239</v>
      </c>
      <c r="F64" s="74">
        <v>8</v>
      </c>
      <c r="G64" s="74">
        <v>271</v>
      </c>
      <c r="H64" s="74">
        <v>10</v>
      </c>
      <c r="I64" s="74">
        <v>243</v>
      </c>
      <c r="J64" s="74">
        <v>18</v>
      </c>
      <c r="K64" s="74">
        <v>155</v>
      </c>
      <c r="L64" s="74">
        <v>418</v>
      </c>
      <c r="M64" s="74">
        <v>254</v>
      </c>
      <c r="N64" s="74">
        <v>101</v>
      </c>
    </row>
    <row r="65" spans="2:14">
      <c r="B65" s="112" t="s">
        <v>114</v>
      </c>
      <c r="C65" s="74">
        <v>-135</v>
      </c>
      <c r="D65" s="74">
        <v>-81</v>
      </c>
      <c r="E65" s="74">
        <v>-86</v>
      </c>
      <c r="F65" s="74">
        <v>-119</v>
      </c>
      <c r="G65" s="74">
        <v>-58</v>
      </c>
      <c r="H65" s="74">
        <v>-54</v>
      </c>
      <c r="I65" s="74">
        <v>-26</v>
      </c>
      <c r="J65" s="74">
        <v>-279</v>
      </c>
      <c r="K65" s="74">
        <v>-14</v>
      </c>
      <c r="L65" s="74">
        <v>-8</v>
      </c>
      <c r="M65" s="74">
        <v>-25</v>
      </c>
      <c r="N65" s="74">
        <v>-98</v>
      </c>
    </row>
    <row r="66" spans="2:14">
      <c r="B66" s="112" t="s">
        <v>115</v>
      </c>
      <c r="C66" s="74">
        <v>-37</v>
      </c>
      <c r="D66" s="74">
        <v>-42</v>
      </c>
      <c r="E66" s="74">
        <v>-35</v>
      </c>
      <c r="F66" s="74">
        <v>-40</v>
      </c>
      <c r="G66" s="74">
        <v>-36</v>
      </c>
      <c r="H66" s="74">
        <v>-35</v>
      </c>
      <c r="I66" s="74">
        <v>-106</v>
      </c>
      <c r="J66" s="74">
        <v>-101</v>
      </c>
      <c r="K66" s="74">
        <v>-89</v>
      </c>
      <c r="L66" s="74">
        <v>-94</v>
      </c>
      <c r="M66" s="74">
        <v>-142</v>
      </c>
      <c r="N66" s="74">
        <v>-191</v>
      </c>
    </row>
    <row r="67" spans="2:14">
      <c r="B67" s="112" t="s">
        <v>116</v>
      </c>
      <c r="C67" s="74">
        <v>-462</v>
      </c>
      <c r="D67" s="74">
        <v>-547</v>
      </c>
      <c r="E67" s="74">
        <v>-695</v>
      </c>
      <c r="F67" s="74">
        <v>-764</v>
      </c>
      <c r="G67" s="74">
        <v>-947</v>
      </c>
      <c r="H67" s="52">
        <v>-1218</v>
      </c>
      <c r="I67" s="52">
        <v>-1049</v>
      </c>
      <c r="J67" s="52">
        <v>-2121</v>
      </c>
      <c r="K67" s="74">
        <v>-499</v>
      </c>
      <c r="L67" s="52">
        <v>-1763</v>
      </c>
      <c r="M67" s="52">
        <v>-1936</v>
      </c>
      <c r="N67" s="52">
        <v>-2551</v>
      </c>
    </row>
    <row r="68" spans="2:14">
      <c r="B68" s="112" t="s">
        <v>117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-180</v>
      </c>
      <c r="J68" s="74">
        <v>-179</v>
      </c>
      <c r="K68" s="74">
        <v>-203</v>
      </c>
      <c r="L68" s="74">
        <v>-221</v>
      </c>
      <c r="M68" s="74">
        <v>-256</v>
      </c>
      <c r="N68" s="74">
        <v>-286</v>
      </c>
    </row>
    <row r="69" spans="2:14">
      <c r="B69" s="112" t="s">
        <v>118</v>
      </c>
      <c r="C69" s="74">
        <v>0</v>
      </c>
      <c r="D69" s="74">
        <v>0</v>
      </c>
      <c r="E69" s="74">
        <v>0</v>
      </c>
      <c r="F69" s="74">
        <v>66</v>
      </c>
      <c r="G69" s="74">
        <v>13</v>
      </c>
      <c r="H69" s="74">
        <v>-82</v>
      </c>
      <c r="I69" s="74">
        <v>0</v>
      </c>
      <c r="J69" s="74">
        <v>-209</v>
      </c>
      <c r="K69" s="74">
        <v>0</v>
      </c>
      <c r="L69" s="74">
        <v>-140</v>
      </c>
      <c r="M69" s="74">
        <v>-36</v>
      </c>
      <c r="N69" s="74">
        <v>41</v>
      </c>
    </row>
    <row r="70" spans="2:14">
      <c r="B70" s="109" t="s">
        <v>52</v>
      </c>
      <c r="C70" s="111">
        <v>123</v>
      </c>
      <c r="D70" s="111">
        <v>190</v>
      </c>
      <c r="E70" s="111">
        <v>147</v>
      </c>
      <c r="F70" s="111">
        <v>528</v>
      </c>
      <c r="G70" s="111">
        <v>90</v>
      </c>
      <c r="H70" s="111">
        <v>-822</v>
      </c>
      <c r="I70" s="111">
        <v>434</v>
      </c>
      <c r="J70" s="111">
        <v>-351</v>
      </c>
      <c r="K70" s="110">
        <v>2492</v>
      </c>
      <c r="L70" s="110">
        <v>-1138</v>
      </c>
      <c r="M70" s="111">
        <v>771</v>
      </c>
      <c r="N70" s="111">
        <v>573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870A-9447-4BD3-941A-A2A6115AC553}">
  <dimension ref="A2:P1045438"/>
  <sheetViews>
    <sheetView showGridLines="0" tabSelected="1" topLeftCell="A10" workbookViewId="0">
      <selection activeCell="I24" sqref="I24"/>
    </sheetView>
  </sheetViews>
  <sheetFormatPr defaultRowHeight="14.5" outlineLevelRow="1"/>
  <cols>
    <col min="1" max="1" width="1.81640625" customWidth="1"/>
    <col min="5" max="5" width="11.81640625" bestFit="1" customWidth="1"/>
    <col min="7" max="7" width="10.36328125" customWidth="1"/>
    <col min="8" max="11" width="11.81640625" bestFit="1" customWidth="1"/>
  </cols>
  <sheetData>
    <row r="2" spans="2:11">
      <c r="B2" s="14" t="s">
        <v>237</v>
      </c>
      <c r="C2" s="14"/>
      <c r="D2" s="14"/>
      <c r="E2" s="14"/>
      <c r="F2" s="125">
        <f>'Intrisic Growth'!J2</f>
        <v>45382</v>
      </c>
      <c r="G2" s="126">
        <f>F2+365</f>
        <v>45747</v>
      </c>
      <c r="H2" s="126">
        <f t="shared" ref="H2:K2" si="0">G2+365</f>
        <v>46112</v>
      </c>
      <c r="I2" s="126">
        <f t="shared" si="0"/>
        <v>46477</v>
      </c>
      <c r="J2" s="126">
        <f t="shared" si="0"/>
        <v>46842</v>
      </c>
      <c r="K2" s="126">
        <f t="shared" si="0"/>
        <v>47207</v>
      </c>
    </row>
    <row r="4" spans="2:11">
      <c r="B4" s="100" t="s">
        <v>150</v>
      </c>
      <c r="C4" s="100"/>
      <c r="D4" s="100"/>
      <c r="E4" s="100"/>
      <c r="F4" s="142">
        <f>'Intrisic Growth'!J33</f>
        <v>6017</v>
      </c>
      <c r="G4" s="143">
        <f>F4*(1+$E$14)</f>
        <v>6312.4346999999998</v>
      </c>
      <c r="H4" s="143">
        <f>G4*(1+$E$14)</f>
        <v>6622.3752437699995</v>
      </c>
      <c r="I4" s="143">
        <f>H4*(1+$E$14)</f>
        <v>6947.5338682391057</v>
      </c>
      <c r="J4" s="143">
        <f>I4*(1+$E$14)</f>
        <v>7288.6577811696452</v>
      </c>
      <c r="K4" s="143">
        <f>J4*(1+$E$14)</f>
        <v>7646.530878225074</v>
      </c>
    </row>
    <row r="5" spans="2:11">
      <c r="B5" s="100" t="s">
        <v>238</v>
      </c>
      <c r="C5" s="100"/>
      <c r="D5" s="100"/>
      <c r="E5" s="100"/>
      <c r="F5" s="132">
        <v>0.25</v>
      </c>
      <c r="G5" s="133">
        <f>F5</f>
        <v>0.25</v>
      </c>
      <c r="H5" s="133">
        <f t="shared" ref="H5:J5" si="1">G5</f>
        <v>0.25</v>
      </c>
      <c r="I5" s="133">
        <f>H5</f>
        <v>0.25</v>
      </c>
      <c r="J5" s="133">
        <f t="shared" si="1"/>
        <v>0.25</v>
      </c>
      <c r="K5" s="133">
        <f>J5</f>
        <v>0.25</v>
      </c>
    </row>
    <row r="6" spans="2:11">
      <c r="B6" s="100" t="s">
        <v>231</v>
      </c>
      <c r="C6" s="100"/>
      <c r="D6" s="100"/>
      <c r="E6" s="100"/>
      <c r="F6" s="142">
        <f t="shared" ref="F6:K6" si="2">F4*(1-F5)</f>
        <v>4512.75</v>
      </c>
      <c r="G6" s="143">
        <f t="shared" si="2"/>
        <v>4734.3260250000003</v>
      </c>
      <c r="H6" s="143">
        <f t="shared" si="2"/>
        <v>4966.7814328274999</v>
      </c>
      <c r="I6" s="143">
        <f t="shared" si="2"/>
        <v>5210.6504011793295</v>
      </c>
      <c r="J6" s="143">
        <f t="shared" si="2"/>
        <v>5466.4933358772341</v>
      </c>
      <c r="K6" s="143">
        <f t="shared" si="2"/>
        <v>5734.898158668806</v>
      </c>
    </row>
    <row r="7" spans="2:11">
      <c r="B7" s="100" t="s">
        <v>239</v>
      </c>
      <c r="C7" s="100"/>
      <c r="D7" s="100"/>
      <c r="E7" s="100"/>
      <c r="F7" s="135">
        <f>'Intrisic Growth'!J52</f>
        <v>0.4972899210977943</v>
      </c>
      <c r="G7" s="133">
        <f>F7+(($K$7-$F$7)/4)</f>
        <v>0.50834244082334568</v>
      </c>
      <c r="H7" s="133">
        <f>G7+(($K$7-$F$7)/4)</f>
        <v>0.51939496054889711</v>
      </c>
      <c r="I7" s="133">
        <f>H7+(($K$7-$F$7)/4)</f>
        <v>0.53044748027444855</v>
      </c>
      <c r="J7" s="133">
        <f t="shared" ref="J7" si="3">I7+(($K$7-$F$7)/4)</f>
        <v>0.54149999999999998</v>
      </c>
      <c r="K7" s="136">
        <v>0.54149999999999998</v>
      </c>
    </row>
    <row r="8" spans="2:11">
      <c r="B8" s="100" t="s">
        <v>240</v>
      </c>
      <c r="C8" s="100"/>
      <c r="D8" s="100"/>
      <c r="E8" s="100"/>
      <c r="F8" s="142">
        <f t="shared" ref="F8:K8" si="4">F6*(1-F7)</f>
        <v>2268.6049085659283</v>
      </c>
      <c r="G8" s="143">
        <f t="shared" si="4"/>
        <v>2327.6671777980123</v>
      </c>
      <c r="H8" s="143">
        <f t="shared" si="4"/>
        <v>2387.0601864690661</v>
      </c>
      <c r="I8" s="143">
        <f t="shared" si="4"/>
        <v>2446.6740252827099</v>
      </c>
      <c r="J8" s="143">
        <f t="shared" si="4"/>
        <v>2506.3871944997118</v>
      </c>
      <c r="K8" s="143">
        <f t="shared" si="4"/>
        <v>2629.4508057496478</v>
      </c>
    </row>
    <row r="9" spans="2:11">
      <c r="B9" s="100" t="s">
        <v>241</v>
      </c>
      <c r="C9" s="100"/>
      <c r="D9" s="100"/>
      <c r="E9" s="100"/>
      <c r="F9" s="134"/>
      <c r="G9" s="137">
        <v>0.5</v>
      </c>
      <c r="H9" s="138">
        <f>G9+1</f>
        <v>1.5</v>
      </c>
      <c r="I9" s="138">
        <f t="shared" ref="I9:K9" si="5">H9+1</f>
        <v>2.5</v>
      </c>
      <c r="J9" s="138">
        <f t="shared" si="5"/>
        <v>3.5</v>
      </c>
      <c r="K9" s="138">
        <f t="shared" si="5"/>
        <v>4.5</v>
      </c>
    </row>
    <row r="10" spans="2:11">
      <c r="B10" s="100" t="s">
        <v>242</v>
      </c>
      <c r="C10" s="100"/>
      <c r="D10" s="100"/>
      <c r="E10" s="100"/>
      <c r="F10" s="134"/>
      <c r="G10" s="139">
        <f>1/(1+$E$16)^G9</f>
        <v>0.91135327072061156</v>
      </c>
      <c r="H10" s="139">
        <f t="shared" ref="H10:K10" si="6">1/(1+$E$16)^H9</f>
        <v>0.7569379324922022</v>
      </c>
      <c r="I10" s="139">
        <f t="shared" si="6"/>
        <v>0.62868599044202844</v>
      </c>
      <c r="J10" s="139">
        <f t="shared" si="6"/>
        <v>0.52216444388872796</v>
      </c>
      <c r="K10" s="139">
        <f t="shared" si="6"/>
        <v>0.43369139857867772</v>
      </c>
    </row>
    <row r="11" spans="2:11" ht="4" customHeight="1">
      <c r="F11" s="140"/>
      <c r="G11" s="51"/>
      <c r="H11" s="51"/>
      <c r="I11" s="51"/>
      <c r="J11" s="51"/>
      <c r="K11" s="51"/>
    </row>
    <row r="12" spans="2:11" ht="15" thickBot="1">
      <c r="B12" s="128" t="s">
        <v>243</v>
      </c>
      <c r="C12" s="128"/>
      <c r="D12" s="128"/>
      <c r="E12" s="128"/>
      <c r="F12" s="141"/>
      <c r="G12" s="142">
        <f>G8*G10</f>
        <v>2121.3270956352339</v>
      </c>
      <c r="H12" s="143">
        <f t="shared" ref="H12:K12" si="7">H8*H10</f>
        <v>1806.8564022803455</v>
      </c>
      <c r="I12" s="143">
        <f t="shared" si="7"/>
        <v>1538.1896828736451</v>
      </c>
      <c r="J12" s="143">
        <f t="shared" si="7"/>
        <v>1308.7462755857709</v>
      </c>
      <c r="K12" s="143">
        <f t="shared" si="7"/>
        <v>1140.3701974393957</v>
      </c>
    </row>
    <row r="13" spans="2:11" ht="15" thickTop="1"/>
    <row r="14" spans="2:11" outlineLevel="1">
      <c r="B14" s="129" t="s">
        <v>244</v>
      </c>
      <c r="C14" s="129"/>
      <c r="D14" s="129"/>
      <c r="E14" s="130">
        <v>4.9099999999999998E-2</v>
      </c>
    </row>
    <row r="15" spans="2:11" outlineLevel="1">
      <c r="B15" s="129" t="s">
        <v>245</v>
      </c>
      <c r="C15" s="129"/>
      <c r="D15" s="129"/>
      <c r="E15" s="130">
        <v>5.3800000000000001E-2</v>
      </c>
    </row>
    <row r="16" spans="2:11" outlineLevel="1">
      <c r="B16" s="129" t="s">
        <v>246</v>
      </c>
      <c r="C16" s="129"/>
      <c r="D16" s="129"/>
      <c r="E16" s="130">
        <v>0.20399999999999999</v>
      </c>
    </row>
    <row r="18" spans="2:11">
      <c r="B18" s="14" t="s">
        <v>247</v>
      </c>
      <c r="C18" s="14"/>
      <c r="D18" s="14"/>
      <c r="E18" s="14"/>
      <c r="G18" s="158" t="s">
        <v>261</v>
      </c>
      <c r="H18" s="158"/>
      <c r="I18" s="158"/>
      <c r="J18" s="158"/>
      <c r="K18" s="158"/>
    </row>
    <row r="19" spans="2:11">
      <c r="G19" s="159">
        <f>E30</f>
        <v>15916.302663545652</v>
      </c>
      <c r="H19" s="160">
        <v>0.18</v>
      </c>
      <c r="I19" s="161">
        <v>0.20399999999999999</v>
      </c>
      <c r="J19" s="160">
        <v>0.22</v>
      </c>
      <c r="K19" s="160">
        <v>0.24</v>
      </c>
    </row>
    <row r="20" spans="2:11">
      <c r="B20" t="s">
        <v>248</v>
      </c>
      <c r="E20" s="156">
        <f>K8*(1+E15)</f>
        <v>2770.9152590989788</v>
      </c>
      <c r="F20" s="144"/>
      <c r="G20" s="161">
        <v>0.03</v>
      </c>
      <c r="H20" s="162">
        <f t="dataTable" ref="H20:K24" dt2D="1" dtr="1" r1="E21" r2="E22"/>
        <v>15926.970414225292</v>
      </c>
      <c r="I20" s="162">
        <v>14821.938585203101</v>
      </c>
      <c r="J20" s="162">
        <v>14240.342885717735</v>
      </c>
      <c r="K20" s="163">
        <v>13637.975911250749</v>
      </c>
    </row>
    <row r="21" spans="2:11">
      <c r="B21" t="s">
        <v>246</v>
      </c>
      <c r="E21" s="127">
        <f>E16</f>
        <v>0.20399999999999999</v>
      </c>
      <c r="G21" s="161">
        <v>0.04</v>
      </c>
      <c r="H21" s="163">
        <v>16499.219039968928</v>
      </c>
      <c r="I21" s="163">
        <v>15243.063520043877</v>
      </c>
      <c r="J21" s="163">
        <v>14591.723620823475</v>
      </c>
      <c r="K21" s="163">
        <v>13924.100224122569</v>
      </c>
    </row>
    <row r="22" spans="2:11">
      <c r="B22" t="s">
        <v>249</v>
      </c>
      <c r="E22" s="127">
        <f>E15</f>
        <v>5.3800000000000001E-2</v>
      </c>
      <c r="G22" s="161">
        <v>5.3800000000000001E-2</v>
      </c>
      <c r="H22" s="163">
        <v>17437.851888851124</v>
      </c>
      <c r="I22" s="164">
        <v>15916.302663545652</v>
      </c>
      <c r="J22" s="163">
        <v>15146.067957434338</v>
      </c>
      <c r="K22" s="163">
        <v>14369.421523103518</v>
      </c>
    </row>
    <row r="23" spans="2:11" ht="15" thickBot="1">
      <c r="B23" s="147" t="s">
        <v>250</v>
      </c>
      <c r="C23" s="147"/>
      <c r="D23" s="147"/>
      <c r="E23" s="157">
        <f>E20/(E21-E22)</f>
        <v>18448.170832882683</v>
      </c>
      <c r="F23" s="144"/>
      <c r="G23" s="161">
        <v>0.06</v>
      </c>
      <c r="H23" s="163">
        <v>17929.840604328019</v>
      </c>
      <c r="I23" s="163">
        <v>16260.782112575747</v>
      </c>
      <c r="J23" s="163">
        <v>15426.252866699611</v>
      </c>
      <c r="K23" s="163">
        <v>14591.723620823475</v>
      </c>
    </row>
    <row r="24" spans="2:11" ht="15" thickTop="1">
      <c r="G24" s="161">
        <v>7.0000000000000007E-2</v>
      </c>
      <c r="H24" s="162">
        <v>18840.236145283801</v>
      </c>
      <c r="I24" s="162">
        <v>16883.565131886298</v>
      </c>
      <c r="J24" s="162">
        <v>15926.970414225292</v>
      </c>
      <c r="K24" s="163">
        <v>14984.443265941658</v>
      </c>
    </row>
    <row r="26" spans="2:11">
      <c r="B26" s="14" t="s">
        <v>255</v>
      </c>
      <c r="C26" s="14"/>
      <c r="D26" s="14"/>
      <c r="E26" s="14"/>
    </row>
    <row r="28" spans="2:11">
      <c r="B28" t="s">
        <v>243</v>
      </c>
      <c r="E28" s="145">
        <f>SUM(G12:K12)</f>
        <v>7915.4896538143912</v>
      </c>
    </row>
    <row r="29" spans="2:11">
      <c r="B29" t="s">
        <v>251</v>
      </c>
      <c r="E29" s="145">
        <f>E23*K10</f>
        <v>8000.8130097312605</v>
      </c>
    </row>
    <row r="30" spans="2:11">
      <c r="B30" s="11" t="s">
        <v>252</v>
      </c>
      <c r="C30" s="11"/>
      <c r="D30" s="11"/>
      <c r="E30" s="146">
        <f>SUM(E28:E29)</f>
        <v>15916.302663545652</v>
      </c>
    </row>
    <row r="31" spans="2:11">
      <c r="E31" s="145"/>
    </row>
    <row r="32" spans="2:11">
      <c r="B32" t="s">
        <v>253</v>
      </c>
      <c r="E32" s="145">
        <f>'Data Sheet'!K69</f>
        <v>943</v>
      </c>
    </row>
    <row r="33" spans="2:5">
      <c r="B33" t="s">
        <v>254</v>
      </c>
      <c r="E33" s="145">
        <f>SUM('Raw FS'!N6:N7)</f>
        <v>1107</v>
      </c>
    </row>
    <row r="34" spans="2:5">
      <c r="B34" s="11" t="s">
        <v>256</v>
      </c>
      <c r="E34" s="146">
        <f>E30+E32-E33</f>
        <v>15752.302663545652</v>
      </c>
    </row>
    <row r="35" spans="2:5">
      <c r="B35" s="131" t="s">
        <v>257</v>
      </c>
      <c r="C35" s="131"/>
      <c r="D35" s="131"/>
      <c r="E35" s="149">
        <f>'Data Sheet'!B6</f>
        <v>129.51521771884887</v>
      </c>
    </row>
    <row r="36" spans="2:5" ht="4" customHeight="1">
      <c r="E36" s="145"/>
    </row>
    <row r="37" spans="2:5" ht="15" thickBot="1">
      <c r="B37" s="147" t="s">
        <v>258</v>
      </c>
      <c r="C37" s="147"/>
      <c r="D37" s="147"/>
      <c r="E37" s="148">
        <f>E34/E35</f>
        <v>121.62511047729301</v>
      </c>
    </row>
    <row r="38" spans="2:5" ht="15" thickTop="1"/>
    <row r="39" spans="2:5">
      <c r="B39" t="s">
        <v>259</v>
      </c>
      <c r="E39">
        <v>634</v>
      </c>
    </row>
    <row r="40" spans="2:5">
      <c r="B40" t="s">
        <v>260</v>
      </c>
      <c r="E40" s="150">
        <f>E39/E37</f>
        <v>5.2127393554833867</v>
      </c>
    </row>
    <row r="1045390" spans="1:1">
      <c r="A1045390" t="s">
        <v>83</v>
      </c>
    </row>
    <row r="1045407" spans="16:16">
      <c r="P1045407" t="s">
        <v>83</v>
      </c>
    </row>
    <row r="1045438" spans="1:1">
      <c r="A1045438" t="s">
        <v>83</v>
      </c>
    </row>
  </sheetData>
  <mergeCells count="1">
    <mergeCell ref="G18:K18"/>
  </mergeCells>
  <pageMargins left="0.7" right="0.7" top="0.75" bottom="0.75" header="0.3" footer="0.3"/>
  <pageSetup orientation="portrait" r:id="rId1"/>
  <ignoredErrors>
    <ignoredError sqref="E33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A41D-A488-40E0-920B-CE80783B0939}">
  <dimension ref="A2:J62"/>
  <sheetViews>
    <sheetView showGridLines="0" topLeftCell="A31" workbookViewId="0">
      <selection activeCell="F20" sqref="F20"/>
    </sheetView>
  </sheetViews>
  <sheetFormatPr defaultRowHeight="14.5"/>
  <cols>
    <col min="1" max="1" width="1.81640625" customWidth="1"/>
    <col min="6" max="6" width="10.81640625" bestFit="1" customWidth="1"/>
    <col min="7" max="7" width="12.08984375" customWidth="1"/>
    <col min="8" max="8" width="9.54296875" bestFit="1" customWidth="1"/>
    <col min="9" max="9" width="13.453125" customWidth="1"/>
    <col min="10" max="10" width="9.54296875" bestFit="1" customWidth="1"/>
  </cols>
  <sheetData>
    <row r="2" spans="2:10">
      <c r="B2" s="95" t="s">
        <v>214</v>
      </c>
      <c r="C2" s="95"/>
      <c r="D2" s="95"/>
      <c r="E2" s="95"/>
      <c r="F2" s="96">
        <v>43921</v>
      </c>
      <c r="G2" s="96">
        <v>44286</v>
      </c>
      <c r="H2" s="96">
        <v>44651</v>
      </c>
      <c r="I2" s="96">
        <v>45016</v>
      </c>
      <c r="J2" s="96">
        <v>45382</v>
      </c>
    </row>
    <row r="4" spans="2:10">
      <c r="B4" s="11" t="s">
        <v>215</v>
      </c>
    </row>
    <row r="5" spans="2:10">
      <c r="B5" s="99" t="str">
        <f>'Raw FS'!B34</f>
        <v>Inventories</v>
      </c>
      <c r="C5" s="99"/>
      <c r="D5" s="99"/>
      <c r="E5" s="99"/>
      <c r="F5" s="113">
        <f>'Raw FS'!J34</f>
        <v>3390</v>
      </c>
      <c r="G5" s="113">
        <f>'Raw FS'!K34</f>
        <v>3799</v>
      </c>
      <c r="H5" s="113">
        <f>'Raw FS'!L34</f>
        <v>6153</v>
      </c>
      <c r="I5" s="113">
        <f>'Raw FS'!M34</f>
        <v>6211</v>
      </c>
      <c r="J5" s="113">
        <f>'Raw FS'!N34</f>
        <v>5923</v>
      </c>
    </row>
    <row r="6" spans="2:10">
      <c r="B6" s="99" t="str">
        <f>'Raw FS'!B35</f>
        <v xml:space="preserve">Trade receivables </v>
      </c>
      <c r="C6" s="99"/>
      <c r="D6" s="99"/>
      <c r="E6" s="99"/>
      <c r="F6" s="113">
        <f>'Raw FS'!J35</f>
        <v>1795</v>
      </c>
      <c r="G6" s="113">
        <f>'Raw FS'!K35</f>
        <v>2602</v>
      </c>
      <c r="H6" s="113">
        <f>'Raw FS'!L35</f>
        <v>3871</v>
      </c>
      <c r="I6" s="113">
        <f>'Raw FS'!M35</f>
        <v>4637</v>
      </c>
      <c r="J6" s="113">
        <f>'Raw FS'!N35</f>
        <v>4889</v>
      </c>
    </row>
    <row r="7" spans="2:10">
      <c r="B7" s="99" t="str">
        <f>'Raw FS'!B37</f>
        <v>Loans n Advances</v>
      </c>
      <c r="C7" s="99"/>
      <c r="D7" s="99"/>
      <c r="E7" s="99"/>
      <c r="F7" s="113">
        <f>'Raw FS'!J37</f>
        <v>12</v>
      </c>
      <c r="G7" s="113">
        <f>'Raw FS'!K37</f>
        <v>11</v>
      </c>
      <c r="H7" s="113">
        <f>'Raw FS'!L37</f>
        <v>8</v>
      </c>
      <c r="I7" s="113">
        <f>'Raw FS'!M37</f>
        <v>12</v>
      </c>
      <c r="J7" s="113">
        <f>'Raw FS'!N37</f>
        <v>17</v>
      </c>
    </row>
    <row r="8" spans="2:10">
      <c r="B8" s="35" t="str">
        <f>'Raw FS'!B38</f>
        <v>Other asset items</v>
      </c>
      <c r="C8" s="35"/>
      <c r="D8" s="35"/>
      <c r="E8" s="35"/>
      <c r="F8" s="114">
        <f>'Raw FS'!J38</f>
        <v>1727</v>
      </c>
      <c r="G8" s="114">
        <f>'Raw FS'!K38</f>
        <v>2555</v>
      </c>
      <c r="H8" s="114">
        <f>'Raw FS'!L38</f>
        <v>2869</v>
      </c>
      <c r="I8" s="114">
        <f>'Raw FS'!M38</f>
        <v>3024</v>
      </c>
      <c r="J8" s="114">
        <f>'Raw FS'!N38</f>
        <v>3555</v>
      </c>
    </row>
    <row r="9" spans="2:10">
      <c r="B9" s="97" t="s">
        <v>79</v>
      </c>
      <c r="C9" s="98"/>
      <c r="D9" s="98"/>
      <c r="E9" s="98"/>
      <c r="F9" s="115">
        <f>SUM(F5:F8)</f>
        <v>6924</v>
      </c>
      <c r="G9" s="115">
        <f t="shared" ref="G9:J9" si="0">SUM(G5:G8)</f>
        <v>8967</v>
      </c>
      <c r="H9" s="115">
        <f t="shared" si="0"/>
        <v>12901</v>
      </c>
      <c r="I9" s="115">
        <f t="shared" si="0"/>
        <v>13884</v>
      </c>
      <c r="J9" s="115">
        <f t="shared" si="0"/>
        <v>14384</v>
      </c>
    </row>
    <row r="10" spans="2:10">
      <c r="F10" s="116"/>
      <c r="G10" s="116"/>
      <c r="H10" s="116"/>
      <c r="I10" s="116"/>
      <c r="J10" s="116"/>
    </row>
    <row r="11" spans="2:10">
      <c r="B11" s="11" t="s">
        <v>216</v>
      </c>
      <c r="F11" s="116"/>
      <c r="G11" s="116"/>
      <c r="H11" s="116"/>
      <c r="I11" s="116"/>
      <c r="J11" s="116"/>
    </row>
    <row r="12" spans="2:10">
      <c r="B12" s="100" t="str">
        <f>'Raw FS'!B12</f>
        <v>Trade Payables</v>
      </c>
      <c r="C12" s="100"/>
      <c r="D12" s="100"/>
      <c r="E12" s="100"/>
      <c r="F12" s="117">
        <f>'Raw FS'!J12</f>
        <v>2137</v>
      </c>
      <c r="G12" s="117">
        <f>'Raw FS'!K12</f>
        <v>3379</v>
      </c>
      <c r="H12" s="117">
        <f>'Raw FS'!L12</f>
        <v>4164</v>
      </c>
      <c r="I12" s="117">
        <f>'Raw FS'!M12</f>
        <v>3635</v>
      </c>
      <c r="J12" s="117">
        <f>'Raw FS'!N12</f>
        <v>3831</v>
      </c>
    </row>
    <row r="13" spans="2:10">
      <c r="B13" s="100" t="str">
        <f>'Raw FS'!B13</f>
        <v>Advance from Customers</v>
      </c>
      <c r="C13" s="100"/>
      <c r="D13" s="100"/>
      <c r="E13" s="100"/>
      <c r="F13" s="117">
        <f>'Raw FS'!J13</f>
        <v>29</v>
      </c>
      <c r="G13" s="117">
        <f>'Raw FS'!K13</f>
        <v>41</v>
      </c>
      <c r="H13" s="117">
        <f>'Raw FS'!L13</f>
        <v>76</v>
      </c>
      <c r="I13" s="117">
        <f>'Raw FS'!M13</f>
        <v>108</v>
      </c>
      <c r="J13" s="117">
        <f>'Raw FS'!N13</f>
        <v>154</v>
      </c>
    </row>
    <row r="14" spans="2:10">
      <c r="B14" s="101" t="str">
        <f>'Raw FS'!B14</f>
        <v>Other liability items</v>
      </c>
      <c r="C14" s="101"/>
      <c r="D14" s="101"/>
      <c r="E14" s="101"/>
      <c r="F14" s="117">
        <f>'Raw FS'!J14</f>
        <v>2320</v>
      </c>
      <c r="G14" s="117">
        <f>'Raw FS'!K14</f>
        <v>2613</v>
      </c>
      <c r="H14" s="117">
        <f>'Raw FS'!L14</f>
        <v>2932</v>
      </c>
      <c r="I14" s="117">
        <f>'Raw FS'!M14</f>
        <v>3657</v>
      </c>
      <c r="J14" s="117">
        <f>'Raw FS'!N14</f>
        <v>4017</v>
      </c>
    </row>
    <row r="15" spans="2:10">
      <c r="B15" s="97" t="s">
        <v>217</v>
      </c>
      <c r="C15" s="98"/>
      <c r="D15" s="98"/>
      <c r="E15" s="98"/>
      <c r="F15" s="118">
        <f>SUM(F12:F14)</f>
        <v>4486</v>
      </c>
      <c r="G15" s="118">
        <f t="shared" ref="G15:J15" si="1">SUM(G12:G14)</f>
        <v>6033</v>
      </c>
      <c r="H15" s="118">
        <f t="shared" si="1"/>
        <v>7172</v>
      </c>
      <c r="I15" s="118">
        <f t="shared" si="1"/>
        <v>7400</v>
      </c>
      <c r="J15" s="118">
        <f t="shared" si="1"/>
        <v>8002</v>
      </c>
    </row>
    <row r="16" spans="2:10">
      <c r="F16" s="116"/>
      <c r="G16" s="116"/>
      <c r="H16" s="116"/>
      <c r="I16" s="116"/>
      <c r="J16" s="116"/>
    </row>
    <row r="17" spans="1:10" ht="15" thickBot="1">
      <c r="A17" t="s">
        <v>58</v>
      </c>
      <c r="B17" s="102" t="s">
        <v>218</v>
      </c>
      <c r="C17" s="103"/>
      <c r="D17" s="103"/>
      <c r="E17" s="103"/>
      <c r="F17" s="119">
        <f>F9-F15</f>
        <v>2438</v>
      </c>
      <c r="G17" s="119">
        <f t="shared" ref="G17:J17" si="2">G9-G15</f>
        <v>2934</v>
      </c>
      <c r="H17" s="119">
        <f t="shared" si="2"/>
        <v>5729</v>
      </c>
      <c r="I17" s="119">
        <f t="shared" si="2"/>
        <v>6484</v>
      </c>
      <c r="J17" s="119">
        <f t="shared" si="2"/>
        <v>6382</v>
      </c>
    </row>
    <row r="18" spans="1:10">
      <c r="F18" s="116"/>
      <c r="G18" s="116"/>
      <c r="H18" s="116"/>
      <c r="I18" s="116"/>
      <c r="J18" s="116"/>
    </row>
    <row r="19" spans="1:10">
      <c r="B19" s="11" t="s">
        <v>219</v>
      </c>
      <c r="F19" s="116"/>
      <c r="G19" s="116"/>
      <c r="H19" s="116"/>
      <c r="I19" s="116"/>
      <c r="J19" s="116"/>
    </row>
    <row r="20" spans="1:10">
      <c r="B20" s="100" t="str">
        <f>'Raw FS'!B18</f>
        <v>Land</v>
      </c>
      <c r="C20" s="100"/>
      <c r="D20" s="100"/>
      <c r="E20" s="100"/>
      <c r="F20" s="117">
        <f>'Raw FS'!J18</f>
        <v>640</v>
      </c>
      <c r="G20" s="117">
        <f>'Raw FS'!K18</f>
        <v>644</v>
      </c>
      <c r="H20" s="117">
        <f>'Raw FS'!L18</f>
        <v>644</v>
      </c>
      <c r="I20" s="117">
        <f>'Raw FS'!M18</f>
        <v>804</v>
      </c>
      <c r="J20" s="117">
        <f>'Raw FS'!N18</f>
        <v>1126</v>
      </c>
    </row>
    <row r="21" spans="1:10">
      <c r="B21" s="100" t="str">
        <f>'Raw FS'!B19</f>
        <v>Building</v>
      </c>
      <c r="C21" s="100"/>
      <c r="D21" s="100"/>
      <c r="E21" s="100"/>
      <c r="F21" s="117">
        <f>'Raw FS'!J19</f>
        <v>2257</v>
      </c>
      <c r="G21" s="117">
        <f>'Raw FS'!K19</f>
        <v>2249</v>
      </c>
      <c r="H21" s="117">
        <f>'Raw FS'!L19</f>
        <v>2325</v>
      </c>
      <c r="I21" s="117">
        <f>'Raw FS'!M19</f>
        <v>2883</v>
      </c>
      <c r="J21" s="117">
        <f>'Raw FS'!N19</f>
        <v>3390</v>
      </c>
    </row>
    <row r="22" spans="1:10">
      <c r="B22" s="100" t="str">
        <f>'Raw FS'!B20</f>
        <v>Plant Machinery</v>
      </c>
      <c r="C22" s="100"/>
      <c r="D22" s="100"/>
      <c r="E22" s="100"/>
      <c r="F22" s="117">
        <f>'Raw FS'!J20</f>
        <v>4208</v>
      </c>
      <c r="G22" s="117">
        <f>'Raw FS'!K20</f>
        <v>4340</v>
      </c>
      <c r="H22" s="117">
        <f>'Raw FS'!L20</f>
        <v>4531</v>
      </c>
      <c r="I22" s="117">
        <f>'Raw FS'!M20</f>
        <v>4825</v>
      </c>
      <c r="J22" s="117">
        <f>'Raw FS'!N20</f>
        <v>5422</v>
      </c>
    </row>
    <row r="23" spans="1:10">
      <c r="B23" s="100" t="str">
        <f>'Raw FS'!B21</f>
        <v>Equipments</v>
      </c>
      <c r="C23" s="100"/>
      <c r="D23" s="100"/>
      <c r="E23" s="100"/>
      <c r="F23" s="117">
        <f>'Raw FS'!J21</f>
        <v>241</v>
      </c>
      <c r="G23" s="117">
        <f>'Raw FS'!K21</f>
        <v>243</v>
      </c>
      <c r="H23" s="117">
        <f>'Raw FS'!L21</f>
        <v>253</v>
      </c>
      <c r="I23" s="117">
        <f>'Raw FS'!M21</f>
        <v>270</v>
      </c>
      <c r="J23" s="117">
        <f>'Raw FS'!N21</f>
        <v>298</v>
      </c>
    </row>
    <row r="24" spans="1:10">
      <c r="B24" s="100" t="str">
        <f>'Raw FS'!B22</f>
        <v>Furniture n fittings</v>
      </c>
      <c r="C24" s="100"/>
      <c r="D24" s="100"/>
      <c r="E24" s="100"/>
      <c r="F24" s="117">
        <f>'Raw FS'!J22</f>
        <v>94</v>
      </c>
      <c r="G24" s="117">
        <f>'Raw FS'!K22</f>
        <v>99</v>
      </c>
      <c r="H24" s="117">
        <f>'Raw FS'!L22</f>
        <v>113</v>
      </c>
      <c r="I24" s="117">
        <f>'Raw FS'!M22</f>
        <v>146</v>
      </c>
      <c r="J24" s="117">
        <f>'Raw FS'!N22</f>
        <v>175</v>
      </c>
    </row>
    <row r="25" spans="1:10">
      <c r="B25" s="100" t="str">
        <f>'Raw FS'!B23</f>
        <v>Vehicles</v>
      </c>
      <c r="C25" s="100"/>
      <c r="D25" s="100"/>
      <c r="E25" s="100"/>
      <c r="F25" s="117">
        <f>'Raw FS'!J23</f>
        <v>43</v>
      </c>
      <c r="G25" s="117">
        <f>'Raw FS'!K23</f>
        <v>38</v>
      </c>
      <c r="H25" s="117">
        <f>'Raw FS'!L23</f>
        <v>32</v>
      </c>
      <c r="I25" s="117">
        <f>'Raw FS'!M23</f>
        <v>36</v>
      </c>
      <c r="J25" s="117">
        <f>'Raw FS'!N23</f>
        <v>40</v>
      </c>
    </row>
    <row r="26" spans="1:10">
      <c r="B26" s="100" t="str">
        <f>'Raw FS'!B24</f>
        <v>Intangible Assets</v>
      </c>
      <c r="C26" s="100"/>
      <c r="D26" s="100"/>
      <c r="E26" s="100"/>
      <c r="F26" s="117">
        <f>'Raw FS'!J24</f>
        <v>505</v>
      </c>
      <c r="G26" s="117">
        <f>'Raw FS'!K24</f>
        <v>476</v>
      </c>
      <c r="H26" s="117">
        <f>'Raw FS'!L24</f>
        <v>345</v>
      </c>
      <c r="I26" s="117">
        <f>'Raw FS'!M24</f>
        <v>422</v>
      </c>
      <c r="J26" s="117">
        <f>'Raw FS'!N24</f>
        <v>850</v>
      </c>
    </row>
    <row r="27" spans="1:10">
      <c r="B27" s="100" t="str">
        <f>'Raw FS'!B25</f>
        <v>Other fixed assets</v>
      </c>
      <c r="C27" s="100"/>
      <c r="D27" s="100"/>
      <c r="E27" s="100"/>
      <c r="F27" s="117">
        <f>'Raw FS'!J25</f>
        <v>293</v>
      </c>
      <c r="G27" s="117">
        <f>'Raw FS'!K25</f>
        <v>302</v>
      </c>
      <c r="H27" s="117">
        <f>'Raw FS'!L25</f>
        <v>294</v>
      </c>
      <c r="I27" s="117">
        <f>'Raw FS'!M25</f>
        <v>289</v>
      </c>
      <c r="J27" s="117">
        <f>'Raw FS'!N25</f>
        <v>321</v>
      </c>
    </row>
    <row r="28" spans="1:10">
      <c r="B28" s="97" t="s">
        <v>205</v>
      </c>
      <c r="C28" s="98"/>
      <c r="D28" s="98"/>
      <c r="E28" s="98"/>
      <c r="F28" s="118">
        <f>SUM(F20:F27)</f>
        <v>8281</v>
      </c>
      <c r="G28" s="118">
        <f t="shared" ref="G28:J28" si="3">SUM(G20:G27)</f>
        <v>8391</v>
      </c>
      <c r="H28" s="118">
        <f t="shared" si="3"/>
        <v>8537</v>
      </c>
      <c r="I28" s="118">
        <f t="shared" si="3"/>
        <v>9675</v>
      </c>
      <c r="J28" s="118">
        <f t="shared" si="3"/>
        <v>11622</v>
      </c>
    </row>
    <row r="29" spans="1:10">
      <c r="B29" t="s">
        <v>206</v>
      </c>
      <c r="F29" s="116">
        <f>-'Raw FS'!J27</f>
        <v>-2010</v>
      </c>
      <c r="G29" s="116">
        <f>-'Raw FS'!K27</f>
        <v>-2533</v>
      </c>
      <c r="H29" s="116">
        <f>-'Raw FS'!L27</f>
        <v>-3019</v>
      </c>
      <c r="I29" s="116">
        <f>-'Raw FS'!M27</f>
        <v>-3814</v>
      </c>
      <c r="J29" s="116">
        <f>-'Raw FS'!N27</f>
        <v>-4381</v>
      </c>
    </row>
    <row r="30" spans="1:10" ht="15" thickBot="1">
      <c r="A30" t="s">
        <v>58</v>
      </c>
      <c r="B30" s="102" t="s">
        <v>220</v>
      </c>
      <c r="C30" s="103"/>
      <c r="D30" s="103"/>
      <c r="E30" s="103"/>
      <c r="F30" s="119">
        <f>SUM(F28:F29)</f>
        <v>6271</v>
      </c>
      <c r="G30" s="119">
        <f t="shared" ref="G30:J30" si="4">SUM(G28:G29)</f>
        <v>5858</v>
      </c>
      <c r="H30" s="119">
        <f t="shared" si="4"/>
        <v>5518</v>
      </c>
      <c r="I30" s="119">
        <f t="shared" si="4"/>
        <v>5861</v>
      </c>
      <c r="J30" s="119">
        <f t="shared" si="4"/>
        <v>7241</v>
      </c>
    </row>
    <row r="31" spans="1:10">
      <c r="F31" s="116"/>
      <c r="G31" s="116"/>
      <c r="H31" s="116"/>
      <c r="I31" s="116"/>
      <c r="J31" s="116"/>
    </row>
    <row r="32" spans="1:10">
      <c r="A32" t="s">
        <v>58</v>
      </c>
      <c r="B32" s="104" t="s">
        <v>221</v>
      </c>
      <c r="F32" s="120">
        <f>F30+F17</f>
        <v>8709</v>
      </c>
      <c r="G32" s="120">
        <f t="shared" ref="G32:J32" si="5">G30+G17</f>
        <v>8792</v>
      </c>
      <c r="H32" s="120">
        <f t="shared" si="5"/>
        <v>11247</v>
      </c>
      <c r="I32" s="120">
        <f t="shared" si="5"/>
        <v>12345</v>
      </c>
      <c r="J32" s="120">
        <f t="shared" si="5"/>
        <v>13623</v>
      </c>
    </row>
    <row r="33" spans="1:10">
      <c r="B33" s="11" t="s">
        <v>150</v>
      </c>
      <c r="C33" s="11"/>
      <c r="D33" s="11"/>
      <c r="E33" s="11"/>
      <c r="F33" s="120">
        <f>HistoricalFS!H27</f>
        <v>4401</v>
      </c>
      <c r="G33" s="120">
        <f>HistoricalFS!I27</f>
        <v>5206</v>
      </c>
      <c r="H33" s="120">
        <f>HistoricalFS!J27</f>
        <v>6534</v>
      </c>
      <c r="I33" s="120">
        <f>HistoricalFS!K27</f>
        <v>6234</v>
      </c>
      <c r="J33" s="120">
        <f>HistoricalFS!L27</f>
        <v>6017</v>
      </c>
    </row>
    <row r="35" spans="1:10" ht="15" thickBot="1">
      <c r="A35" s="11" t="s">
        <v>58</v>
      </c>
      <c r="B35" s="105" t="s">
        <v>222</v>
      </c>
      <c r="C35" s="105"/>
      <c r="D35" s="105"/>
      <c r="E35" s="105"/>
      <c r="F35" s="106">
        <f>F33/F32</f>
        <v>0.50533930416810191</v>
      </c>
      <c r="G35" s="106">
        <f t="shared" ref="G35:J35" si="6">G33/G32</f>
        <v>0.59212920837124661</v>
      </c>
      <c r="H35" s="106">
        <f t="shared" si="6"/>
        <v>0.58095492131234994</v>
      </c>
      <c r="I35" s="106">
        <f t="shared" si="6"/>
        <v>0.50498177399756983</v>
      </c>
      <c r="J35" s="106">
        <f t="shared" si="6"/>
        <v>0.4416795125890039</v>
      </c>
    </row>
    <row r="38" spans="1:10">
      <c r="A38" t="s">
        <v>58</v>
      </c>
      <c r="B38" s="95" t="s">
        <v>223</v>
      </c>
      <c r="C38" s="95"/>
      <c r="D38" s="95"/>
      <c r="E38" s="95"/>
      <c r="F38" s="96">
        <v>43921</v>
      </c>
      <c r="G38" s="96">
        <v>44286</v>
      </c>
      <c r="H38" s="96">
        <v>44651</v>
      </c>
      <c r="I38" s="96">
        <v>45016</v>
      </c>
      <c r="J38" s="96">
        <v>45382</v>
      </c>
    </row>
    <row r="40" spans="1:10">
      <c r="B40" s="99" t="s">
        <v>227</v>
      </c>
      <c r="C40" s="99"/>
      <c r="D40" s="99"/>
      <c r="E40" s="99"/>
      <c r="F40" s="113">
        <f>-SUM('Raw FS'!J52:J53)</f>
        <v>367</v>
      </c>
      <c r="G40" s="113">
        <f>-SUM('Raw FS'!K52:K53)</f>
        <v>254</v>
      </c>
      <c r="H40" s="113">
        <f>-SUM('Raw FS'!L52:L53)</f>
        <v>511</v>
      </c>
      <c r="I40" s="113">
        <f>-SUM('Raw FS'!M52:M53)</f>
        <v>1420</v>
      </c>
      <c r="J40" s="113">
        <f>-SUM('Raw FS'!N52:N53)</f>
        <v>2491</v>
      </c>
    </row>
    <row r="41" spans="1:10">
      <c r="B41" s="99" t="s">
        <v>228</v>
      </c>
      <c r="C41" s="99"/>
      <c r="D41" s="99"/>
      <c r="E41" s="99"/>
      <c r="F41" s="113"/>
      <c r="G41" s="113">
        <f>G17-F17</f>
        <v>496</v>
      </c>
      <c r="H41" s="113">
        <f t="shared" ref="H41:J41" si="7">H17-G17</f>
        <v>2795</v>
      </c>
      <c r="I41" s="113">
        <f t="shared" si="7"/>
        <v>755</v>
      </c>
      <c r="J41" s="113">
        <f t="shared" si="7"/>
        <v>-102</v>
      </c>
    </row>
    <row r="42" spans="1:10">
      <c r="B42" s="99"/>
      <c r="C42" s="99"/>
      <c r="D42" s="99"/>
      <c r="E42" s="99"/>
      <c r="F42" s="113"/>
      <c r="G42" s="113"/>
      <c r="H42" s="113"/>
      <c r="I42" s="113"/>
      <c r="J42" s="113"/>
    </row>
    <row r="43" spans="1:10">
      <c r="B43" s="99" t="s">
        <v>150</v>
      </c>
      <c r="C43" s="99"/>
      <c r="D43" s="99"/>
      <c r="E43" s="99"/>
      <c r="F43" s="113">
        <f>F33</f>
        <v>4401</v>
      </c>
      <c r="G43" s="113">
        <f t="shared" ref="G43:J43" si="8">G33</f>
        <v>5206</v>
      </c>
      <c r="H43" s="113">
        <f t="shared" si="8"/>
        <v>6534</v>
      </c>
      <c r="I43" s="113">
        <f t="shared" si="8"/>
        <v>6234</v>
      </c>
      <c r="J43" s="113">
        <f t="shared" si="8"/>
        <v>6017</v>
      </c>
    </row>
    <row r="44" spans="1:10">
      <c r="B44" s="99" t="s">
        <v>229</v>
      </c>
      <c r="C44" s="99"/>
      <c r="D44" s="99"/>
      <c r="E44" s="99"/>
      <c r="F44" s="121">
        <v>0.25</v>
      </c>
      <c r="G44" s="121">
        <v>0.25</v>
      </c>
      <c r="H44" s="121">
        <v>0.25</v>
      </c>
      <c r="I44" s="121">
        <v>0.25</v>
      </c>
      <c r="J44" s="121">
        <v>0.25</v>
      </c>
    </row>
    <row r="45" spans="1:10">
      <c r="B45" s="99" t="s">
        <v>231</v>
      </c>
      <c r="C45" s="99"/>
      <c r="D45" s="99"/>
      <c r="E45" s="99"/>
      <c r="F45" s="113">
        <f>F43*(1-F44)</f>
        <v>3300.75</v>
      </c>
      <c r="G45" s="113">
        <f>G43*(1-G44)</f>
        <v>3904.5</v>
      </c>
      <c r="H45" s="113">
        <f t="shared" ref="H45:J45" si="9">H43*(1-H44)</f>
        <v>4900.5</v>
      </c>
      <c r="I45" s="113">
        <f t="shared" si="9"/>
        <v>4675.5</v>
      </c>
      <c r="J45" s="113">
        <f t="shared" si="9"/>
        <v>4512.75</v>
      </c>
    </row>
    <row r="46" spans="1:10">
      <c r="B46" s="99"/>
      <c r="C46" s="99"/>
      <c r="D46" s="99"/>
      <c r="E46" s="99"/>
      <c r="F46" s="113"/>
      <c r="G46" s="113"/>
      <c r="H46" s="113"/>
      <c r="I46" s="113"/>
      <c r="J46" s="113"/>
    </row>
    <row r="47" spans="1:10">
      <c r="B47" s="99" t="s">
        <v>230</v>
      </c>
      <c r="C47" s="99"/>
      <c r="D47" s="99"/>
      <c r="E47" s="99"/>
      <c r="F47" s="113"/>
      <c r="G47" s="113">
        <f>SUM(G40:G41)</f>
        <v>750</v>
      </c>
      <c r="H47" s="113">
        <f t="shared" ref="H47:J47" si="10">SUM(H40:H41)</f>
        <v>3306</v>
      </c>
      <c r="I47" s="113">
        <f t="shared" si="10"/>
        <v>2175</v>
      </c>
      <c r="J47" s="113">
        <f t="shared" si="10"/>
        <v>2389</v>
      </c>
    </row>
    <row r="48" spans="1:10" ht="4" customHeight="1"/>
    <row r="49" spans="1:10" ht="15" thickBot="1">
      <c r="B49" s="105" t="s">
        <v>232</v>
      </c>
      <c r="C49" s="105"/>
      <c r="D49" s="105"/>
      <c r="E49" s="105"/>
      <c r="F49" s="105"/>
      <c r="G49" s="106">
        <f>G47/G45</f>
        <v>0.19208605455243949</v>
      </c>
      <c r="H49" s="106">
        <f t="shared" ref="H49:J49" si="11">H47/H45</f>
        <v>0.67462503826140185</v>
      </c>
      <c r="I49" s="106">
        <f t="shared" si="11"/>
        <v>0.46519088867500802</v>
      </c>
      <c r="J49" s="106">
        <f t="shared" si="11"/>
        <v>0.52938895352058057</v>
      </c>
    </row>
    <row r="50" spans="1:10">
      <c r="G50" s="12"/>
      <c r="H50" s="12"/>
      <c r="I50" s="12"/>
      <c r="J50" s="12"/>
    </row>
    <row r="51" spans="1:10">
      <c r="I51" s="122" t="s">
        <v>233</v>
      </c>
      <c r="J51" s="123">
        <f>AVERAGE(G49:J49)</f>
        <v>0.46532273375235744</v>
      </c>
    </row>
    <row r="52" spans="1:10">
      <c r="I52" s="122" t="s">
        <v>234</v>
      </c>
      <c r="J52" s="123">
        <f>MEDIAN(G49:J49)</f>
        <v>0.4972899210977943</v>
      </c>
    </row>
    <row r="54" spans="1:10">
      <c r="A54" t="s">
        <v>58</v>
      </c>
      <c r="B54" s="95" t="s">
        <v>235</v>
      </c>
      <c r="C54" s="95"/>
      <c r="D54" s="95"/>
      <c r="E54" s="95"/>
      <c r="F54" s="96">
        <v>43921</v>
      </c>
      <c r="G54" s="96">
        <v>44286</v>
      </c>
      <c r="H54" s="96">
        <v>44651</v>
      </c>
      <c r="I54" s="96">
        <v>45016</v>
      </c>
      <c r="J54" s="96">
        <v>45382</v>
      </c>
    </row>
    <row r="56" spans="1:10">
      <c r="B56" s="99" t="s">
        <v>232</v>
      </c>
      <c r="C56" s="99"/>
      <c r="D56" s="99"/>
      <c r="E56" s="99"/>
      <c r="F56" s="99"/>
      <c r="G56" s="124">
        <f>G49</f>
        <v>0.19208605455243949</v>
      </c>
      <c r="H56" s="124">
        <f t="shared" ref="H56:J56" si="12">H49</f>
        <v>0.67462503826140185</v>
      </c>
      <c r="I56" s="124">
        <f t="shared" si="12"/>
        <v>0.46519088867500802</v>
      </c>
      <c r="J56" s="124">
        <f t="shared" si="12"/>
        <v>0.52938895352058057</v>
      </c>
    </row>
    <row r="57" spans="1:10">
      <c r="B57" s="99" t="s">
        <v>222</v>
      </c>
      <c r="C57" s="99"/>
      <c r="D57" s="99"/>
      <c r="E57" s="99"/>
      <c r="F57" s="99"/>
      <c r="G57" s="124">
        <f>G35</f>
        <v>0.59212920837124661</v>
      </c>
      <c r="H57" s="124">
        <f t="shared" ref="H57:J57" si="13">H35</f>
        <v>0.58095492131234994</v>
      </c>
      <c r="I57" s="124">
        <f t="shared" si="13"/>
        <v>0.50498177399756983</v>
      </c>
      <c r="J57" s="124">
        <f t="shared" si="13"/>
        <v>0.4416795125890039</v>
      </c>
    </row>
    <row r="58" spans="1:10" ht="4" customHeight="1"/>
    <row r="59" spans="1:10" ht="15" thickBot="1">
      <c r="B59" s="105" t="s">
        <v>236</v>
      </c>
      <c r="C59" s="105"/>
      <c r="D59" s="105"/>
      <c r="E59" s="105"/>
      <c r="F59" s="105"/>
      <c r="G59" s="106">
        <f>G56*G57</f>
        <v>0.11373976342129208</v>
      </c>
      <c r="H59" s="106">
        <f t="shared" ref="H59:J59" si="14">H56*H57</f>
        <v>0.39192673601849376</v>
      </c>
      <c r="I59" s="106">
        <f t="shared" si="14"/>
        <v>0.23491292021061155</v>
      </c>
      <c r="J59" s="106">
        <f t="shared" si="14"/>
        <v>0.23382025496097286</v>
      </c>
    </row>
    <row r="61" spans="1:10">
      <c r="I61" s="122" t="s">
        <v>233</v>
      </c>
      <c r="J61" s="123">
        <f>AVERAGE(G59:J59)</f>
        <v>0.24359991865284258</v>
      </c>
    </row>
    <row r="62" spans="1:10">
      <c r="I62" s="122" t="s">
        <v>234</v>
      </c>
      <c r="J62" s="123">
        <f>MEDIAN(G59:J59)</f>
        <v>0.23436658758579221</v>
      </c>
    </row>
  </sheetData>
  <pageMargins left="0.7" right="0.7" top="0.75" bottom="0.75" header="0.3" footer="0.3"/>
  <ignoredErrors>
    <ignoredError sqref="F40:G40 H40:J4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Data&gt;</vt:lpstr>
      <vt:lpstr>Financials&gt;</vt:lpstr>
      <vt:lpstr>Ratio Analysis</vt:lpstr>
      <vt:lpstr>Regression Analysis</vt:lpstr>
      <vt:lpstr>Forecasting</vt:lpstr>
      <vt:lpstr>Cash Flow Data</vt:lpstr>
      <vt:lpstr>Common Size Statement</vt:lpstr>
      <vt:lpstr>Data Room&gt;</vt:lpstr>
      <vt:lpstr>HistoricalFS</vt:lpstr>
      <vt:lpstr>Data Sheet</vt:lpstr>
      <vt:lpstr>Raw FS</vt:lpstr>
      <vt:lpstr>DCF</vt:lpstr>
      <vt:lpstr>Intrisic Growth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E M Aditya</cp:lastModifiedBy>
  <cp:lastPrinted>2025-02-16T20:05:36Z</cp:lastPrinted>
  <dcterms:created xsi:type="dcterms:W3CDTF">2023-01-14T08:22:33Z</dcterms:created>
  <dcterms:modified xsi:type="dcterms:W3CDTF">2025-02-18T19:22:41Z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