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0" windowWidth="22995" windowHeight="15135" activeTab="1"/>
  </bookViews>
  <sheets>
    <sheet name="Employee information" sheetId="1" r:id="rId1"/>
    <sheet name="Payroll calculator" sheetId="2" r:id="rId2"/>
    <sheet name="Individual paystubs" sheetId="3" r:id="rId3"/>
  </sheets>
  <calcPr calcId="145621"/>
</workbook>
</file>

<file path=xl/calcChain.xml><?xml version="1.0" encoding="utf-8"?>
<calcChain xmlns="http://schemas.openxmlformats.org/spreadsheetml/2006/main">
  <c r="D142" i="3" l="1"/>
  <c r="D141" i="3"/>
  <c r="G140" i="3"/>
  <c r="G139" i="3"/>
  <c r="D139" i="3"/>
  <c r="G138" i="3"/>
  <c r="G137" i="3"/>
  <c r="G136" i="3"/>
  <c r="D136" i="3"/>
  <c r="G135" i="3"/>
  <c r="D135" i="3"/>
  <c r="F131" i="3"/>
  <c r="C131" i="3"/>
  <c r="D126" i="3"/>
  <c r="D125" i="3"/>
  <c r="G124" i="3"/>
  <c r="G123" i="3"/>
  <c r="D123" i="3"/>
  <c r="G122" i="3"/>
  <c r="G121" i="3"/>
  <c r="G120" i="3"/>
  <c r="D120" i="3"/>
  <c r="G119" i="3"/>
  <c r="D119" i="3"/>
  <c r="F115" i="3"/>
  <c r="C115" i="3"/>
  <c r="D110" i="3"/>
  <c r="D109" i="3"/>
  <c r="G108" i="3"/>
  <c r="G107" i="3"/>
  <c r="D107" i="3"/>
  <c r="G106" i="3"/>
  <c r="G105" i="3"/>
  <c r="G104" i="3"/>
  <c r="D104" i="3"/>
  <c r="G103" i="3"/>
  <c r="D103" i="3"/>
  <c r="F99" i="3"/>
  <c r="C99" i="3"/>
  <c r="D94" i="3"/>
  <c r="D93" i="3"/>
  <c r="G92" i="3"/>
  <c r="G91" i="3"/>
  <c r="D91" i="3"/>
  <c r="G90" i="3"/>
  <c r="G89" i="3"/>
  <c r="G88" i="3"/>
  <c r="D88" i="3"/>
  <c r="G87" i="3"/>
  <c r="D87" i="3"/>
  <c r="F83" i="3"/>
  <c r="C83" i="3"/>
  <c r="D78" i="3"/>
  <c r="D77" i="3"/>
  <c r="G76" i="3"/>
  <c r="G75" i="3"/>
  <c r="D75" i="3"/>
  <c r="G74" i="3"/>
  <c r="G73" i="3"/>
  <c r="G72" i="3"/>
  <c r="D72" i="3"/>
  <c r="G71" i="3"/>
  <c r="D71" i="3"/>
  <c r="F67" i="3"/>
  <c r="C67" i="3"/>
  <c r="D62" i="3"/>
  <c r="D61" i="3"/>
  <c r="G60" i="3"/>
  <c r="G59" i="3"/>
  <c r="D59" i="3"/>
  <c r="G58" i="3"/>
  <c r="G57" i="3"/>
  <c r="G56" i="3"/>
  <c r="D56" i="3"/>
  <c r="G55" i="3"/>
  <c r="D55" i="3"/>
  <c r="F51" i="3"/>
  <c r="C51" i="3"/>
  <c r="D46" i="3"/>
  <c r="D45" i="3"/>
  <c r="G44" i="3"/>
  <c r="G43" i="3"/>
  <c r="D43" i="3"/>
  <c r="G42" i="3"/>
  <c r="G41" i="3"/>
  <c r="G40" i="3"/>
  <c r="D40" i="3"/>
  <c r="G39" i="3"/>
  <c r="D39" i="3"/>
  <c r="F35" i="3"/>
  <c r="C35" i="3"/>
  <c r="D30" i="3"/>
  <c r="D29" i="3"/>
  <c r="G28" i="3"/>
  <c r="G27" i="3"/>
  <c r="D27" i="3"/>
  <c r="G26" i="3"/>
  <c r="G25" i="3"/>
  <c r="G24" i="3"/>
  <c r="D24" i="3"/>
  <c r="G23" i="3"/>
  <c r="D23" i="3"/>
  <c r="F19" i="3"/>
  <c r="C19" i="3"/>
  <c r="D14" i="3"/>
  <c r="D13" i="3"/>
  <c r="G12" i="3"/>
  <c r="G11" i="3"/>
  <c r="D11" i="3"/>
  <c r="G10" i="3"/>
  <c r="G9" i="3"/>
  <c r="G8" i="3"/>
  <c r="D8" i="3"/>
  <c r="G7" i="3"/>
  <c r="D7" i="3"/>
  <c r="F3" i="3"/>
  <c r="C3" i="3"/>
  <c r="K12" i="2"/>
  <c r="G141" i="3" s="1"/>
  <c r="J12" i="2"/>
  <c r="G125" i="3" s="1"/>
  <c r="I12" i="2"/>
  <c r="G109" i="3" s="1"/>
  <c r="H12" i="2"/>
  <c r="G12" i="2"/>
  <c r="G77" i="3" s="1"/>
  <c r="F12" i="2"/>
  <c r="G61" i="3" s="1"/>
  <c r="G54" i="3" s="1"/>
  <c r="E12" i="2"/>
  <c r="G45" i="3" s="1"/>
  <c r="D12" i="2"/>
  <c r="C12" i="2"/>
  <c r="G13" i="3" s="1"/>
  <c r="K6" i="2"/>
  <c r="J6" i="2"/>
  <c r="I6" i="2"/>
  <c r="H6" i="2"/>
  <c r="G6" i="2"/>
  <c r="F6" i="2"/>
  <c r="E6" i="2"/>
  <c r="D6" i="2"/>
  <c r="C6" i="2"/>
  <c r="B4" i="2"/>
  <c r="K16" i="1"/>
  <c r="J16" i="1"/>
  <c r="I16" i="1"/>
  <c r="H16" i="1"/>
  <c r="G16" i="1"/>
  <c r="F16" i="1"/>
  <c r="E16" i="1"/>
  <c r="D16" i="1"/>
  <c r="C16" i="1"/>
  <c r="K13" i="1"/>
  <c r="J13" i="1"/>
  <c r="I13" i="1"/>
  <c r="H13" i="1"/>
  <c r="G13" i="1"/>
  <c r="F13" i="1"/>
  <c r="E13" i="1"/>
  <c r="D13" i="1"/>
  <c r="C13" i="1"/>
  <c r="C13" i="2" s="1"/>
  <c r="C15" i="2" s="1"/>
  <c r="G15" i="3" s="1"/>
  <c r="F13" i="2" l="1"/>
  <c r="F15" i="2" s="1"/>
  <c r="G63" i="3" s="1"/>
  <c r="D13" i="2"/>
  <c r="G30" i="3" s="1"/>
  <c r="I13" i="2"/>
  <c r="G110" i="3" s="1"/>
  <c r="K13" i="2"/>
  <c r="K15" i="2" s="1"/>
  <c r="G143" i="3" s="1"/>
  <c r="D127" i="3"/>
  <c r="D79" i="3"/>
  <c r="G14" i="3"/>
  <c r="D63" i="3"/>
  <c r="D111" i="3"/>
  <c r="D73" i="3"/>
  <c r="G70" i="3"/>
  <c r="D74" i="3"/>
  <c r="G102" i="3"/>
  <c r="D106" i="3"/>
  <c r="D105" i="3"/>
  <c r="D15" i="3"/>
  <c r="D122" i="3"/>
  <c r="D121" i="3"/>
  <c r="G118" i="3"/>
  <c r="D143" i="3"/>
  <c r="G6" i="3"/>
  <c r="D10" i="3"/>
  <c r="D9" i="3"/>
  <c r="G134" i="3"/>
  <c r="D138" i="3"/>
  <c r="D137" i="3"/>
  <c r="D47" i="3"/>
  <c r="G38" i="3"/>
  <c r="D42" i="3"/>
  <c r="D41" i="3"/>
  <c r="J13" i="2"/>
  <c r="J15" i="2" s="1"/>
  <c r="G127" i="3" s="1"/>
  <c r="G29" i="3"/>
  <c r="D31" i="3" s="1"/>
  <c r="D57" i="3"/>
  <c r="E13" i="2"/>
  <c r="G46" i="3" s="1"/>
  <c r="D58" i="3"/>
  <c r="G62" i="3"/>
  <c r="G93" i="3"/>
  <c r="D95" i="3" s="1"/>
  <c r="G13" i="2"/>
  <c r="G78" i="3" s="1"/>
  <c r="H13" i="2"/>
  <c r="G94" i="3" s="1"/>
  <c r="E15" i="2" l="1"/>
  <c r="G47" i="3" s="1"/>
  <c r="G142" i="3"/>
  <c r="I15" i="2"/>
  <c r="G111" i="3" s="1"/>
  <c r="D15" i="2"/>
  <c r="G31" i="3" s="1"/>
  <c r="G15" i="2"/>
  <c r="G79" i="3" s="1"/>
  <c r="D76" i="3"/>
  <c r="D124" i="3"/>
  <c r="D108" i="3"/>
  <c r="D60" i="3"/>
  <c r="G126" i="3"/>
  <c r="H15" i="2"/>
  <c r="G95" i="3" s="1"/>
  <c r="D12" i="3"/>
  <c r="D25" i="3"/>
  <c r="G22" i="3"/>
  <c r="D26" i="3"/>
  <c r="D44" i="3"/>
  <c r="D140" i="3"/>
  <c r="G86" i="3"/>
  <c r="D90" i="3"/>
  <c r="D89" i="3"/>
  <c r="D28" i="3" l="1"/>
  <c r="D92" i="3"/>
</calcChain>
</file>

<file path=xl/sharedStrings.xml><?xml version="1.0" encoding="utf-8"?>
<sst xmlns="http://schemas.openxmlformats.org/spreadsheetml/2006/main" count="224" uniqueCount="52">
  <si>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</si>
  <si>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</si>
  <si>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</si>
  <si>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</si>
  <si>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</si>
  <si>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</si>
  <si>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</si>
  <si>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</si>
  <si>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</si>
  <si>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</si>
  <si>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</si>
  <si>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</si>
  <si>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</si>
  <si>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</si>
  <si>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</si>
  <si>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</si>
  <si>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</si>
  <si>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</si>
  <si>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</si>
  <si>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</si>
  <si>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</si>
  <si>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</si>
  <si>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</si>
  <si>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</si>
  <si>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</si>
  <si>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</si>
  <si>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</si>
  <si>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</si>
  <si>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</si>
  <si>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</si>
  <si>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</si>
  <si>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</si>
  <si>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</si>
  <si>
    <t>DevExpress</t>
  </si>
  <si>
    <t>State Tax</t>
  </si>
  <si>
    <t>Tax Status</t>
  </si>
  <si>
    <t>Other Regular Deduction</t>
  </si>
  <si>
    <t>Hourly Rate</t>
  </si>
  <si>
    <t>Other Deduction</t>
  </si>
  <si>
    <t>Social Security Tax</t>
  </si>
  <si>
    <t>Hours Worked</t>
  </si>
  <si>
    <t>Medicare Tax</t>
  </si>
  <si>
    <t>Sick Hours</t>
  </si>
  <si>
    <t>Insurance Deduction</t>
  </si>
  <si>
    <t>Vacation Hours</t>
  </si>
  <si>
    <t xml:space="preserve">Total Taxes and Regular Deductions </t>
  </si>
  <si>
    <t>Overtime Hours</t>
  </si>
  <si>
    <t>Federal Allowance (From W-4)</t>
  </si>
  <si>
    <t>Gross Pay</t>
  </si>
  <si>
    <t>Overtime Rate</t>
  </si>
  <si>
    <t>Total Taxes and Deductions</t>
  </si>
  <si>
    <t>Federal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</si>
</sst>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6" x14ac:knownFonts="1">
    <font>
      <sz val="11"/>
      <color theme="1"/>
      <name val="Calibri"/>
      <family val="2"/>
    </font>
    <font>
      <sz val="31"/>
      <color theme="1"/>
      <name val="Segoe UI Light"/>
      <charset val="204"/>
    </font>
    <font>
      <sz val="10"/>
      <color rgb="FFD4E9FB"/>
      <name val="Segoe UI"/>
      <charset val="204"/>
    </font>
    <font>
      <sz val="10"/>
      <color theme="1"/>
      <name val="Segoe UI"/>
      <charset val="204"/>
    </font>
    <font>
      <b/>
      <sz val="10.65"/>
      <color theme="0"/>
      <name val="Segoe UI"/>
      <charset val="204"/>
    </font>
    <font>
      <sz val="12"/>
      <color rgb="FF125C9C"/>
      <name val="Segoe UI"/>
      <charset val="204"/>
    </font>
    <font>
      <sz val="10"/>
      <color theme="0"/>
      <name val="Segoe UI"/>
      <charset val="204"/>
    </font>
    <font>
      <sz val="12"/>
      <color theme="1"/>
      <name val="Segoe UI"/>
      <charset val="204"/>
    </font>
    <font>
      <b/>
      <sz val="10.65"/>
      <color rgb="FFD4E9FB"/>
      <name val="Segoe UI"/>
      <charset val="204"/>
    </font>
    <font>
      <sz val="36"/>
      <color theme="1"/>
      <name val="Segoe UI Light"/>
      <charset val="204"/>
    </font>
    <font>
      <sz val="11"/>
      <color theme="1"/>
      <name val="Segoe UI"/>
      <charset val="204"/>
    </font>
    <font>
      <sz val="10"/>
      <color rgb="FFD4E9FB"/>
      <name val="Segoe UI Semibold"/>
      <charset val="204"/>
    </font>
    <font>
      <b/>
      <sz val="10.5"/>
      <color theme="0"/>
      <name val="Segoe UI"/>
      <charset val="204"/>
    </font>
    <font>
      <sz val="10"/>
      <name val="Segoe UI"/>
      <charset val="204"/>
    </font>
    <font>
      <sz val="12"/>
      <color rgb="FF1A7FA9"/>
      <name val="Segoe UI"/>
      <charset val="204"/>
    </font>
    <font>
      <b/>
      <sz val="10.5"/>
      <color rgb="FFD4E9FB"/>
      <name val="Segoe UI"/>
      <charset val="204"/>
    </font>
    <font>
      <sz val="12"/>
      <color rgb="FF38A9D8"/>
      <name val="Segoe UI"/>
      <charset val="204"/>
    </font>
    <font>
      <sz val="11"/>
      <color theme="1"/>
      <name val="Segoe UI"/>
    </font>
    <font>
      <sz val="27"/>
      <color rgb="FF125C9C"/>
      <name val="Segoe UI"/>
    </font>
    <font>
      <sz val="12"/>
      <color rgb="FF125C9C"/>
      <name val="Segoe UI"/>
    </font>
    <font>
      <sz val="15.5"/>
      <color theme="1"/>
      <name val="Segoe UI Light"/>
    </font>
    <font>
      <sz val="11"/>
      <color rgb="FFD4E9FB"/>
      <name val="Segoe UI Semibold"/>
    </font>
    <font>
      <b/>
      <sz val="10.5"/>
      <color rgb="FFD4E9FB"/>
      <name val="Segoe UI"/>
    </font>
    <font>
      <sz val="13"/>
      <color rgb="FF1A7FA9"/>
      <name val="Segoe UI"/>
    </font>
    <font>
      <sz val="11"/>
      <color rgb="FFD4E9FB"/>
      <name val="Segoe UI"/>
    </font>
    <font>
      <sz val="11"/>
      <color rgb="FF000000"/>
      <name val="Segoe UI"/>
    </font>
  </fonts>
  <fills count="15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  <fill>
      <patternFill patternType="solid">
        <fgColor rgb="FFF8F8F8"/>
      </patternFill>
    </fill>
    <fill>
      <patternFill patternType="solid">
        <fgColor rgb="FF549EBD"/>
      </patternFill>
    </fill>
    <fill>
      <patternFill patternType="solid">
        <fgColor rgb="FF65A8C4"/>
      </patternFill>
    </fill>
    <fill>
      <patternFill patternType="solid">
        <fgColor rgb="FFEAF4FB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  <border>
      <left/>
      <right/>
      <top style="thin">
        <color rgb="FF549EBD"/>
      </top>
      <bottom/>
      <diagonal/>
    </border>
    <border>
      <left/>
      <right/>
      <top style="thick">
        <color rgb="FF125C9C"/>
      </top>
      <bottom/>
      <diagonal/>
    </border>
  </borders>
  <cellStyleXfs count="4">
    <xf numFmtId="0" fontId="0" fillId="0" borderId="0"/>
    <xf numFmtId="0" fontId="24" fillId="11" borderId="0">
      <alignment horizontal="left" vertical="center" indent="2"/>
    </xf>
    <xf numFmtId="0" fontId="24" fillId="12" borderId="0">
      <alignment horizontal="left" vertical="center" indent="2"/>
    </xf>
    <xf numFmtId="0" fontId="25" fillId="14" borderId="0" applyNumberFormat="0">
      <alignment horizontal="center" vertical="center"/>
    </xf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indent="1"/>
    </xf>
    <xf numFmtId="0" fontId="5" fillId="5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10" fontId="3" fillId="5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10" fontId="7" fillId="6" borderId="1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 indent="1"/>
    </xf>
    <xf numFmtId="164" fontId="7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1" fillId="2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164" fontId="3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4" fillId="6" borderId="3" xfId="0" applyNumberFormat="1" applyFont="1" applyFill="1" applyBorder="1" applyAlignment="1">
      <alignment horizontal="center" vertical="center"/>
    </xf>
    <xf numFmtId="164" fontId="14" fillId="9" borderId="3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 indent="1"/>
    </xf>
    <xf numFmtId="164" fontId="16" fillId="5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14" fillId="6" borderId="1" xfId="0" applyNumberFormat="1" applyFont="1" applyFill="1" applyBorder="1" applyAlignment="1">
      <alignment horizontal="center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10" borderId="4" xfId="0" applyFont="1" applyFill="1" applyBorder="1"/>
    <xf numFmtId="0" fontId="17" fillId="10" borderId="0" xfId="0" applyFont="1" applyFill="1"/>
    <xf numFmtId="0" fontId="20" fillId="10" borderId="0" xfId="0" applyFont="1" applyFill="1"/>
    <xf numFmtId="0" fontId="21" fillId="11" borderId="0" xfId="0" applyFont="1" applyFill="1" applyAlignment="1">
      <alignment horizontal="left" vertical="center" indent="2"/>
    </xf>
    <xf numFmtId="0" fontId="17" fillId="10" borderId="0" xfId="0" applyFont="1" applyFill="1" applyAlignment="1">
      <alignment horizontal="center" vertical="center"/>
    </xf>
    <xf numFmtId="0" fontId="24" fillId="11" borderId="0" xfId="1">
      <alignment horizontal="left" vertical="center" indent="2"/>
    </xf>
    <xf numFmtId="164" fontId="17" fillId="10" borderId="0" xfId="0" applyNumberFormat="1" applyFont="1" applyFill="1" applyAlignment="1">
      <alignment horizontal="center" vertical="center"/>
    </xf>
    <xf numFmtId="0" fontId="24" fillId="12" borderId="0" xfId="2">
      <alignment horizontal="left" vertical="center" indent="2"/>
    </xf>
    <xf numFmtId="0" fontId="25" fillId="14" borderId="0" xfId="3">
      <alignment horizontal="center" vertical="center"/>
    </xf>
    <xf numFmtId="164" fontId="25" fillId="14" borderId="0" xfId="3" applyNumberFormat="1">
      <alignment horizontal="center" vertical="center"/>
    </xf>
    <xf numFmtId="0" fontId="24" fillId="12" borderId="0" xfId="2">
      <alignment horizontal="left" vertical="center" indent="2"/>
    </xf>
    <xf numFmtId="0" fontId="22" fillId="12" borderId="1" xfId="0" applyFont="1" applyFill="1" applyBorder="1" applyAlignment="1">
      <alignment horizontal="left" vertical="center" indent="2"/>
    </xf>
    <xf numFmtId="164" fontId="23" fillId="13" borderId="1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3" fillId="7" borderId="0" xfId="0" applyNumberFormat="1" applyFont="1" applyFill="1" applyAlignment="1">
      <alignment horizontal="center" vertical="center"/>
    </xf>
    <xf numFmtId="0" fontId="25" fillId="14" borderId="0" xfId="3" applyNumberFormat="1">
      <alignment horizontal="center" vertical="center"/>
    </xf>
    <xf numFmtId="0" fontId="1" fillId="0" borderId="0" xfId="0" applyFont="1" applyAlignment="1">
      <alignment horizontal="left"/>
    </xf>
    <xf numFmtId="0" fontId="18" fillId="10" borderId="0" xfId="0" applyFont="1" applyFill="1" applyAlignment="1">
      <alignment horizontal="left" vertical="top" wrapText="1"/>
    </xf>
    <xf numFmtId="0" fontId="19" fillId="10" borderId="0" xfId="0" applyFont="1" applyFill="1" applyAlignment="1">
      <alignment horizontal="right" vertical="top"/>
    </xf>
  </cellXfs>
  <cellStyles count="4">
    <cellStyle name="Normal" xfId="0" builtinId="0"/>
    <cellStyle name="Style 1" xfId="2"/>
    <cellStyle name="Style 2" xfId="1"/>
    <cellStyle name="Style 3" xfId="3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"/>
  <sheetViews>
    <sheetView showGridLines="0" workbookViewId="0">
      <selection activeCell="B1" sqref="B1:J2"/>
    </sheetView>
  </sheetViews>
  <sheetFormatPr defaultRowHeight="15" x14ac:dyDescent="0.25"/>
  <cols>
    <col min="1" max="1" width="2.7109375" customWidth="1"/>
    <col min="2" max="2" width="28.7109375" customWidth="1"/>
    <col min="3" max="11" width="10.28515625" customWidth="1"/>
  </cols>
  <sheetData>
    <row r="1" spans="2:11" ht="18" customHeight="1" x14ac:dyDescent="0.25">
      <c r="B1" s="58" t="s">
        <v>0</v>
      </c>
      <c r="C1" s="58"/>
      <c r="D1" s="58"/>
      <c r="E1" s="58"/>
      <c r="F1" s="58"/>
      <c r="G1" s="58"/>
      <c r="H1" s="58"/>
      <c r="I1" s="58"/>
      <c r="J1" s="58"/>
    </row>
    <row r="2" spans="2:11" ht="18" customHeight="1" x14ac:dyDescent="0.25">
      <c r="B2" s="58"/>
      <c r="C2" s="58"/>
      <c r="D2" s="58"/>
      <c r="E2" s="58"/>
      <c r="F2" s="58"/>
      <c r="G2" s="58"/>
      <c r="H2" s="58"/>
      <c r="I2" s="58"/>
      <c r="J2" s="58"/>
    </row>
    <row r="3" spans="2:11" ht="12" customHeight="1" x14ac:dyDescent="0.25">
      <c r="B3" s="3"/>
    </row>
    <row r="4" spans="2:11" s="1" customFormat="1" ht="24" customHeight="1" x14ac:dyDescent="0.25">
      <c r="B4" s="4" t="s">
        <v>1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</row>
    <row r="5" spans="2:11" ht="38.25" customHeight="1" x14ac:dyDescent="0.2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</row>
    <row r="6" spans="2:11" ht="26.25" customHeight="1" x14ac:dyDescent="0.25">
      <c r="B6" s="4" t="s">
        <v>12</v>
      </c>
      <c r="C6" s="8">
        <v>10</v>
      </c>
      <c r="D6" s="8">
        <v>11</v>
      </c>
      <c r="E6" s="8">
        <v>15</v>
      </c>
      <c r="F6" s="8">
        <v>10</v>
      </c>
      <c r="G6" s="8">
        <v>20</v>
      </c>
      <c r="H6" s="8">
        <v>32.5</v>
      </c>
      <c r="I6" s="8">
        <v>32</v>
      </c>
      <c r="J6" s="8">
        <v>37.4</v>
      </c>
      <c r="K6" s="8">
        <v>29.4</v>
      </c>
    </row>
    <row r="7" spans="2:11" ht="20.25" customHeight="1" x14ac:dyDescent="0.25">
      <c r="B7" s="9" t="s">
        <v>13</v>
      </c>
      <c r="C7" s="10">
        <v>1</v>
      </c>
      <c r="D7" s="10">
        <v>1</v>
      </c>
      <c r="E7" s="10">
        <v>2</v>
      </c>
      <c r="F7" s="10">
        <v>2</v>
      </c>
      <c r="G7" s="10">
        <v>3</v>
      </c>
      <c r="H7" s="10">
        <v>4</v>
      </c>
      <c r="I7" s="10">
        <v>2</v>
      </c>
      <c r="J7" s="10">
        <v>5</v>
      </c>
      <c r="K7" s="10">
        <v>3</v>
      </c>
    </row>
    <row r="8" spans="2:11" ht="34.5" customHeight="1" x14ac:dyDescent="0.25">
      <c r="B8" s="11" t="s">
        <v>14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4</v>
      </c>
      <c r="I8" s="5">
        <v>3</v>
      </c>
      <c r="J8" s="5">
        <v>4</v>
      </c>
      <c r="K8" s="5">
        <v>3</v>
      </c>
    </row>
    <row r="9" spans="2:11" ht="34.5" customHeight="1" x14ac:dyDescent="0.25">
      <c r="B9" s="12" t="s">
        <v>15</v>
      </c>
      <c r="C9" s="13">
        <v>2.3E-2</v>
      </c>
      <c r="D9" s="13">
        <v>2.4500000000000001E-2</v>
      </c>
      <c r="E9" s="13">
        <v>3.0099999999999998E-2</v>
      </c>
      <c r="F9" s="13">
        <v>2.9000000000000001E-2</v>
      </c>
      <c r="G9" s="13">
        <v>4.4999999999999998E-2</v>
      </c>
      <c r="H9" s="13">
        <v>3.1199999999999999E-2</v>
      </c>
      <c r="I9" s="13">
        <v>2.5000000000000001E-2</v>
      </c>
      <c r="J9" s="13">
        <v>3.5999999999999997E-2</v>
      </c>
      <c r="K9" s="13">
        <v>3.5999999999999997E-2</v>
      </c>
    </row>
    <row r="10" spans="2:11" ht="45.75" customHeight="1" x14ac:dyDescent="0.25">
      <c r="B10" s="11" t="s">
        <v>16</v>
      </c>
      <c r="C10" s="14">
        <v>0.28000000000000003</v>
      </c>
      <c r="D10" s="14">
        <v>0.27600000000000002</v>
      </c>
      <c r="E10" s="14">
        <v>0.2702</v>
      </c>
      <c r="F10" s="14">
        <v>0.245</v>
      </c>
      <c r="G10" s="14">
        <v>0.29039999999999999</v>
      </c>
      <c r="H10" s="14">
        <v>0.2903</v>
      </c>
      <c r="I10" s="14">
        <v>0.28000000000000003</v>
      </c>
      <c r="J10" s="14">
        <v>0.254</v>
      </c>
      <c r="K10" s="14">
        <v>0.27400000000000002</v>
      </c>
    </row>
    <row r="11" spans="2:11" ht="34.5" customHeight="1" x14ac:dyDescent="0.25">
      <c r="B11" s="12" t="s">
        <v>17</v>
      </c>
      <c r="C11" s="13">
        <v>6.3E-2</v>
      </c>
      <c r="D11" s="13">
        <v>6.0999999999999999E-2</v>
      </c>
      <c r="E11" s="13">
        <v>6.8000000000000005E-2</v>
      </c>
      <c r="F11" s="13">
        <v>7.9000000000000001E-2</v>
      </c>
      <c r="G11" s="13">
        <v>8.4000000000000005E-2</v>
      </c>
      <c r="H11" s="13">
        <v>3.4000000000000002E-2</v>
      </c>
      <c r="I11" s="13">
        <v>6.3E-2</v>
      </c>
      <c r="J11" s="13">
        <v>7.9000000000000001E-2</v>
      </c>
      <c r="K11" s="13">
        <v>0.06</v>
      </c>
    </row>
    <row r="12" spans="2:11" ht="34.5" customHeight="1" x14ac:dyDescent="0.25">
      <c r="B12" s="11" t="s">
        <v>18</v>
      </c>
      <c r="C12" s="14">
        <v>1.4500000000000001E-2</v>
      </c>
      <c r="D12" s="14">
        <v>1.4999999999999999E-2</v>
      </c>
      <c r="E12" s="14">
        <v>1.4999999999999999E-2</v>
      </c>
      <c r="F12" s="14">
        <v>1.3299999999999999E-2</v>
      </c>
      <c r="G12" s="14">
        <v>1.43E-2</v>
      </c>
      <c r="H12" s="14">
        <v>0.02</v>
      </c>
      <c r="I12" s="14">
        <v>1.43E-2</v>
      </c>
      <c r="J12" s="14">
        <v>2.5999999999999999E-2</v>
      </c>
      <c r="K12" s="14">
        <v>1.67E-2</v>
      </c>
    </row>
    <row r="13" spans="2:11" ht="35.25" customHeight="1" x14ac:dyDescent="0.25">
      <c r="B13" s="15" t="s">
        <v>19</v>
      </c>
      <c r="C13" s="16">
        <f>SUM(C9:C12)</f>
        <v>0.38050000000000006</v>
      </c>
      <c r="D13" s="16">
        <f t="shared" ref="D13:K13" si="0">SUM(D9:D12)</f>
        <v>0.37650000000000006</v>
      </c>
      <c r="E13" s="16">
        <f t="shared" si="0"/>
        <v>0.38330000000000003</v>
      </c>
      <c r="F13" s="16">
        <f t="shared" si="0"/>
        <v>0.36630000000000001</v>
      </c>
      <c r="G13" s="16">
        <f t="shared" si="0"/>
        <v>0.43369999999999997</v>
      </c>
      <c r="H13" s="16">
        <f t="shared" si="0"/>
        <v>0.37550000000000006</v>
      </c>
      <c r="I13" s="16">
        <f t="shared" si="0"/>
        <v>0.38230000000000003</v>
      </c>
      <c r="J13" s="16">
        <f t="shared" si="0"/>
        <v>0.39500000000000002</v>
      </c>
      <c r="K13" s="16">
        <f t="shared" si="0"/>
        <v>0.38669999999999999</v>
      </c>
    </row>
    <row r="14" spans="2:11" ht="34.5" customHeight="1" x14ac:dyDescent="0.25">
      <c r="B14" s="11" t="s">
        <v>20</v>
      </c>
      <c r="C14" s="8">
        <v>20</v>
      </c>
      <c r="D14" s="8">
        <v>20</v>
      </c>
      <c r="E14" s="8">
        <v>22</v>
      </c>
      <c r="F14" s="8">
        <v>21.6</v>
      </c>
      <c r="G14" s="8">
        <v>41.4</v>
      </c>
      <c r="H14" s="8">
        <v>25</v>
      </c>
      <c r="I14" s="8">
        <v>19.34</v>
      </c>
      <c r="J14" s="8">
        <v>35</v>
      </c>
      <c r="K14" s="8">
        <v>20</v>
      </c>
    </row>
    <row r="15" spans="2:11" ht="34.5" customHeight="1" x14ac:dyDescent="0.25">
      <c r="B15" s="12" t="s">
        <v>21</v>
      </c>
      <c r="C15" s="17">
        <v>40</v>
      </c>
      <c r="D15" s="17">
        <v>42</v>
      </c>
      <c r="E15" s="17">
        <v>39</v>
      </c>
      <c r="F15" s="17">
        <v>40</v>
      </c>
      <c r="G15" s="17">
        <v>24.3</v>
      </c>
      <c r="H15" s="17"/>
      <c r="I15" s="17">
        <v>25</v>
      </c>
      <c r="J15" s="17"/>
      <c r="K15" s="17"/>
    </row>
    <row r="16" spans="2:11" ht="49.5" customHeight="1" x14ac:dyDescent="0.25">
      <c r="B16" s="18" t="s">
        <v>22</v>
      </c>
      <c r="C16" s="19">
        <f>C14+C15</f>
        <v>60</v>
      </c>
      <c r="D16" s="19">
        <f t="shared" ref="D16:K16" si="1">D14+D15</f>
        <v>62</v>
      </c>
      <c r="E16" s="19">
        <f t="shared" si="1"/>
        <v>61</v>
      </c>
      <c r="F16" s="19">
        <f t="shared" si="1"/>
        <v>61.6</v>
      </c>
      <c r="G16" s="19">
        <f t="shared" si="1"/>
        <v>65.7</v>
      </c>
      <c r="H16" s="19">
        <f t="shared" si="1"/>
        <v>25</v>
      </c>
      <c r="I16" s="19">
        <f t="shared" si="1"/>
        <v>44.34</v>
      </c>
      <c r="J16" s="19">
        <f t="shared" si="1"/>
        <v>35</v>
      </c>
      <c r="K16" s="19">
        <f t="shared" si="1"/>
        <v>20</v>
      </c>
    </row>
  </sheetData>
  <mergeCells count="1">
    <mergeCell ref="B1:J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tabSelected="1" zoomScaleNormal="100" workbookViewId="0">
      <selection activeCell="B2" sqref="B2:F3"/>
    </sheetView>
  </sheetViews>
  <sheetFormatPr defaultRowHeight="15" x14ac:dyDescent="0.25"/>
  <cols>
    <col min="1" max="1" width="2.7109375" customWidth="1"/>
    <col min="2" max="2" width="28.42578125" customWidth="1"/>
    <col min="3" max="7" width="10.28515625" customWidth="1"/>
    <col min="8" max="11" width="10.85546875" customWidth="1"/>
  </cols>
  <sheetData>
    <row r="1" spans="2:11" ht="16.5" customHeight="1" x14ac:dyDescent="0.25"/>
    <row r="2" spans="2:11" s="2" customFormat="1" ht="18" customHeight="1" x14ac:dyDescent="0.25">
      <c r="B2" s="58" t="s">
        <v>23</v>
      </c>
      <c r="C2" s="58"/>
      <c r="D2" s="58"/>
      <c r="E2" s="58"/>
      <c r="F2" s="58"/>
      <c r="G2" s="20"/>
      <c r="H2" s="20"/>
      <c r="I2" s="20"/>
    </row>
    <row r="3" spans="2:11" s="2" customFormat="1" ht="18" customHeight="1" x14ac:dyDescent="0.25">
      <c r="B3" s="58"/>
      <c r="C3" s="58"/>
      <c r="D3" s="58"/>
      <c r="E3" s="58"/>
      <c r="F3" s="58"/>
      <c r="G3" s="20"/>
      <c r="H3" s="20"/>
      <c r="I3" s="20"/>
    </row>
    <row r="4" spans="2:11" ht="18" customHeight="1" x14ac:dyDescent="0.3">
      <c r="B4" s="21" t="str">
        <f ca="1">CONCATENATE("PERIOD ENDING: ",TEXT(NOW(), "M/d/yyyy"))</f>
        <v>PERIOD ENDING: 5/6/2014</v>
      </c>
      <c r="C4" s="22"/>
      <c r="D4" s="22"/>
      <c r="E4" s="22"/>
      <c r="F4" s="22"/>
      <c r="G4" s="22"/>
      <c r="H4" s="22"/>
      <c r="I4" s="22"/>
      <c r="J4" s="22"/>
      <c r="K4" s="22"/>
    </row>
    <row r="5" spans="2:11" s="1" customFormat="1" ht="24" customHeight="1" x14ac:dyDescent="0.25">
      <c r="B5" s="23" t="s">
        <v>1</v>
      </c>
      <c r="C5" s="5">
        <v>1</v>
      </c>
      <c r="D5" s="24">
        <v>2</v>
      </c>
      <c r="E5" s="5">
        <v>3</v>
      </c>
      <c r="F5" s="24">
        <v>4</v>
      </c>
      <c r="G5" s="5">
        <v>5</v>
      </c>
      <c r="H5" s="24">
        <v>6</v>
      </c>
      <c r="I5" s="5">
        <v>7</v>
      </c>
      <c r="J5" s="24">
        <v>8</v>
      </c>
      <c r="K5" s="5">
        <v>9</v>
      </c>
    </row>
    <row r="6" spans="2:11" ht="38.25" customHeight="1" x14ac:dyDescent="0.25">
      <c r="B6" s="25" t="s">
        <v>2</v>
      </c>
      <c r="C6" s="7" t="str">
        <f>HLOOKUP(C5,'Employee information'!$C$4:$K$16,2,FALSE)</f>
        <v>Linda Braun</v>
      </c>
      <c r="D6" s="7" t="str">
        <f>HLOOKUP(D5,'Employee information'!$C$4:$K$16,2,FALSE)</f>
        <v>Kate Smith</v>
      </c>
      <c r="E6" s="7" t="str">
        <f>HLOOKUP(E5,'Employee information'!$C$4:$K$16,2,FALSE)</f>
        <v>Nick Taylor</v>
      </c>
      <c r="F6" s="7" t="str">
        <f>HLOOKUP(F5,'Employee information'!$C$4:$K$16,2,FALSE)</f>
        <v>Oliver Hilfiger</v>
      </c>
      <c r="G6" s="7" t="str">
        <f>HLOOKUP(G5,'Employee information'!$C$4:$K$16,2,FALSE)</f>
        <v>Tommy Dickson</v>
      </c>
      <c r="H6" s="7" t="str">
        <f>HLOOKUP(H5,'Employee information'!$C$4:$K$16,2,FALSE)</f>
        <v>Andru Morris</v>
      </c>
      <c r="I6" s="7" t="str">
        <f>HLOOKUP(I5,'Employee information'!$C$4:$K$16,2,FALSE)</f>
        <v>Emmy Milton</v>
      </c>
      <c r="J6" s="7" t="str">
        <f>HLOOKUP(J5,'Employee information'!$C$4:$K$16,2,FALSE)</f>
        <v>Vanessa Mikki</v>
      </c>
      <c r="K6" s="7" t="str">
        <f>HLOOKUP(K5,'Employee information'!$C$4:$K$16,2,FALSE)</f>
        <v>Tim Bocelli</v>
      </c>
    </row>
    <row r="7" spans="2:11" ht="24" customHeight="1" x14ac:dyDescent="0.25">
      <c r="B7" s="4" t="s">
        <v>24</v>
      </c>
      <c r="C7" s="53">
        <v>40</v>
      </c>
      <c r="D7" s="54">
        <v>45</v>
      </c>
      <c r="E7" s="55">
        <v>40</v>
      </c>
      <c r="F7" s="56">
        <v>40</v>
      </c>
      <c r="G7" s="55">
        <v>40</v>
      </c>
      <c r="H7" s="56">
        <v>45</v>
      </c>
      <c r="I7" s="55">
        <v>45</v>
      </c>
      <c r="J7" s="56">
        <v>40</v>
      </c>
      <c r="K7" s="55">
        <v>40</v>
      </c>
    </row>
    <row r="8" spans="2:11" ht="24" customHeight="1" x14ac:dyDescent="0.25">
      <c r="B8" s="9" t="s">
        <v>25</v>
      </c>
      <c r="C8" s="10">
        <v>5</v>
      </c>
      <c r="D8" s="27">
        <v>5</v>
      </c>
      <c r="E8" s="28">
        <v>6</v>
      </c>
      <c r="F8" s="27">
        <v>2</v>
      </c>
      <c r="G8" s="28"/>
      <c r="H8" s="27">
        <v>20</v>
      </c>
      <c r="I8" s="28"/>
      <c r="J8" s="27"/>
      <c r="K8" s="28">
        <v>3</v>
      </c>
    </row>
    <row r="9" spans="2:11" ht="24" customHeight="1" x14ac:dyDescent="0.25">
      <c r="B9" s="4" t="s">
        <v>26</v>
      </c>
      <c r="C9" s="5">
        <v>1</v>
      </c>
      <c r="D9" s="24"/>
      <c r="E9" s="5">
        <v>2</v>
      </c>
      <c r="F9" s="24">
        <v>15</v>
      </c>
      <c r="G9" s="5"/>
      <c r="H9" s="24">
        <v>8</v>
      </c>
      <c r="I9" s="5"/>
      <c r="J9" s="24">
        <v>8</v>
      </c>
      <c r="K9" s="5">
        <v>2</v>
      </c>
    </row>
    <row r="10" spans="2:11" ht="24" customHeight="1" x14ac:dyDescent="0.25">
      <c r="B10" s="9" t="s">
        <v>27</v>
      </c>
      <c r="C10" s="10"/>
      <c r="D10" s="27">
        <v>3</v>
      </c>
      <c r="E10" s="28">
        <v>6</v>
      </c>
      <c r="F10" s="27">
        <v>4</v>
      </c>
      <c r="G10" s="28">
        <v>3</v>
      </c>
      <c r="H10" s="27"/>
      <c r="I10" s="28">
        <v>5</v>
      </c>
      <c r="J10" s="27">
        <v>3</v>
      </c>
      <c r="K10" s="28">
        <v>5</v>
      </c>
    </row>
    <row r="11" spans="2:11" ht="24" customHeight="1" x14ac:dyDescent="0.25">
      <c r="B11" s="4" t="s">
        <v>28</v>
      </c>
      <c r="C11" s="8"/>
      <c r="D11" s="26">
        <v>20</v>
      </c>
      <c r="E11" s="8">
        <v>40</v>
      </c>
      <c r="F11" s="26">
        <v>28</v>
      </c>
      <c r="G11" s="8">
        <v>45</v>
      </c>
      <c r="H11" s="26"/>
      <c r="I11" s="8">
        <v>23</v>
      </c>
      <c r="J11" s="26">
        <v>25</v>
      </c>
      <c r="K11" s="8">
        <v>40</v>
      </c>
    </row>
    <row r="12" spans="2:11" ht="24" customHeight="1" x14ac:dyDescent="0.25">
      <c r="B12" s="25" t="s">
        <v>29</v>
      </c>
      <c r="C12" s="29">
        <f>(HLOOKUP(C5,'Employee information'!$C$4:$K$16,3,FALSE)*(C7+C8+C9)+C10*C11)</f>
        <v>460</v>
      </c>
      <c r="D12" s="30">
        <f>(HLOOKUP(D5,'Employee information'!$C$4:$K$16,3,FALSE)*(D7+D8+D9)+D10*D11)</f>
        <v>610</v>
      </c>
      <c r="E12" s="29">
        <f>(HLOOKUP(E5,'Employee information'!$C$4:$K$16,3,FALSE)*(E7+E8+E9)+E10*E11)</f>
        <v>960</v>
      </c>
      <c r="F12" s="30">
        <f>(HLOOKUP(F5,'Employee information'!$C$4:$K$16,3,FALSE)*(F7+F8+F9)+F10*F11)</f>
        <v>682</v>
      </c>
      <c r="G12" s="29">
        <f>(HLOOKUP(G5,'Employee information'!$C$4:$K$16,3,FALSE)*(G7+G8+G9)+G10*G11)</f>
        <v>935</v>
      </c>
      <c r="H12" s="30">
        <f>(HLOOKUP(H5,'Employee information'!$C$4:$K$16,3,FALSE)*(H7+H8+H9)+H10*H11)</f>
        <v>2372.5</v>
      </c>
      <c r="I12" s="29">
        <f>(HLOOKUP(I5,'Employee information'!$C$4:$K$16,3,FALSE)*(I7+I8+I9)+I10*I11)</f>
        <v>1555</v>
      </c>
      <c r="J12" s="30">
        <f>(HLOOKUP(J5,'Employee information'!$C$4:$K$16,3,FALSE)*(J7+J8+J9)+J10*J11)</f>
        <v>1870.1999999999998</v>
      </c>
      <c r="K12" s="29">
        <f>(HLOOKUP(K5,'Employee information'!$C$4:$K$16,3,FALSE)*(K7+K8+K9)+K10*K11)</f>
        <v>1523</v>
      </c>
    </row>
    <row r="13" spans="2:11" ht="24" customHeight="1" x14ac:dyDescent="0.25">
      <c r="B13" s="31" t="s">
        <v>30</v>
      </c>
      <c r="C13" s="32">
        <f>HLOOKUP(C5,'Employee information'!$C$4:$K$16,10,FALSE)*'Payroll calculator'!C12+'Employee information'!C16</f>
        <v>235.03000000000003</v>
      </c>
      <c r="D13" s="33">
        <f>HLOOKUP(D5,'Employee information'!$C$4:$K$16,10,FALSE)*'Payroll calculator'!D12+'Employee information'!D16</f>
        <v>291.66500000000002</v>
      </c>
      <c r="E13" s="34">
        <f>HLOOKUP(E5,'Employee information'!$C$4:$K$16,10,FALSE)*'Payroll calculator'!E12+'Employee information'!E16</f>
        <v>428.96800000000002</v>
      </c>
      <c r="F13" s="33">
        <f>HLOOKUP(F5,'Employee information'!$C$4:$K$16,10,FALSE)*'Payroll calculator'!F12+'Employee information'!F16</f>
        <v>311.41660000000002</v>
      </c>
      <c r="G13" s="34">
        <f>HLOOKUP(G5,'Employee information'!$C$4:$K$16,10,FALSE)*'Payroll calculator'!G12+'Employee information'!G16</f>
        <v>471.20949999999999</v>
      </c>
      <c r="H13" s="33">
        <f>HLOOKUP(H5,'Employee information'!$C$4:$K$16,10,FALSE)*'Payroll calculator'!H12+'Employee information'!H16</f>
        <v>915.87375000000009</v>
      </c>
      <c r="I13" s="34">
        <f>HLOOKUP(I5,'Employee information'!$C$4:$K$16,10,FALSE)*'Payroll calculator'!I12+'Employee information'!I16</f>
        <v>638.81650000000013</v>
      </c>
      <c r="J13" s="33">
        <f>HLOOKUP(J5,'Employee information'!$C$4:$K$16,10,FALSE)*'Payroll calculator'!J12+'Employee information'!J16</f>
        <v>773.72899999999993</v>
      </c>
      <c r="K13" s="34">
        <f>HLOOKUP(K5,'Employee information'!$C$4:$K$16,10,FALSE)*'Payroll calculator'!K12+'Employee information'!K16</f>
        <v>608.94409999999993</v>
      </c>
    </row>
    <row r="14" spans="2:11" ht="24" customHeight="1" x14ac:dyDescent="0.25">
      <c r="B14" s="9" t="s">
        <v>31</v>
      </c>
      <c r="C14" s="35">
        <v>20</v>
      </c>
      <c r="D14" s="36">
        <v>20</v>
      </c>
      <c r="E14" s="35">
        <v>21</v>
      </c>
      <c r="F14" s="36"/>
      <c r="G14" s="35">
        <v>12.46</v>
      </c>
      <c r="H14" s="36">
        <v>64.83</v>
      </c>
      <c r="I14" s="35"/>
      <c r="J14" s="36">
        <v>7.93</v>
      </c>
      <c r="K14" s="35">
        <v>15.6</v>
      </c>
    </row>
    <row r="15" spans="2:11" ht="24" customHeight="1" x14ac:dyDescent="0.25">
      <c r="B15" s="31" t="s">
        <v>32</v>
      </c>
      <c r="C15" s="37">
        <f>C12-C13-C14</f>
        <v>204.96999999999997</v>
      </c>
      <c r="D15" s="38">
        <f t="shared" ref="D15:K15" si="0">D12-D13-D14</f>
        <v>298.33499999999998</v>
      </c>
      <c r="E15" s="37">
        <f t="shared" si="0"/>
        <v>510.03199999999993</v>
      </c>
      <c r="F15" s="38">
        <f t="shared" si="0"/>
        <v>370.58339999999998</v>
      </c>
      <c r="G15" s="37">
        <f t="shared" si="0"/>
        <v>451.33050000000003</v>
      </c>
      <c r="H15" s="38">
        <f t="shared" si="0"/>
        <v>1391.7962499999999</v>
      </c>
      <c r="I15" s="37">
        <f t="shared" si="0"/>
        <v>916.18349999999987</v>
      </c>
      <c r="J15" s="38">
        <f t="shared" si="0"/>
        <v>1088.5409999999999</v>
      </c>
      <c r="K15" s="37">
        <f t="shared" si="0"/>
        <v>898.45590000000004</v>
      </c>
    </row>
  </sheetData>
  <mergeCells count="1">
    <mergeCell ref="B2:F3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44"/>
  <sheetViews>
    <sheetView showGridLines="0" workbookViewId="0"/>
  </sheetViews>
  <sheetFormatPr defaultRowHeight="12.75" customHeight="1" x14ac:dyDescent="0.3"/>
  <cols>
    <col min="1" max="1" width="5.140625" style="39" customWidth="1"/>
    <col min="2" max="2" width="4" style="39" customWidth="1"/>
    <col min="3" max="3" width="40.7109375" style="39" customWidth="1"/>
    <col min="4" max="4" width="15.28515625" style="39" customWidth="1"/>
    <col min="5" max="5" width="4" style="39" customWidth="1"/>
    <col min="6" max="6" width="40.7109375" style="39" customWidth="1"/>
    <col min="7" max="7" width="15.28515625" style="39" customWidth="1"/>
    <col min="8" max="8" width="4" style="39" customWidth="1"/>
    <col min="9" max="9" width="5.140625" style="39" customWidth="1"/>
    <col min="10" max="10" width="4" style="39" customWidth="1"/>
    <col min="11" max="11" width="40.7109375" style="39" customWidth="1"/>
    <col min="12" max="12" width="15.28515625" style="39" customWidth="1"/>
    <col min="13" max="13" width="4" style="39" customWidth="1"/>
    <col min="14" max="14" width="40.7109375" style="39" customWidth="1"/>
    <col min="15" max="15" width="15.28515625" style="39" customWidth="1"/>
    <col min="16" max="16" width="4" style="39" customWidth="1"/>
    <col min="17" max="17" width="5.140625" style="39" customWidth="1"/>
    <col min="18" max="18" width="4" style="39" customWidth="1"/>
    <col min="19" max="19" width="40.7109375" style="39" customWidth="1"/>
    <col min="20" max="20" width="15.28515625" style="39" customWidth="1"/>
    <col min="21" max="21" width="4" style="39" customWidth="1"/>
    <col min="22" max="22" width="40.7109375" style="39" customWidth="1"/>
    <col min="23" max="23" width="15.28515625" style="39" customWidth="1"/>
    <col min="24" max="24" width="4" style="39" customWidth="1"/>
    <col min="25" max="16384" width="9.140625" style="39"/>
  </cols>
  <sheetData>
    <row r="1" spans="2:8" ht="26.25" customHeight="1" x14ac:dyDescent="0.3"/>
    <row r="2" spans="2:8" ht="15.95" customHeight="1" x14ac:dyDescent="0.3">
      <c r="B2" s="40"/>
      <c r="C2" s="40"/>
      <c r="D2" s="40"/>
      <c r="E2" s="40"/>
      <c r="F2" s="40"/>
      <c r="G2" s="40"/>
      <c r="H2" s="40"/>
    </row>
    <row r="3" spans="2:8" ht="30" customHeight="1" x14ac:dyDescent="0.3">
      <c r="B3" s="41"/>
      <c r="C3" s="59" t="str">
        <f>HLOOKUP(D6,'Employee information'!$C$4:$K$16,2,FALSE)</f>
        <v>Linda Braun</v>
      </c>
      <c r="D3" s="59"/>
      <c r="E3" s="41"/>
      <c r="F3" s="60" t="str">
        <f ca="1">CONCATENATE("Period: ",TEXT(NOW(), "M/d/yyyy"))</f>
        <v>Period: 5/6/2014</v>
      </c>
      <c r="G3" s="60"/>
      <c r="H3" s="41"/>
    </row>
    <row r="4" spans="2:8" ht="19.5" customHeight="1" x14ac:dyDescent="0.5">
      <c r="B4" s="41"/>
      <c r="C4" s="42" t="s">
        <v>33</v>
      </c>
      <c r="D4" s="41"/>
      <c r="E4" s="41"/>
      <c r="F4" s="41"/>
      <c r="G4" s="41"/>
      <c r="H4" s="41"/>
    </row>
    <row r="5" spans="2:8" ht="17.25" customHeight="1" x14ac:dyDescent="0.3">
      <c r="B5" s="41"/>
      <c r="C5" s="41"/>
      <c r="D5" s="41"/>
      <c r="E5" s="41"/>
      <c r="F5" s="41"/>
      <c r="G5" s="41"/>
      <c r="H5" s="41"/>
    </row>
    <row r="6" spans="2:8" ht="24" customHeight="1" x14ac:dyDescent="0.3">
      <c r="B6" s="41"/>
      <c r="C6" s="43" t="s">
        <v>1</v>
      </c>
      <c r="D6" s="44">
        <v>1</v>
      </c>
      <c r="E6" s="41"/>
      <c r="F6" s="45" t="s">
        <v>34</v>
      </c>
      <c r="G6" s="46">
        <f>HLOOKUP(D6,'Employee information'!$C$4:$K$16,6,FALSE)*G13</f>
        <v>10.58</v>
      </c>
      <c r="H6" s="41"/>
    </row>
    <row r="7" spans="2:8" ht="24" customHeight="1" x14ac:dyDescent="0.3">
      <c r="B7" s="41"/>
      <c r="C7" s="47" t="s">
        <v>35</v>
      </c>
      <c r="D7" s="48">
        <f>HLOOKUP(D6,'Employee information'!$C$4:$K$16,4,FALSE)</f>
        <v>1</v>
      </c>
      <c r="E7" s="41"/>
      <c r="F7" s="47" t="s">
        <v>36</v>
      </c>
      <c r="G7" s="49">
        <f>HLOOKUP(D6,'Employee information'!$C$4:$K$16,12,FALSE)</f>
        <v>40</v>
      </c>
      <c r="H7" s="41"/>
    </row>
    <row r="8" spans="2:8" ht="24" customHeight="1" x14ac:dyDescent="0.3">
      <c r="B8" s="41"/>
      <c r="C8" s="45" t="s">
        <v>37</v>
      </c>
      <c r="D8" s="46">
        <f>HLOOKUP(D6,'Employee information'!$C$4:$K$16,3,FALSE)</f>
        <v>10</v>
      </c>
      <c r="E8" s="41"/>
      <c r="F8" s="45" t="s">
        <v>38</v>
      </c>
      <c r="G8" s="46">
        <f>HLOOKUP(D6,'Payroll calculator'!$B$5:$K$15,10,FALSE)</f>
        <v>20</v>
      </c>
      <c r="H8" s="41"/>
    </row>
    <row r="9" spans="2:8" ht="24" customHeight="1" x14ac:dyDescent="0.3">
      <c r="B9" s="41"/>
      <c r="C9" s="47" t="s">
        <v>39</v>
      </c>
      <c r="D9" s="49">
        <f>HLOOKUP(D6,'Employee information'!$C$4:$K$16,8,FALSE)*G13</f>
        <v>28.98</v>
      </c>
      <c r="E9" s="41"/>
      <c r="F9" s="47" t="s">
        <v>40</v>
      </c>
      <c r="G9" s="57">
        <f>HLOOKUP(D6,'Payroll calculator'!$B$5:$K$15,3,FALSE)</f>
        <v>40</v>
      </c>
      <c r="H9" s="41"/>
    </row>
    <row r="10" spans="2:8" ht="24" customHeight="1" x14ac:dyDescent="0.3">
      <c r="B10" s="41"/>
      <c r="C10" s="45" t="s">
        <v>41</v>
      </c>
      <c r="D10" s="46">
        <f>HLOOKUP(D6,'Employee information'!$C$4:$K$16,9,FALSE)*G13</f>
        <v>6.67</v>
      </c>
      <c r="E10" s="41"/>
      <c r="F10" s="45" t="s">
        <v>42</v>
      </c>
      <c r="G10" s="44">
        <f>HLOOKUP(D6,'Payroll calculator'!$B$5:$K$15,5,FALSE)</f>
        <v>1</v>
      </c>
      <c r="H10" s="41"/>
    </row>
    <row r="11" spans="2:8" ht="24" customHeight="1" x14ac:dyDescent="0.3">
      <c r="B11" s="41"/>
      <c r="C11" s="47" t="s">
        <v>43</v>
      </c>
      <c r="D11" s="49">
        <f>HLOOKUP(D6,'Employee information'!$C$4:$K$16,11,FALSE)</f>
        <v>20</v>
      </c>
      <c r="E11" s="41"/>
      <c r="F11" s="47" t="s">
        <v>44</v>
      </c>
      <c r="G11" s="48">
        <f>HLOOKUP(D6,'Payroll calculator'!$B$5:$K$15,4,FALSE)</f>
        <v>5</v>
      </c>
      <c r="H11" s="41"/>
    </row>
    <row r="12" spans="2:8" ht="24" customHeight="1" x14ac:dyDescent="0.3">
      <c r="B12" s="41"/>
      <c r="C12" s="45" t="s">
        <v>45</v>
      </c>
      <c r="D12" s="46">
        <f>SUM(D9:D11)+SUM(G6:G7)+D15</f>
        <v>235.03</v>
      </c>
      <c r="E12" s="41"/>
      <c r="F12" s="45" t="s">
        <v>46</v>
      </c>
      <c r="G12" s="44">
        <f>HLOOKUP(D6,'Payroll calculator'!$B$5:$K$15,6,FALSE)</f>
        <v>0</v>
      </c>
      <c r="H12" s="41"/>
    </row>
    <row r="13" spans="2:8" ht="24" customHeight="1" x14ac:dyDescent="0.3">
      <c r="B13" s="41"/>
      <c r="C13" s="47" t="s">
        <v>47</v>
      </c>
      <c r="D13" s="48">
        <f>HLOOKUP(D6,'Employee information'!$C$4:$K$16,5,FALSE)</f>
        <v>4</v>
      </c>
      <c r="E13" s="41"/>
      <c r="F13" s="47" t="s">
        <v>48</v>
      </c>
      <c r="G13" s="49">
        <f>HLOOKUP(D6,'Payroll calculator'!$B$5:$K$15,8,FALSE)</f>
        <v>460</v>
      </c>
      <c r="H13" s="41"/>
    </row>
    <row r="14" spans="2:8" ht="24" customHeight="1" x14ac:dyDescent="0.3">
      <c r="B14" s="41"/>
      <c r="C14" s="45" t="s">
        <v>49</v>
      </c>
      <c r="D14" s="46">
        <f>HLOOKUP(D6,'Payroll calculator'!$B$5:$K$15,7,FALSE)</f>
        <v>0</v>
      </c>
      <c r="E14" s="41"/>
      <c r="F14" s="45" t="s">
        <v>50</v>
      </c>
      <c r="G14" s="46">
        <f>HLOOKUP(D6,'Payroll calculator'!$B$5:$K$15,9,FALSE)+G8</f>
        <v>255.03000000000003</v>
      </c>
      <c r="H14" s="41"/>
    </row>
    <row r="15" spans="2:8" ht="24" customHeight="1" x14ac:dyDescent="0.3">
      <c r="B15" s="41"/>
      <c r="C15" s="50" t="s">
        <v>51</v>
      </c>
      <c r="D15" s="49">
        <f>HLOOKUP(D7,'Employee information'!$C$4:$K$16,7,FALSE)*G13</f>
        <v>128.80000000000001</v>
      </c>
      <c r="E15" s="41"/>
      <c r="F15" s="51" t="s">
        <v>32</v>
      </c>
      <c r="G15" s="52">
        <f>HLOOKUP(D6,'Payroll calculator'!$B$5:$K$15,11,FALSE)</f>
        <v>204.96999999999997</v>
      </c>
      <c r="H15" s="41"/>
    </row>
    <row r="16" spans="2:8" ht="21.75" customHeight="1" x14ac:dyDescent="0.3">
      <c r="B16" s="41"/>
      <c r="C16" s="41"/>
      <c r="D16" s="41"/>
      <c r="E16" s="41"/>
      <c r="F16" s="41"/>
      <c r="G16" s="41"/>
      <c r="H16" s="41"/>
    </row>
    <row r="17" spans="2:8" ht="26.25" customHeight="1" x14ac:dyDescent="0.3"/>
    <row r="18" spans="2:8" ht="15.95" customHeight="1" x14ac:dyDescent="0.3">
      <c r="B18" s="40"/>
      <c r="C18" s="40"/>
      <c r="D18" s="40"/>
      <c r="E18" s="40"/>
      <c r="F18" s="40"/>
      <c r="G18" s="40"/>
      <c r="H18" s="40"/>
    </row>
    <row r="19" spans="2:8" ht="30" customHeight="1" x14ac:dyDescent="0.3">
      <c r="B19" s="41"/>
      <c r="C19" s="59" t="str">
        <f>HLOOKUP(D22,'Employee information'!$C$4:$K$16,2,FALSE)</f>
        <v>Kate Smith</v>
      </c>
      <c r="D19" s="59"/>
      <c r="E19" s="41"/>
      <c r="F19" s="60" t="str">
        <f ca="1">CONCATENATE("Period: ",TEXT(NOW(), "M/d/yyyy"))</f>
        <v>Period: 5/6/2014</v>
      </c>
      <c r="G19" s="60"/>
      <c r="H19" s="41"/>
    </row>
    <row r="20" spans="2:8" ht="19.5" customHeight="1" x14ac:dyDescent="0.5">
      <c r="B20" s="41"/>
      <c r="C20" s="42" t="s">
        <v>33</v>
      </c>
      <c r="D20" s="41"/>
      <c r="E20" s="41"/>
      <c r="F20" s="41"/>
      <c r="G20" s="41"/>
      <c r="H20" s="41"/>
    </row>
    <row r="21" spans="2:8" ht="17.25" customHeight="1" x14ac:dyDescent="0.3">
      <c r="B21" s="41"/>
      <c r="C21" s="41"/>
      <c r="D21" s="41"/>
      <c r="E21" s="41"/>
      <c r="F21" s="41"/>
      <c r="G21" s="41"/>
      <c r="H21" s="41"/>
    </row>
    <row r="22" spans="2:8" ht="24" customHeight="1" x14ac:dyDescent="0.3">
      <c r="B22" s="41"/>
      <c r="C22" s="43" t="s">
        <v>1</v>
      </c>
      <c r="D22" s="44">
        <v>2</v>
      </c>
      <c r="E22" s="41"/>
      <c r="F22" s="45" t="s">
        <v>34</v>
      </c>
      <c r="G22" s="46">
        <f>HLOOKUP(D22,'Employee information'!$C$4:$K$16,6,FALSE)*G29</f>
        <v>14.945</v>
      </c>
      <c r="H22" s="41"/>
    </row>
    <row r="23" spans="2:8" ht="24" customHeight="1" x14ac:dyDescent="0.3">
      <c r="B23" s="41"/>
      <c r="C23" s="47" t="s">
        <v>35</v>
      </c>
      <c r="D23" s="48">
        <f>HLOOKUP(D22,'Employee information'!$C$4:$K$16,4,FALSE)</f>
        <v>1</v>
      </c>
      <c r="E23" s="41"/>
      <c r="F23" s="47" t="s">
        <v>36</v>
      </c>
      <c r="G23" s="49">
        <f>HLOOKUP(D22,'Employee information'!$C$4:$K$16,12,FALSE)</f>
        <v>42</v>
      </c>
      <c r="H23" s="41"/>
    </row>
    <row r="24" spans="2:8" ht="24" customHeight="1" x14ac:dyDescent="0.3">
      <c r="B24" s="41"/>
      <c r="C24" s="45" t="s">
        <v>37</v>
      </c>
      <c r="D24" s="46">
        <f>HLOOKUP(D22,'Employee information'!$C$4:$K$16,3,FALSE)</f>
        <v>11</v>
      </c>
      <c r="E24" s="41"/>
      <c r="F24" s="45" t="s">
        <v>38</v>
      </c>
      <c r="G24" s="46">
        <f>HLOOKUP(D22,'Payroll calculator'!$B$5:$K$15,10,FALSE)</f>
        <v>20</v>
      </c>
      <c r="H24" s="41"/>
    </row>
    <row r="25" spans="2:8" ht="24" customHeight="1" x14ac:dyDescent="0.3">
      <c r="B25" s="41"/>
      <c r="C25" s="47" t="s">
        <v>39</v>
      </c>
      <c r="D25" s="49">
        <f>HLOOKUP(D22,'Employee information'!$C$4:$K$16,8,FALSE)*G29</f>
        <v>37.21</v>
      </c>
      <c r="E25" s="41"/>
      <c r="F25" s="47" t="s">
        <v>40</v>
      </c>
      <c r="G25" s="57">
        <f>HLOOKUP(D22,'Payroll calculator'!$B$5:$K$15,3,FALSE)</f>
        <v>45</v>
      </c>
      <c r="H25" s="41"/>
    </row>
    <row r="26" spans="2:8" ht="24" customHeight="1" x14ac:dyDescent="0.3">
      <c r="B26" s="41"/>
      <c r="C26" s="45" t="s">
        <v>41</v>
      </c>
      <c r="D26" s="46">
        <f>HLOOKUP(D22,'Employee information'!$C$4:$K$16,9,FALSE)*G29</f>
        <v>9.15</v>
      </c>
      <c r="E26" s="41"/>
      <c r="F26" s="45" t="s">
        <v>42</v>
      </c>
      <c r="G26" s="44">
        <f>HLOOKUP(D22,'Payroll calculator'!$B$5:$K$15,5,FALSE)</f>
        <v>0</v>
      </c>
      <c r="H26" s="41"/>
    </row>
    <row r="27" spans="2:8" ht="24" customHeight="1" x14ac:dyDescent="0.3">
      <c r="B27" s="41"/>
      <c r="C27" s="47" t="s">
        <v>43</v>
      </c>
      <c r="D27" s="49">
        <f>HLOOKUP(D22,'Employee information'!$C$4:$K$16,11,FALSE)</f>
        <v>20</v>
      </c>
      <c r="E27" s="41"/>
      <c r="F27" s="47" t="s">
        <v>44</v>
      </c>
      <c r="G27" s="48">
        <f>HLOOKUP(D22,'Payroll calculator'!$B$5:$K$15,4,FALSE)</f>
        <v>5</v>
      </c>
      <c r="H27" s="41"/>
    </row>
    <row r="28" spans="2:8" ht="24" customHeight="1" x14ac:dyDescent="0.3">
      <c r="B28" s="41"/>
      <c r="C28" s="45" t="s">
        <v>45</v>
      </c>
      <c r="D28" s="46">
        <f>SUM(D25:D27)+SUM(G22:G23)+D31</f>
        <v>294.10500000000002</v>
      </c>
      <c r="E28" s="41"/>
      <c r="F28" s="45" t="s">
        <v>46</v>
      </c>
      <c r="G28" s="44">
        <f>HLOOKUP(D22,'Payroll calculator'!$B$5:$K$15,6,FALSE)</f>
        <v>3</v>
      </c>
      <c r="H28" s="41"/>
    </row>
    <row r="29" spans="2:8" ht="24" customHeight="1" x14ac:dyDescent="0.3">
      <c r="B29" s="41"/>
      <c r="C29" s="47" t="s">
        <v>47</v>
      </c>
      <c r="D29" s="48">
        <f>HLOOKUP(D22,'Employee information'!$C$4:$K$16,5,FALSE)</f>
        <v>4</v>
      </c>
      <c r="E29" s="41"/>
      <c r="F29" s="47" t="s">
        <v>48</v>
      </c>
      <c r="G29" s="49">
        <f>HLOOKUP(D22,'Payroll calculator'!$B$5:$K$15,8,FALSE)</f>
        <v>610</v>
      </c>
      <c r="H29" s="41"/>
    </row>
    <row r="30" spans="2:8" ht="24" customHeight="1" x14ac:dyDescent="0.3">
      <c r="B30" s="41"/>
      <c r="C30" s="45" t="s">
        <v>49</v>
      </c>
      <c r="D30" s="46">
        <f>HLOOKUP(D22,'Payroll calculator'!$B$5:$K$15,7,FALSE)</f>
        <v>20</v>
      </c>
      <c r="E30" s="41"/>
      <c r="F30" s="45" t="s">
        <v>50</v>
      </c>
      <c r="G30" s="46">
        <f>HLOOKUP(D22,'Payroll calculator'!$B$5:$K$15,9,FALSE)+G24</f>
        <v>311.66500000000002</v>
      </c>
      <c r="H30" s="41"/>
    </row>
    <row r="31" spans="2:8" ht="24" customHeight="1" x14ac:dyDescent="0.3">
      <c r="B31" s="41"/>
      <c r="C31" s="50" t="s">
        <v>51</v>
      </c>
      <c r="D31" s="49">
        <f>HLOOKUP(D23,'Employee information'!$C$4:$K$16,7,FALSE)*G29</f>
        <v>170.8</v>
      </c>
      <c r="E31" s="41"/>
      <c r="F31" s="51" t="s">
        <v>32</v>
      </c>
      <c r="G31" s="52">
        <f>HLOOKUP(D22,'Payroll calculator'!$B$5:$K$15,11,FALSE)</f>
        <v>298.33499999999998</v>
      </c>
      <c r="H31" s="41"/>
    </row>
    <row r="32" spans="2:8" ht="21.75" customHeight="1" x14ac:dyDescent="0.3">
      <c r="B32" s="41"/>
      <c r="C32" s="41"/>
      <c r="D32" s="41"/>
      <c r="E32" s="41"/>
      <c r="F32" s="41"/>
      <c r="G32" s="41"/>
      <c r="H32" s="41"/>
    </row>
    <row r="33" spans="2:8" ht="26.25" customHeight="1" x14ac:dyDescent="0.3"/>
    <row r="34" spans="2:8" ht="15.95" customHeight="1" x14ac:dyDescent="0.3">
      <c r="B34" s="40"/>
      <c r="C34" s="40"/>
      <c r="D34" s="40"/>
      <c r="E34" s="40"/>
      <c r="F34" s="40"/>
      <c r="G34" s="40"/>
      <c r="H34" s="40"/>
    </row>
    <row r="35" spans="2:8" ht="30" customHeight="1" x14ac:dyDescent="0.3">
      <c r="B35" s="41"/>
      <c r="C35" s="59" t="str">
        <f>HLOOKUP(D38,'Employee information'!$C$4:$K$16,2,FALSE)</f>
        <v>Nick Taylor</v>
      </c>
      <c r="D35" s="59"/>
      <c r="E35" s="41"/>
      <c r="F35" s="60" t="str">
        <f ca="1">CONCATENATE("Period: ",TEXT(NOW(), "M/d/yyyy"))</f>
        <v>Period: 5/6/2014</v>
      </c>
      <c r="G35" s="60"/>
      <c r="H35" s="41"/>
    </row>
    <row r="36" spans="2:8" ht="19.5" customHeight="1" x14ac:dyDescent="0.5">
      <c r="B36" s="41"/>
      <c r="C36" s="42" t="s">
        <v>33</v>
      </c>
      <c r="D36" s="41"/>
      <c r="E36" s="41"/>
      <c r="F36" s="41"/>
      <c r="G36" s="41"/>
      <c r="H36" s="41"/>
    </row>
    <row r="37" spans="2:8" ht="17.25" customHeight="1" x14ac:dyDescent="0.3">
      <c r="B37" s="41"/>
      <c r="C37" s="41"/>
      <c r="D37" s="41"/>
      <c r="E37" s="41"/>
      <c r="F37" s="41"/>
      <c r="G37" s="41"/>
      <c r="H37" s="41"/>
    </row>
    <row r="38" spans="2:8" ht="24" customHeight="1" x14ac:dyDescent="0.3">
      <c r="B38" s="41"/>
      <c r="C38" s="43" t="s">
        <v>1</v>
      </c>
      <c r="D38" s="44">
        <v>3</v>
      </c>
      <c r="E38" s="41"/>
      <c r="F38" s="45" t="s">
        <v>34</v>
      </c>
      <c r="G38" s="46">
        <f>HLOOKUP(D38,'Employee information'!$C$4:$K$16,6,FALSE)*G45</f>
        <v>28.895999999999997</v>
      </c>
      <c r="H38" s="41"/>
    </row>
    <row r="39" spans="2:8" ht="24" customHeight="1" x14ac:dyDescent="0.3">
      <c r="B39" s="41"/>
      <c r="C39" s="47" t="s">
        <v>35</v>
      </c>
      <c r="D39" s="48">
        <f>HLOOKUP(D38,'Employee information'!$C$4:$K$16,4,FALSE)</f>
        <v>2</v>
      </c>
      <c r="E39" s="41"/>
      <c r="F39" s="47" t="s">
        <v>36</v>
      </c>
      <c r="G39" s="49">
        <f>HLOOKUP(D38,'Employee information'!$C$4:$K$16,12,FALSE)</f>
        <v>39</v>
      </c>
      <c r="H39" s="41"/>
    </row>
    <row r="40" spans="2:8" ht="24" customHeight="1" x14ac:dyDescent="0.3">
      <c r="B40" s="41"/>
      <c r="C40" s="45" t="s">
        <v>37</v>
      </c>
      <c r="D40" s="46">
        <f>HLOOKUP(D38,'Employee information'!$C$4:$K$16,3,FALSE)</f>
        <v>15</v>
      </c>
      <c r="E40" s="41"/>
      <c r="F40" s="45" t="s">
        <v>38</v>
      </c>
      <c r="G40" s="46">
        <f>HLOOKUP(D38,'Payroll calculator'!$B$5:$K$15,10,FALSE)</f>
        <v>21</v>
      </c>
      <c r="H40" s="41"/>
    </row>
    <row r="41" spans="2:8" ht="24" customHeight="1" x14ac:dyDescent="0.3">
      <c r="B41" s="41"/>
      <c r="C41" s="47" t="s">
        <v>39</v>
      </c>
      <c r="D41" s="49">
        <f>HLOOKUP(D38,'Employee information'!$C$4:$K$16,8,FALSE)*G45</f>
        <v>65.28</v>
      </c>
      <c r="E41" s="41"/>
      <c r="F41" s="47" t="s">
        <v>40</v>
      </c>
      <c r="G41" s="57">
        <f>HLOOKUP(D38,'Payroll calculator'!$B$5:$K$15,3,FALSE)</f>
        <v>40</v>
      </c>
      <c r="H41" s="41"/>
    </row>
    <row r="42" spans="2:8" ht="24" customHeight="1" x14ac:dyDescent="0.3">
      <c r="B42" s="41"/>
      <c r="C42" s="45" t="s">
        <v>41</v>
      </c>
      <c r="D42" s="46">
        <f>HLOOKUP(D38,'Employee information'!$C$4:$K$16,9,FALSE)*G45</f>
        <v>14.399999999999999</v>
      </c>
      <c r="E42" s="41"/>
      <c r="F42" s="45" t="s">
        <v>42</v>
      </c>
      <c r="G42" s="44">
        <f>HLOOKUP(D38,'Payroll calculator'!$B$5:$K$15,5,FALSE)</f>
        <v>2</v>
      </c>
      <c r="H42" s="41"/>
    </row>
    <row r="43" spans="2:8" ht="24" customHeight="1" x14ac:dyDescent="0.3">
      <c r="B43" s="41"/>
      <c r="C43" s="47" t="s">
        <v>43</v>
      </c>
      <c r="D43" s="49">
        <f>HLOOKUP(D38,'Employee information'!$C$4:$K$16,11,FALSE)</f>
        <v>22</v>
      </c>
      <c r="E43" s="41"/>
      <c r="F43" s="47" t="s">
        <v>44</v>
      </c>
      <c r="G43" s="48">
        <f>HLOOKUP(D38,'Payroll calculator'!$B$5:$K$15,4,FALSE)</f>
        <v>6</v>
      </c>
      <c r="H43" s="41"/>
    </row>
    <row r="44" spans="2:8" ht="24" customHeight="1" x14ac:dyDescent="0.3">
      <c r="B44" s="41"/>
      <c r="C44" s="45" t="s">
        <v>45</v>
      </c>
      <c r="D44" s="46">
        <f>SUM(D41:D43)+SUM(G38:G39)+D47</f>
        <v>434.53600000000006</v>
      </c>
      <c r="E44" s="41"/>
      <c r="F44" s="45" t="s">
        <v>46</v>
      </c>
      <c r="G44" s="44">
        <f>HLOOKUP(D38,'Payroll calculator'!$B$5:$K$15,6,FALSE)</f>
        <v>6</v>
      </c>
      <c r="H44" s="41"/>
    </row>
    <row r="45" spans="2:8" ht="24" customHeight="1" x14ac:dyDescent="0.3">
      <c r="B45" s="41"/>
      <c r="C45" s="47" t="s">
        <v>47</v>
      </c>
      <c r="D45" s="48">
        <f>HLOOKUP(D38,'Employee information'!$C$4:$K$16,5,FALSE)</f>
        <v>3</v>
      </c>
      <c r="E45" s="41"/>
      <c r="F45" s="47" t="s">
        <v>48</v>
      </c>
      <c r="G45" s="49">
        <f>HLOOKUP(D38,'Payroll calculator'!$B$5:$K$15,8,FALSE)</f>
        <v>960</v>
      </c>
      <c r="H45" s="41"/>
    </row>
    <row r="46" spans="2:8" ht="24" customHeight="1" x14ac:dyDescent="0.3">
      <c r="B46" s="41"/>
      <c r="C46" s="45" t="s">
        <v>49</v>
      </c>
      <c r="D46" s="46">
        <f>HLOOKUP(D38,'Payroll calculator'!$B$5:$K$15,7,FALSE)</f>
        <v>40</v>
      </c>
      <c r="E46" s="41"/>
      <c r="F46" s="45" t="s">
        <v>50</v>
      </c>
      <c r="G46" s="46">
        <f>HLOOKUP(D38,'Payroll calculator'!$B$5:$K$15,9,FALSE)+G40</f>
        <v>449.96800000000002</v>
      </c>
      <c r="H46" s="41"/>
    </row>
    <row r="47" spans="2:8" ht="24" customHeight="1" x14ac:dyDescent="0.3">
      <c r="B47" s="41"/>
      <c r="C47" s="50" t="s">
        <v>51</v>
      </c>
      <c r="D47" s="49">
        <f>HLOOKUP(D39,'Employee information'!$C$4:$K$16,7,FALSE)*G45</f>
        <v>264.96000000000004</v>
      </c>
      <c r="E47" s="41"/>
      <c r="F47" s="51" t="s">
        <v>32</v>
      </c>
      <c r="G47" s="52">
        <f>HLOOKUP(D38,'Payroll calculator'!$B$5:$K$15,11,FALSE)</f>
        <v>510.03199999999993</v>
      </c>
      <c r="H47" s="41"/>
    </row>
    <row r="48" spans="2:8" ht="21.75" customHeight="1" x14ac:dyDescent="0.3">
      <c r="B48" s="41"/>
      <c r="C48" s="41"/>
      <c r="D48" s="41"/>
      <c r="E48" s="41"/>
      <c r="F48" s="41"/>
      <c r="G48" s="41"/>
      <c r="H48" s="41"/>
    </row>
    <row r="49" spans="2:8" ht="26.25" customHeight="1" x14ac:dyDescent="0.3"/>
    <row r="50" spans="2:8" ht="15.95" customHeight="1" x14ac:dyDescent="0.3">
      <c r="B50" s="40"/>
      <c r="C50" s="40"/>
      <c r="D50" s="40"/>
      <c r="E50" s="40"/>
      <c r="F50" s="40"/>
      <c r="G50" s="40"/>
      <c r="H50" s="40"/>
    </row>
    <row r="51" spans="2:8" ht="30" customHeight="1" x14ac:dyDescent="0.3">
      <c r="B51" s="41"/>
      <c r="C51" s="59" t="str">
        <f>HLOOKUP(D54,'Employee information'!$C$4:$K$16,2,FALSE)</f>
        <v>Oliver Hilfiger</v>
      </c>
      <c r="D51" s="59"/>
      <c r="E51" s="41"/>
      <c r="F51" s="60" t="str">
        <f ca="1">CONCATENATE("Period: ",TEXT(NOW(), "M/d/yyyy"))</f>
        <v>Period: 5/6/2014</v>
      </c>
      <c r="G51" s="60"/>
      <c r="H51" s="41"/>
    </row>
    <row r="52" spans="2:8" ht="19.5" customHeight="1" x14ac:dyDescent="0.5">
      <c r="B52" s="41"/>
      <c r="C52" s="42" t="s">
        <v>33</v>
      </c>
      <c r="D52" s="41"/>
      <c r="E52" s="41"/>
      <c r="F52" s="41"/>
      <c r="G52" s="41"/>
      <c r="H52" s="41"/>
    </row>
    <row r="53" spans="2:8" ht="17.25" customHeight="1" x14ac:dyDescent="0.3">
      <c r="B53" s="41"/>
      <c r="C53" s="41"/>
      <c r="D53" s="41"/>
      <c r="E53" s="41"/>
      <c r="F53" s="41"/>
      <c r="G53" s="41"/>
      <c r="H53" s="41"/>
    </row>
    <row r="54" spans="2:8" ht="24" customHeight="1" x14ac:dyDescent="0.3">
      <c r="B54" s="41"/>
      <c r="C54" s="43" t="s">
        <v>1</v>
      </c>
      <c r="D54" s="44">
        <v>4</v>
      </c>
      <c r="E54" s="41"/>
      <c r="F54" s="45" t="s">
        <v>34</v>
      </c>
      <c r="G54" s="46">
        <f>HLOOKUP(D54,'Employee information'!$C$4:$K$16,6,FALSE)*G61</f>
        <v>19.778000000000002</v>
      </c>
      <c r="H54" s="41"/>
    </row>
    <row r="55" spans="2:8" ht="24" customHeight="1" x14ac:dyDescent="0.3">
      <c r="B55" s="41"/>
      <c r="C55" s="47" t="s">
        <v>35</v>
      </c>
      <c r="D55" s="48">
        <f>HLOOKUP(D54,'Employee information'!$C$4:$K$16,4,FALSE)</f>
        <v>2</v>
      </c>
      <c r="E55" s="41"/>
      <c r="F55" s="47" t="s">
        <v>36</v>
      </c>
      <c r="G55" s="49">
        <f>HLOOKUP(D54,'Employee information'!$C$4:$K$16,12,FALSE)</f>
        <v>40</v>
      </c>
      <c r="H55" s="41"/>
    </row>
    <row r="56" spans="2:8" ht="24" customHeight="1" x14ac:dyDescent="0.3">
      <c r="B56" s="41"/>
      <c r="C56" s="45" t="s">
        <v>37</v>
      </c>
      <c r="D56" s="46">
        <f>HLOOKUP(D54,'Employee information'!$C$4:$K$16,3,FALSE)</f>
        <v>10</v>
      </c>
      <c r="E56" s="41"/>
      <c r="F56" s="45" t="s">
        <v>38</v>
      </c>
      <c r="G56" s="46">
        <f>HLOOKUP(D54,'Payroll calculator'!$B$5:$K$15,10,FALSE)</f>
        <v>0</v>
      </c>
      <c r="H56" s="41"/>
    </row>
    <row r="57" spans="2:8" ht="24" customHeight="1" x14ac:dyDescent="0.3">
      <c r="B57" s="41"/>
      <c r="C57" s="47" t="s">
        <v>39</v>
      </c>
      <c r="D57" s="49">
        <f>HLOOKUP(D54,'Employee information'!$C$4:$K$16,8,FALSE)*G61</f>
        <v>53.878</v>
      </c>
      <c r="E57" s="41"/>
      <c r="F57" s="47" t="s">
        <v>40</v>
      </c>
      <c r="G57" s="57">
        <f>HLOOKUP(D54,'Payroll calculator'!$B$5:$K$15,3,FALSE)</f>
        <v>40</v>
      </c>
      <c r="H57" s="41"/>
    </row>
    <row r="58" spans="2:8" ht="24" customHeight="1" x14ac:dyDescent="0.3">
      <c r="B58" s="41"/>
      <c r="C58" s="45" t="s">
        <v>41</v>
      </c>
      <c r="D58" s="46">
        <f>HLOOKUP(D54,'Employee information'!$C$4:$K$16,9,FALSE)*G61</f>
        <v>9.0705999999999989</v>
      </c>
      <c r="E58" s="41"/>
      <c r="F58" s="45" t="s">
        <v>42</v>
      </c>
      <c r="G58" s="44">
        <f>HLOOKUP(D54,'Payroll calculator'!$B$5:$K$15,5,FALSE)</f>
        <v>15</v>
      </c>
      <c r="H58" s="41"/>
    </row>
    <row r="59" spans="2:8" ht="24" customHeight="1" x14ac:dyDescent="0.3">
      <c r="B59" s="41"/>
      <c r="C59" s="47" t="s">
        <v>43</v>
      </c>
      <c r="D59" s="49">
        <f>HLOOKUP(D54,'Employee information'!$C$4:$K$16,11,FALSE)</f>
        <v>21.6</v>
      </c>
      <c r="E59" s="41"/>
      <c r="F59" s="47" t="s">
        <v>44</v>
      </c>
      <c r="G59" s="48">
        <f>HLOOKUP(D54,'Payroll calculator'!$B$5:$K$15,4,FALSE)</f>
        <v>2</v>
      </c>
      <c r="H59" s="41"/>
    </row>
    <row r="60" spans="2:8" ht="24" customHeight="1" x14ac:dyDescent="0.3">
      <c r="B60" s="41"/>
      <c r="C60" s="45" t="s">
        <v>45</v>
      </c>
      <c r="D60" s="46">
        <f>SUM(D57:D59)+SUM(G54:G55)+D63</f>
        <v>332.55860000000001</v>
      </c>
      <c r="E60" s="41"/>
      <c r="F60" s="45" t="s">
        <v>46</v>
      </c>
      <c r="G60" s="44">
        <f>HLOOKUP(D54,'Payroll calculator'!$B$5:$K$15,6,FALSE)</f>
        <v>4</v>
      </c>
      <c r="H60" s="41"/>
    </row>
    <row r="61" spans="2:8" ht="24" customHeight="1" x14ac:dyDescent="0.3">
      <c r="B61" s="41"/>
      <c r="C61" s="47" t="s">
        <v>47</v>
      </c>
      <c r="D61" s="48">
        <f>HLOOKUP(D54,'Employee information'!$C$4:$K$16,5,FALSE)</f>
        <v>3</v>
      </c>
      <c r="E61" s="41"/>
      <c r="F61" s="47" t="s">
        <v>48</v>
      </c>
      <c r="G61" s="49">
        <f>HLOOKUP(D54,'Payroll calculator'!$B$5:$K$15,8,FALSE)</f>
        <v>682</v>
      </c>
      <c r="H61" s="41"/>
    </row>
    <row r="62" spans="2:8" ht="24" customHeight="1" x14ac:dyDescent="0.3">
      <c r="B62" s="41"/>
      <c r="C62" s="45" t="s">
        <v>49</v>
      </c>
      <c r="D62" s="46">
        <f>HLOOKUP(D54,'Payroll calculator'!$B$5:$K$15,7,FALSE)</f>
        <v>28</v>
      </c>
      <c r="E62" s="41"/>
      <c r="F62" s="45" t="s">
        <v>50</v>
      </c>
      <c r="G62" s="46">
        <f>HLOOKUP(D54,'Payroll calculator'!$B$5:$K$15,9,FALSE)+G56</f>
        <v>311.41660000000002</v>
      </c>
      <c r="H62" s="41"/>
    </row>
    <row r="63" spans="2:8" ht="24" customHeight="1" x14ac:dyDescent="0.3">
      <c r="B63" s="41"/>
      <c r="C63" s="50" t="s">
        <v>51</v>
      </c>
      <c r="D63" s="49">
        <f>HLOOKUP(D55,'Employee information'!$C$4:$K$16,7,FALSE)*G61</f>
        <v>188.23200000000003</v>
      </c>
      <c r="E63" s="41"/>
      <c r="F63" s="51" t="s">
        <v>32</v>
      </c>
      <c r="G63" s="52">
        <f>HLOOKUP(D54,'Payroll calculator'!$B$5:$K$15,11,FALSE)</f>
        <v>370.58339999999998</v>
      </c>
      <c r="H63" s="41"/>
    </row>
    <row r="64" spans="2:8" ht="21.75" customHeight="1" x14ac:dyDescent="0.3">
      <c r="B64" s="41"/>
      <c r="C64" s="41"/>
      <c r="D64" s="41"/>
      <c r="E64" s="41"/>
      <c r="F64" s="41"/>
      <c r="G64" s="41"/>
      <c r="H64" s="41"/>
    </row>
    <row r="65" spans="2:8" ht="26.25" customHeight="1" x14ac:dyDescent="0.3"/>
    <row r="66" spans="2:8" ht="15.95" customHeight="1" x14ac:dyDescent="0.3">
      <c r="B66" s="40"/>
      <c r="C66" s="40"/>
      <c r="D66" s="40"/>
      <c r="E66" s="40"/>
      <c r="F66" s="40"/>
      <c r="G66" s="40"/>
      <c r="H66" s="40"/>
    </row>
    <row r="67" spans="2:8" ht="30" customHeight="1" x14ac:dyDescent="0.3">
      <c r="B67" s="41"/>
      <c r="C67" s="59" t="str">
        <f>HLOOKUP(D70,'Employee information'!$C$4:$K$16,2,FALSE)</f>
        <v>Tommy Dickson</v>
      </c>
      <c r="D67" s="59"/>
      <c r="E67" s="41"/>
      <c r="F67" s="60" t="str">
        <f ca="1">CONCATENATE("Period: ",TEXT(NOW(), "M/d/yyyy"))</f>
        <v>Period: 5/6/2014</v>
      </c>
      <c r="G67" s="60"/>
      <c r="H67" s="41"/>
    </row>
    <row r="68" spans="2:8" ht="19.5" customHeight="1" x14ac:dyDescent="0.5">
      <c r="B68" s="41"/>
      <c r="C68" s="42" t="s">
        <v>33</v>
      </c>
      <c r="D68" s="41"/>
      <c r="E68" s="41"/>
      <c r="F68" s="41"/>
      <c r="G68" s="41"/>
      <c r="H68" s="41"/>
    </row>
    <row r="69" spans="2:8" ht="17.25" customHeight="1" x14ac:dyDescent="0.3">
      <c r="B69" s="41"/>
      <c r="C69" s="41"/>
      <c r="D69" s="41"/>
      <c r="E69" s="41"/>
      <c r="F69" s="41"/>
      <c r="G69" s="41"/>
      <c r="H69" s="41"/>
    </row>
    <row r="70" spans="2:8" ht="24" customHeight="1" x14ac:dyDescent="0.3">
      <c r="B70" s="41"/>
      <c r="C70" s="43" t="s">
        <v>1</v>
      </c>
      <c r="D70" s="44">
        <v>5</v>
      </c>
      <c r="E70" s="41"/>
      <c r="F70" s="45" t="s">
        <v>34</v>
      </c>
      <c r="G70" s="46">
        <f>HLOOKUP(D70,'Employee information'!$C$4:$K$16,6,FALSE)*G77</f>
        <v>42.074999999999996</v>
      </c>
      <c r="H70" s="41"/>
    </row>
    <row r="71" spans="2:8" ht="24" customHeight="1" x14ac:dyDescent="0.3">
      <c r="B71" s="41"/>
      <c r="C71" s="47" t="s">
        <v>35</v>
      </c>
      <c r="D71" s="48">
        <f>HLOOKUP(D70,'Employee information'!$C$4:$K$16,4,FALSE)</f>
        <v>3</v>
      </c>
      <c r="E71" s="41"/>
      <c r="F71" s="47" t="s">
        <v>36</v>
      </c>
      <c r="G71" s="49">
        <f>HLOOKUP(D70,'Employee information'!$C$4:$K$16,12,FALSE)</f>
        <v>24.3</v>
      </c>
      <c r="H71" s="41"/>
    </row>
    <row r="72" spans="2:8" ht="24" customHeight="1" x14ac:dyDescent="0.3">
      <c r="B72" s="41"/>
      <c r="C72" s="45" t="s">
        <v>37</v>
      </c>
      <c r="D72" s="46">
        <f>HLOOKUP(D70,'Employee information'!$C$4:$K$16,3,FALSE)</f>
        <v>20</v>
      </c>
      <c r="E72" s="41"/>
      <c r="F72" s="45" t="s">
        <v>38</v>
      </c>
      <c r="G72" s="46">
        <f>HLOOKUP(D70,'Payroll calculator'!$B$5:$K$15,10,FALSE)</f>
        <v>12.46</v>
      </c>
      <c r="H72" s="41"/>
    </row>
    <row r="73" spans="2:8" ht="24" customHeight="1" x14ac:dyDescent="0.3">
      <c r="B73" s="41"/>
      <c r="C73" s="47" t="s">
        <v>39</v>
      </c>
      <c r="D73" s="49">
        <f>HLOOKUP(D70,'Employee information'!$C$4:$K$16,8,FALSE)*G77</f>
        <v>78.540000000000006</v>
      </c>
      <c r="E73" s="41"/>
      <c r="F73" s="47" t="s">
        <v>40</v>
      </c>
      <c r="G73" s="57">
        <f>HLOOKUP(D70,'Payroll calculator'!$B$5:$K$15,3,FALSE)</f>
        <v>40</v>
      </c>
      <c r="H73" s="41"/>
    </row>
    <row r="74" spans="2:8" ht="24" customHeight="1" x14ac:dyDescent="0.3">
      <c r="B74" s="41"/>
      <c r="C74" s="45" t="s">
        <v>41</v>
      </c>
      <c r="D74" s="46">
        <f>HLOOKUP(D70,'Employee information'!$C$4:$K$16,9,FALSE)*G77</f>
        <v>13.3705</v>
      </c>
      <c r="E74" s="41"/>
      <c r="F74" s="45" t="s">
        <v>42</v>
      </c>
      <c r="G74" s="44">
        <f>HLOOKUP(D70,'Payroll calculator'!$B$5:$K$15,5,FALSE)</f>
        <v>0</v>
      </c>
      <c r="H74" s="41"/>
    </row>
    <row r="75" spans="2:8" ht="24" customHeight="1" x14ac:dyDescent="0.3">
      <c r="B75" s="41"/>
      <c r="C75" s="47" t="s">
        <v>43</v>
      </c>
      <c r="D75" s="49">
        <f>HLOOKUP(D70,'Employee information'!$C$4:$K$16,11,FALSE)</f>
        <v>41.4</v>
      </c>
      <c r="E75" s="41"/>
      <c r="F75" s="47" t="s">
        <v>44</v>
      </c>
      <c r="G75" s="48">
        <f>HLOOKUP(D70,'Payroll calculator'!$B$5:$K$15,4,FALSE)</f>
        <v>0</v>
      </c>
      <c r="H75" s="41"/>
    </row>
    <row r="76" spans="2:8" ht="24" customHeight="1" x14ac:dyDescent="0.3">
      <c r="B76" s="41"/>
      <c r="C76" s="45" t="s">
        <v>45</v>
      </c>
      <c r="D76" s="46">
        <f>SUM(D73:D75)+SUM(G70:G71)+D79</f>
        <v>452.32249999999999</v>
      </c>
      <c r="E76" s="41"/>
      <c r="F76" s="45" t="s">
        <v>46</v>
      </c>
      <c r="G76" s="44">
        <f>HLOOKUP(D70,'Payroll calculator'!$B$5:$K$15,6,FALSE)</f>
        <v>3</v>
      </c>
      <c r="H76" s="41"/>
    </row>
    <row r="77" spans="2:8" ht="24" customHeight="1" x14ac:dyDescent="0.3">
      <c r="B77" s="41"/>
      <c r="C77" s="47" t="s">
        <v>47</v>
      </c>
      <c r="D77" s="48">
        <f>HLOOKUP(D70,'Employee information'!$C$4:$K$16,5,FALSE)</f>
        <v>4</v>
      </c>
      <c r="E77" s="41"/>
      <c r="F77" s="47" t="s">
        <v>48</v>
      </c>
      <c r="G77" s="49">
        <f>HLOOKUP(D70,'Payroll calculator'!$B$5:$K$15,8,FALSE)</f>
        <v>935</v>
      </c>
      <c r="H77" s="41"/>
    </row>
    <row r="78" spans="2:8" ht="24" customHeight="1" x14ac:dyDescent="0.3">
      <c r="B78" s="41"/>
      <c r="C78" s="45" t="s">
        <v>49</v>
      </c>
      <c r="D78" s="46">
        <f>HLOOKUP(D70,'Payroll calculator'!$B$5:$K$15,7,FALSE)</f>
        <v>45</v>
      </c>
      <c r="E78" s="41"/>
      <c r="F78" s="45" t="s">
        <v>50</v>
      </c>
      <c r="G78" s="46">
        <f>HLOOKUP(D70,'Payroll calculator'!$B$5:$K$15,9,FALSE)+G72</f>
        <v>483.66949999999997</v>
      </c>
      <c r="H78" s="41"/>
    </row>
    <row r="79" spans="2:8" ht="24" customHeight="1" x14ac:dyDescent="0.3">
      <c r="B79" s="41"/>
      <c r="C79" s="50" t="s">
        <v>51</v>
      </c>
      <c r="D79" s="49">
        <f>HLOOKUP(D71,'Employee information'!$C$4:$K$16,7,FALSE)*G77</f>
        <v>252.637</v>
      </c>
      <c r="E79" s="41"/>
      <c r="F79" s="51" t="s">
        <v>32</v>
      </c>
      <c r="G79" s="52">
        <f>HLOOKUP(D70,'Payroll calculator'!$B$5:$K$15,11,FALSE)</f>
        <v>451.33050000000003</v>
      </c>
      <c r="H79" s="41"/>
    </row>
    <row r="80" spans="2:8" ht="21.75" customHeight="1" x14ac:dyDescent="0.3">
      <c r="B80" s="41"/>
      <c r="C80" s="41"/>
      <c r="D80" s="41"/>
      <c r="E80" s="41"/>
      <c r="F80" s="41"/>
      <c r="G80" s="41"/>
      <c r="H80" s="41"/>
    </row>
    <row r="81" spans="2:8" ht="26.25" customHeight="1" x14ac:dyDescent="0.3"/>
    <row r="82" spans="2:8" ht="15.95" customHeight="1" x14ac:dyDescent="0.3">
      <c r="B82" s="40"/>
      <c r="C82" s="40"/>
      <c r="D82" s="40"/>
      <c r="E82" s="40"/>
      <c r="F82" s="40"/>
      <c r="G82" s="40"/>
      <c r="H82" s="40"/>
    </row>
    <row r="83" spans="2:8" ht="30" customHeight="1" x14ac:dyDescent="0.3">
      <c r="B83" s="41"/>
      <c r="C83" s="59" t="str">
        <f>HLOOKUP(D86,'Employee information'!$C$4:$K$16,2,FALSE)</f>
        <v>Andru Morris</v>
      </c>
      <c r="D83" s="59"/>
      <c r="E83" s="41"/>
      <c r="F83" s="60" t="str">
        <f ca="1">CONCATENATE("Period: ",TEXT(NOW(), "M/d/yyyy"))</f>
        <v>Period: 5/6/2014</v>
      </c>
      <c r="G83" s="60"/>
      <c r="H83" s="41"/>
    </row>
    <row r="84" spans="2:8" ht="19.5" customHeight="1" x14ac:dyDescent="0.5">
      <c r="B84" s="41"/>
      <c r="C84" s="42" t="s">
        <v>33</v>
      </c>
      <c r="D84" s="41"/>
      <c r="E84" s="41"/>
      <c r="F84" s="41"/>
      <c r="G84" s="41"/>
      <c r="H84" s="41"/>
    </row>
    <row r="85" spans="2:8" ht="17.25" customHeight="1" x14ac:dyDescent="0.3">
      <c r="B85" s="41"/>
      <c r="C85" s="41"/>
      <c r="D85" s="41"/>
      <c r="E85" s="41"/>
      <c r="F85" s="41"/>
      <c r="G85" s="41"/>
      <c r="H85" s="41"/>
    </row>
    <row r="86" spans="2:8" ht="24" customHeight="1" x14ac:dyDescent="0.3">
      <c r="B86" s="41"/>
      <c r="C86" s="43" t="s">
        <v>1</v>
      </c>
      <c r="D86" s="44">
        <v>6</v>
      </c>
      <c r="E86" s="41"/>
      <c r="F86" s="45" t="s">
        <v>34</v>
      </c>
      <c r="G86" s="46">
        <f>HLOOKUP(D86,'Employee information'!$C$4:$K$16,6,FALSE)*G93</f>
        <v>74.021999999999991</v>
      </c>
      <c r="H86" s="41"/>
    </row>
    <row r="87" spans="2:8" ht="24" customHeight="1" x14ac:dyDescent="0.3">
      <c r="B87" s="41"/>
      <c r="C87" s="47" t="s">
        <v>35</v>
      </c>
      <c r="D87" s="48">
        <f>HLOOKUP(D86,'Employee information'!$C$4:$K$16,4,FALSE)</f>
        <v>4</v>
      </c>
      <c r="E87" s="41"/>
      <c r="F87" s="47" t="s">
        <v>36</v>
      </c>
      <c r="G87" s="49">
        <f>HLOOKUP(D86,'Employee information'!$C$4:$K$16,12,FALSE)</f>
        <v>0</v>
      </c>
      <c r="H87" s="41"/>
    </row>
    <row r="88" spans="2:8" ht="24" customHeight="1" x14ac:dyDescent="0.3">
      <c r="B88" s="41"/>
      <c r="C88" s="45" t="s">
        <v>37</v>
      </c>
      <c r="D88" s="46">
        <f>HLOOKUP(D86,'Employee information'!$C$4:$K$16,3,FALSE)</f>
        <v>32.5</v>
      </c>
      <c r="E88" s="41"/>
      <c r="F88" s="45" t="s">
        <v>38</v>
      </c>
      <c r="G88" s="46">
        <f>HLOOKUP(D86,'Payroll calculator'!$B$5:$K$15,10,FALSE)</f>
        <v>64.83</v>
      </c>
      <c r="H88" s="41"/>
    </row>
    <row r="89" spans="2:8" ht="24" customHeight="1" x14ac:dyDescent="0.3">
      <c r="B89" s="41"/>
      <c r="C89" s="47" t="s">
        <v>39</v>
      </c>
      <c r="D89" s="49">
        <f>HLOOKUP(D86,'Employee information'!$C$4:$K$16,8,FALSE)*G93</f>
        <v>80.665000000000006</v>
      </c>
      <c r="E89" s="41"/>
      <c r="F89" s="47" t="s">
        <v>40</v>
      </c>
      <c r="G89" s="57">
        <f>HLOOKUP(D86,'Payroll calculator'!$B$5:$K$15,3,FALSE)</f>
        <v>45</v>
      </c>
      <c r="H89" s="41"/>
    </row>
    <row r="90" spans="2:8" ht="24" customHeight="1" x14ac:dyDescent="0.3">
      <c r="B90" s="41"/>
      <c r="C90" s="45" t="s">
        <v>41</v>
      </c>
      <c r="D90" s="46">
        <f>HLOOKUP(D86,'Employee information'!$C$4:$K$16,9,FALSE)*G93</f>
        <v>47.45</v>
      </c>
      <c r="E90" s="41"/>
      <c r="F90" s="45" t="s">
        <v>42</v>
      </c>
      <c r="G90" s="44">
        <f>HLOOKUP(D86,'Payroll calculator'!$B$5:$K$15,5,FALSE)</f>
        <v>8</v>
      </c>
      <c r="H90" s="41"/>
    </row>
    <row r="91" spans="2:8" ht="24" customHeight="1" x14ac:dyDescent="0.3">
      <c r="B91" s="41"/>
      <c r="C91" s="47" t="s">
        <v>43</v>
      </c>
      <c r="D91" s="49">
        <f>HLOOKUP(D86,'Employee information'!$C$4:$K$16,11,FALSE)</f>
        <v>25</v>
      </c>
      <c r="E91" s="41"/>
      <c r="F91" s="47" t="s">
        <v>44</v>
      </c>
      <c r="G91" s="48">
        <f>HLOOKUP(D86,'Payroll calculator'!$B$5:$K$15,4,FALSE)</f>
        <v>20</v>
      </c>
      <c r="H91" s="41"/>
    </row>
    <row r="92" spans="2:8" ht="24" customHeight="1" x14ac:dyDescent="0.3">
      <c r="B92" s="41"/>
      <c r="C92" s="45" t="s">
        <v>45</v>
      </c>
      <c r="D92" s="46">
        <f>SUM(D89:D91)+SUM(G86:G87)+D95</f>
        <v>808.39949999999999</v>
      </c>
      <c r="E92" s="41"/>
      <c r="F92" s="45" t="s">
        <v>46</v>
      </c>
      <c r="G92" s="44">
        <f>HLOOKUP(D86,'Payroll calculator'!$B$5:$K$15,6,FALSE)</f>
        <v>0</v>
      </c>
      <c r="H92" s="41"/>
    </row>
    <row r="93" spans="2:8" ht="24" customHeight="1" x14ac:dyDescent="0.3">
      <c r="B93" s="41"/>
      <c r="C93" s="47" t="s">
        <v>47</v>
      </c>
      <c r="D93" s="48">
        <f>HLOOKUP(D86,'Employee information'!$C$4:$K$16,5,FALSE)</f>
        <v>4</v>
      </c>
      <c r="E93" s="41"/>
      <c r="F93" s="47" t="s">
        <v>48</v>
      </c>
      <c r="G93" s="49">
        <f>HLOOKUP(D86,'Payroll calculator'!$B$5:$K$15,8,FALSE)</f>
        <v>2372.5</v>
      </c>
      <c r="H93" s="41"/>
    </row>
    <row r="94" spans="2:8" ht="24" customHeight="1" x14ac:dyDescent="0.3">
      <c r="B94" s="41"/>
      <c r="C94" s="45" t="s">
        <v>49</v>
      </c>
      <c r="D94" s="46">
        <f>HLOOKUP(D86,'Payroll calculator'!$B$5:$K$15,7,FALSE)</f>
        <v>0</v>
      </c>
      <c r="E94" s="41"/>
      <c r="F94" s="45" t="s">
        <v>50</v>
      </c>
      <c r="G94" s="46">
        <f>HLOOKUP(D86,'Payroll calculator'!$B$5:$K$15,9,FALSE)+G88</f>
        <v>980.70375000000013</v>
      </c>
      <c r="H94" s="41"/>
    </row>
    <row r="95" spans="2:8" ht="24" customHeight="1" x14ac:dyDescent="0.3">
      <c r="B95" s="41"/>
      <c r="C95" s="50" t="s">
        <v>51</v>
      </c>
      <c r="D95" s="49">
        <f>HLOOKUP(D87,'Employee information'!$C$4:$K$16,7,FALSE)*G93</f>
        <v>581.26250000000005</v>
      </c>
      <c r="E95" s="41"/>
      <c r="F95" s="51" t="s">
        <v>32</v>
      </c>
      <c r="G95" s="52">
        <f>HLOOKUP(D86,'Payroll calculator'!$B$5:$K$15,11,FALSE)</f>
        <v>1391.7962499999999</v>
      </c>
      <c r="H95" s="41"/>
    </row>
    <row r="96" spans="2:8" ht="21.75" customHeight="1" x14ac:dyDescent="0.3">
      <c r="B96" s="41"/>
      <c r="C96" s="41"/>
      <c r="D96" s="41"/>
      <c r="E96" s="41"/>
      <c r="F96" s="41"/>
      <c r="G96" s="41"/>
      <c r="H96" s="41"/>
    </row>
    <row r="97" spans="2:8" ht="26.25" customHeight="1" x14ac:dyDescent="0.3"/>
    <row r="98" spans="2:8" ht="15.95" customHeight="1" x14ac:dyDescent="0.3">
      <c r="B98" s="40"/>
      <c r="C98" s="40"/>
      <c r="D98" s="40"/>
      <c r="E98" s="40"/>
      <c r="F98" s="40"/>
      <c r="G98" s="40"/>
      <c r="H98" s="40"/>
    </row>
    <row r="99" spans="2:8" ht="30" customHeight="1" x14ac:dyDescent="0.3">
      <c r="B99" s="41"/>
      <c r="C99" s="59" t="str">
        <f>HLOOKUP(D102,'Employee information'!$C$4:$K$16,2,FALSE)</f>
        <v>Emmy Milton</v>
      </c>
      <c r="D99" s="59"/>
      <c r="E99" s="41"/>
      <c r="F99" s="60" t="str">
        <f ca="1">CONCATENATE("Period: ",TEXT(NOW(), "M/d/yyyy"))</f>
        <v>Period: 5/6/2014</v>
      </c>
      <c r="G99" s="60"/>
      <c r="H99" s="41"/>
    </row>
    <row r="100" spans="2:8" ht="19.5" customHeight="1" x14ac:dyDescent="0.5">
      <c r="B100" s="41"/>
      <c r="C100" s="42" t="s">
        <v>33</v>
      </c>
      <c r="D100" s="41"/>
      <c r="E100" s="41"/>
      <c r="F100" s="41"/>
      <c r="G100" s="41"/>
      <c r="H100" s="41"/>
    </row>
    <row r="101" spans="2:8" ht="17.25" customHeight="1" x14ac:dyDescent="0.3">
      <c r="B101" s="41"/>
      <c r="C101" s="41"/>
      <c r="D101" s="41"/>
      <c r="E101" s="41"/>
      <c r="F101" s="41"/>
      <c r="G101" s="41"/>
      <c r="H101" s="41"/>
    </row>
    <row r="102" spans="2:8" ht="24" customHeight="1" x14ac:dyDescent="0.3">
      <c r="B102" s="41"/>
      <c r="C102" s="43" t="s">
        <v>1</v>
      </c>
      <c r="D102" s="44">
        <v>7</v>
      </c>
      <c r="E102" s="41"/>
      <c r="F102" s="45" t="s">
        <v>34</v>
      </c>
      <c r="G102" s="46">
        <f>HLOOKUP(D102,'Employee information'!$C$4:$K$16,6,FALSE)*G109</f>
        <v>38.875</v>
      </c>
      <c r="H102" s="41"/>
    </row>
    <row r="103" spans="2:8" ht="24" customHeight="1" x14ac:dyDescent="0.3">
      <c r="B103" s="41"/>
      <c r="C103" s="47" t="s">
        <v>35</v>
      </c>
      <c r="D103" s="48">
        <f>HLOOKUP(D102,'Employee information'!$C$4:$K$16,4,FALSE)</f>
        <v>2</v>
      </c>
      <c r="E103" s="41"/>
      <c r="F103" s="47" t="s">
        <v>36</v>
      </c>
      <c r="G103" s="49">
        <f>HLOOKUP(D102,'Employee information'!$C$4:$K$16,12,FALSE)</f>
        <v>25</v>
      </c>
      <c r="H103" s="41"/>
    </row>
    <row r="104" spans="2:8" ht="24" customHeight="1" x14ac:dyDescent="0.3">
      <c r="B104" s="41"/>
      <c r="C104" s="45" t="s">
        <v>37</v>
      </c>
      <c r="D104" s="46">
        <f>HLOOKUP(D102,'Employee information'!$C$4:$K$16,3,FALSE)</f>
        <v>32</v>
      </c>
      <c r="E104" s="41"/>
      <c r="F104" s="45" t="s">
        <v>38</v>
      </c>
      <c r="G104" s="46">
        <f>HLOOKUP(D102,'Payroll calculator'!$B$5:$K$15,10,FALSE)</f>
        <v>0</v>
      </c>
      <c r="H104" s="41"/>
    </row>
    <row r="105" spans="2:8" ht="24" customHeight="1" x14ac:dyDescent="0.3">
      <c r="B105" s="41"/>
      <c r="C105" s="47" t="s">
        <v>39</v>
      </c>
      <c r="D105" s="49">
        <f>HLOOKUP(D102,'Employee information'!$C$4:$K$16,8,FALSE)*G109</f>
        <v>97.965000000000003</v>
      </c>
      <c r="E105" s="41"/>
      <c r="F105" s="47" t="s">
        <v>40</v>
      </c>
      <c r="G105" s="57">
        <f>HLOOKUP(D102,'Payroll calculator'!$B$5:$K$15,3,FALSE)</f>
        <v>45</v>
      </c>
      <c r="H105" s="41"/>
    </row>
    <row r="106" spans="2:8" ht="24" customHeight="1" x14ac:dyDescent="0.3">
      <c r="B106" s="41"/>
      <c r="C106" s="45" t="s">
        <v>41</v>
      </c>
      <c r="D106" s="46">
        <f>HLOOKUP(D102,'Employee information'!$C$4:$K$16,9,FALSE)*G109</f>
        <v>22.236499999999999</v>
      </c>
      <c r="E106" s="41"/>
      <c r="F106" s="45" t="s">
        <v>42</v>
      </c>
      <c r="G106" s="44">
        <f>HLOOKUP(D102,'Payroll calculator'!$B$5:$K$15,5,FALSE)</f>
        <v>0</v>
      </c>
      <c r="H106" s="41"/>
    </row>
    <row r="107" spans="2:8" ht="24" customHeight="1" x14ac:dyDescent="0.3">
      <c r="B107" s="41"/>
      <c r="C107" s="47" t="s">
        <v>43</v>
      </c>
      <c r="D107" s="49">
        <f>HLOOKUP(D102,'Employee information'!$C$4:$K$16,11,FALSE)</f>
        <v>19.34</v>
      </c>
      <c r="E107" s="41"/>
      <c r="F107" s="47" t="s">
        <v>44</v>
      </c>
      <c r="G107" s="48">
        <f>HLOOKUP(D102,'Payroll calculator'!$B$5:$K$15,4,FALSE)</f>
        <v>0</v>
      </c>
      <c r="H107" s="41"/>
    </row>
    <row r="108" spans="2:8" ht="24" customHeight="1" x14ac:dyDescent="0.3">
      <c r="B108" s="41"/>
      <c r="C108" s="45" t="s">
        <v>45</v>
      </c>
      <c r="D108" s="46">
        <f>SUM(D105:D107)+SUM(G102:G103)+D111</f>
        <v>632.59650000000011</v>
      </c>
      <c r="E108" s="41"/>
      <c r="F108" s="45" t="s">
        <v>46</v>
      </c>
      <c r="G108" s="44">
        <f>HLOOKUP(D102,'Payroll calculator'!$B$5:$K$15,6,FALSE)</f>
        <v>5</v>
      </c>
      <c r="H108" s="41"/>
    </row>
    <row r="109" spans="2:8" ht="24" customHeight="1" x14ac:dyDescent="0.3">
      <c r="B109" s="41"/>
      <c r="C109" s="47" t="s">
        <v>47</v>
      </c>
      <c r="D109" s="48">
        <f>HLOOKUP(D102,'Employee information'!$C$4:$K$16,5,FALSE)</f>
        <v>3</v>
      </c>
      <c r="E109" s="41"/>
      <c r="F109" s="47" t="s">
        <v>48</v>
      </c>
      <c r="G109" s="49">
        <f>HLOOKUP(D102,'Payroll calculator'!$B$5:$K$15,8,FALSE)</f>
        <v>1555</v>
      </c>
      <c r="H109" s="41"/>
    </row>
    <row r="110" spans="2:8" ht="24" customHeight="1" x14ac:dyDescent="0.3">
      <c r="B110" s="41"/>
      <c r="C110" s="45" t="s">
        <v>49</v>
      </c>
      <c r="D110" s="46">
        <f>HLOOKUP(D102,'Payroll calculator'!$B$5:$K$15,7,FALSE)</f>
        <v>23</v>
      </c>
      <c r="E110" s="41"/>
      <c r="F110" s="45" t="s">
        <v>50</v>
      </c>
      <c r="G110" s="46">
        <f>HLOOKUP(D102,'Payroll calculator'!$B$5:$K$15,9,FALSE)+G104</f>
        <v>638.81650000000013</v>
      </c>
      <c r="H110" s="41"/>
    </row>
    <row r="111" spans="2:8" ht="24" customHeight="1" x14ac:dyDescent="0.3">
      <c r="B111" s="41"/>
      <c r="C111" s="50" t="s">
        <v>51</v>
      </c>
      <c r="D111" s="49">
        <f>HLOOKUP(D103,'Employee information'!$C$4:$K$16,7,FALSE)*G109</f>
        <v>429.18000000000006</v>
      </c>
      <c r="E111" s="41"/>
      <c r="F111" s="51" t="s">
        <v>32</v>
      </c>
      <c r="G111" s="52">
        <f>HLOOKUP(D102,'Payroll calculator'!$B$5:$K$15,11,FALSE)</f>
        <v>916.18349999999987</v>
      </c>
      <c r="H111" s="41"/>
    </row>
    <row r="112" spans="2:8" ht="21.75" customHeight="1" x14ac:dyDescent="0.3">
      <c r="B112" s="41"/>
      <c r="C112" s="41"/>
      <c r="D112" s="41"/>
      <c r="E112" s="41"/>
      <c r="F112" s="41"/>
      <c r="G112" s="41"/>
      <c r="H112" s="41"/>
    </row>
    <row r="113" spans="2:8" ht="26.25" customHeight="1" x14ac:dyDescent="0.3"/>
    <row r="114" spans="2:8" ht="15.95" customHeight="1" x14ac:dyDescent="0.3">
      <c r="B114" s="40"/>
      <c r="C114" s="40"/>
      <c r="D114" s="40"/>
      <c r="E114" s="40"/>
      <c r="F114" s="40"/>
      <c r="G114" s="40"/>
      <c r="H114" s="40"/>
    </row>
    <row r="115" spans="2:8" ht="30" customHeight="1" x14ac:dyDescent="0.3">
      <c r="B115" s="41"/>
      <c r="C115" s="59" t="str">
        <f>HLOOKUP(D118,'Employee information'!$C$4:$K$16,2,FALSE)</f>
        <v>Vanessa Mikki</v>
      </c>
      <c r="D115" s="59"/>
      <c r="E115" s="41"/>
      <c r="F115" s="60" t="str">
        <f ca="1">CONCATENATE("Period: ",TEXT(NOW(), "M/d/yyyy"))</f>
        <v>Period: 5/6/2014</v>
      </c>
      <c r="G115" s="60"/>
      <c r="H115" s="41"/>
    </row>
    <row r="116" spans="2:8" ht="19.5" customHeight="1" x14ac:dyDescent="0.5">
      <c r="B116" s="41"/>
      <c r="C116" s="42" t="s">
        <v>33</v>
      </c>
      <c r="D116" s="41"/>
      <c r="E116" s="41"/>
      <c r="F116" s="41"/>
      <c r="G116" s="41"/>
      <c r="H116" s="41"/>
    </row>
    <row r="117" spans="2:8" ht="17.25" customHeight="1" x14ac:dyDescent="0.3">
      <c r="B117" s="41"/>
      <c r="C117" s="41"/>
      <c r="D117" s="41"/>
      <c r="E117" s="41"/>
      <c r="F117" s="41"/>
      <c r="G117" s="41"/>
      <c r="H117" s="41"/>
    </row>
    <row r="118" spans="2:8" ht="24" customHeight="1" x14ac:dyDescent="0.3">
      <c r="B118" s="41"/>
      <c r="C118" s="43" t="s">
        <v>1</v>
      </c>
      <c r="D118" s="44">
        <v>8</v>
      </c>
      <c r="E118" s="41"/>
      <c r="F118" s="45" t="s">
        <v>34</v>
      </c>
      <c r="G118" s="46">
        <f>HLOOKUP(D118,'Employee information'!$C$4:$K$16,6,FALSE)*G125</f>
        <v>67.327199999999991</v>
      </c>
      <c r="H118" s="41"/>
    </row>
    <row r="119" spans="2:8" ht="24" customHeight="1" x14ac:dyDescent="0.3">
      <c r="B119" s="41"/>
      <c r="C119" s="47" t="s">
        <v>35</v>
      </c>
      <c r="D119" s="48">
        <f>HLOOKUP(D118,'Employee information'!$C$4:$K$16,4,FALSE)</f>
        <v>5</v>
      </c>
      <c r="E119" s="41"/>
      <c r="F119" s="47" t="s">
        <v>36</v>
      </c>
      <c r="G119" s="49">
        <f>HLOOKUP(D118,'Employee information'!$C$4:$K$16,12,FALSE)</f>
        <v>0</v>
      </c>
      <c r="H119" s="41"/>
    </row>
    <row r="120" spans="2:8" ht="24" customHeight="1" x14ac:dyDescent="0.3">
      <c r="B120" s="41"/>
      <c r="C120" s="45" t="s">
        <v>37</v>
      </c>
      <c r="D120" s="46">
        <f>HLOOKUP(D118,'Employee information'!$C$4:$K$16,3,FALSE)</f>
        <v>37.4</v>
      </c>
      <c r="E120" s="41"/>
      <c r="F120" s="45" t="s">
        <v>38</v>
      </c>
      <c r="G120" s="46">
        <f>HLOOKUP(D118,'Payroll calculator'!$B$5:$K$15,10,FALSE)</f>
        <v>7.93</v>
      </c>
      <c r="H120" s="41"/>
    </row>
    <row r="121" spans="2:8" ht="24" customHeight="1" x14ac:dyDescent="0.3">
      <c r="B121" s="41"/>
      <c r="C121" s="47" t="s">
        <v>39</v>
      </c>
      <c r="D121" s="49">
        <f>HLOOKUP(D118,'Employee information'!$C$4:$K$16,8,FALSE)*G125</f>
        <v>147.74579999999997</v>
      </c>
      <c r="E121" s="41"/>
      <c r="F121" s="47" t="s">
        <v>40</v>
      </c>
      <c r="G121" s="57">
        <f>HLOOKUP(D118,'Payroll calculator'!$B$5:$K$15,3,FALSE)</f>
        <v>40</v>
      </c>
      <c r="H121" s="41"/>
    </row>
    <row r="122" spans="2:8" ht="24" customHeight="1" x14ac:dyDescent="0.3">
      <c r="B122" s="41"/>
      <c r="C122" s="45" t="s">
        <v>41</v>
      </c>
      <c r="D122" s="46">
        <f>HLOOKUP(D118,'Employee information'!$C$4:$K$16,9,FALSE)*G125</f>
        <v>48.625199999999992</v>
      </c>
      <c r="E122" s="41"/>
      <c r="F122" s="45" t="s">
        <v>42</v>
      </c>
      <c r="G122" s="44">
        <f>HLOOKUP(D118,'Payroll calculator'!$B$5:$K$15,5,FALSE)</f>
        <v>8</v>
      </c>
      <c r="H122" s="41"/>
    </row>
    <row r="123" spans="2:8" ht="24" customHeight="1" x14ac:dyDescent="0.3">
      <c r="B123" s="41"/>
      <c r="C123" s="47" t="s">
        <v>43</v>
      </c>
      <c r="D123" s="49">
        <f>HLOOKUP(D118,'Employee information'!$C$4:$K$16,11,FALSE)</f>
        <v>35</v>
      </c>
      <c r="E123" s="41"/>
      <c r="F123" s="47" t="s">
        <v>44</v>
      </c>
      <c r="G123" s="48">
        <f>HLOOKUP(D118,'Payroll calculator'!$B$5:$K$15,4,FALSE)</f>
        <v>0</v>
      </c>
      <c r="H123" s="41"/>
    </row>
    <row r="124" spans="2:8" ht="24" customHeight="1" x14ac:dyDescent="0.3">
      <c r="B124" s="41"/>
      <c r="C124" s="45" t="s">
        <v>45</v>
      </c>
      <c r="D124" s="46">
        <f>SUM(D121:D123)+SUM(G118:G119)+D127</f>
        <v>841.80427999999984</v>
      </c>
      <c r="E124" s="41"/>
      <c r="F124" s="45" t="s">
        <v>46</v>
      </c>
      <c r="G124" s="44">
        <f>HLOOKUP(D118,'Payroll calculator'!$B$5:$K$15,6,FALSE)</f>
        <v>3</v>
      </c>
      <c r="H124" s="41"/>
    </row>
    <row r="125" spans="2:8" ht="24" customHeight="1" x14ac:dyDescent="0.3">
      <c r="B125" s="41"/>
      <c r="C125" s="47" t="s">
        <v>47</v>
      </c>
      <c r="D125" s="48">
        <f>HLOOKUP(D118,'Employee information'!$C$4:$K$16,5,FALSE)</f>
        <v>4</v>
      </c>
      <c r="E125" s="41"/>
      <c r="F125" s="47" t="s">
        <v>48</v>
      </c>
      <c r="G125" s="49">
        <f>HLOOKUP(D118,'Payroll calculator'!$B$5:$K$15,8,FALSE)</f>
        <v>1870.1999999999998</v>
      </c>
      <c r="H125" s="41"/>
    </row>
    <row r="126" spans="2:8" ht="24" customHeight="1" x14ac:dyDescent="0.3">
      <c r="B126" s="41"/>
      <c r="C126" s="45" t="s">
        <v>49</v>
      </c>
      <c r="D126" s="46">
        <f>HLOOKUP(D118,'Payroll calculator'!$B$5:$K$15,7,FALSE)</f>
        <v>25</v>
      </c>
      <c r="E126" s="41"/>
      <c r="F126" s="45" t="s">
        <v>50</v>
      </c>
      <c r="G126" s="46">
        <f>HLOOKUP(D118,'Payroll calculator'!$B$5:$K$15,9,FALSE)+G120</f>
        <v>781.65899999999988</v>
      </c>
      <c r="H126" s="41"/>
    </row>
    <row r="127" spans="2:8" ht="24" customHeight="1" x14ac:dyDescent="0.3">
      <c r="B127" s="41"/>
      <c r="C127" s="50" t="s">
        <v>51</v>
      </c>
      <c r="D127" s="49">
        <f>HLOOKUP(D119,'Employee information'!$C$4:$K$16,7,FALSE)*G125</f>
        <v>543.10607999999991</v>
      </c>
      <c r="E127" s="41"/>
      <c r="F127" s="51" t="s">
        <v>32</v>
      </c>
      <c r="G127" s="52">
        <f>HLOOKUP(D118,'Payroll calculator'!$B$5:$K$15,11,FALSE)</f>
        <v>1088.5409999999999</v>
      </c>
      <c r="H127" s="41"/>
    </row>
    <row r="128" spans="2:8" ht="21.75" customHeight="1" x14ac:dyDescent="0.3">
      <c r="B128" s="41"/>
      <c r="C128" s="41"/>
      <c r="D128" s="41"/>
      <c r="E128" s="41"/>
      <c r="F128" s="41"/>
      <c r="G128" s="41"/>
      <c r="H128" s="41"/>
    </row>
    <row r="129" spans="2:8" ht="26.25" customHeight="1" x14ac:dyDescent="0.3"/>
    <row r="130" spans="2:8" ht="15.95" customHeight="1" x14ac:dyDescent="0.3">
      <c r="B130" s="40"/>
      <c r="C130" s="40"/>
      <c r="D130" s="40"/>
      <c r="E130" s="40"/>
      <c r="F130" s="40"/>
      <c r="G130" s="40"/>
      <c r="H130" s="40"/>
    </row>
    <row r="131" spans="2:8" ht="30" customHeight="1" x14ac:dyDescent="0.3">
      <c r="B131" s="41"/>
      <c r="C131" s="59" t="str">
        <f>HLOOKUP(D134,'Employee information'!$C$4:$K$16,2,FALSE)</f>
        <v>Tim Bocelli</v>
      </c>
      <c r="D131" s="59"/>
      <c r="E131" s="41"/>
      <c r="F131" s="60" t="str">
        <f ca="1">CONCATENATE("Period: ",TEXT(NOW(), "M/d/yyyy"))</f>
        <v>Period: 5/6/2014</v>
      </c>
      <c r="G131" s="60"/>
      <c r="H131" s="41"/>
    </row>
    <row r="132" spans="2:8" ht="19.5" customHeight="1" x14ac:dyDescent="0.5">
      <c r="B132" s="41"/>
      <c r="C132" s="42" t="s">
        <v>33</v>
      </c>
      <c r="D132" s="41"/>
      <c r="E132" s="41"/>
      <c r="F132" s="41"/>
      <c r="G132" s="41"/>
      <c r="H132" s="41"/>
    </row>
    <row r="133" spans="2:8" ht="17.25" customHeight="1" x14ac:dyDescent="0.3">
      <c r="B133" s="41"/>
      <c r="C133" s="41"/>
      <c r="D133" s="41"/>
      <c r="E133" s="41"/>
      <c r="F133" s="41"/>
      <c r="G133" s="41"/>
      <c r="H133" s="41"/>
    </row>
    <row r="134" spans="2:8" ht="24" customHeight="1" x14ac:dyDescent="0.3">
      <c r="B134" s="41"/>
      <c r="C134" s="43" t="s">
        <v>1</v>
      </c>
      <c r="D134" s="44">
        <v>9</v>
      </c>
      <c r="E134" s="41"/>
      <c r="F134" s="45" t="s">
        <v>34</v>
      </c>
      <c r="G134" s="46">
        <f>HLOOKUP(D134,'Employee information'!$C$4:$K$16,6,FALSE)*G141</f>
        <v>54.827999999999996</v>
      </c>
      <c r="H134" s="41"/>
    </row>
    <row r="135" spans="2:8" ht="24" customHeight="1" x14ac:dyDescent="0.3">
      <c r="B135" s="41"/>
      <c r="C135" s="47" t="s">
        <v>35</v>
      </c>
      <c r="D135" s="48">
        <f>HLOOKUP(D134,'Employee information'!$C$4:$K$16,4,FALSE)</f>
        <v>3</v>
      </c>
      <c r="E135" s="41"/>
      <c r="F135" s="47" t="s">
        <v>36</v>
      </c>
      <c r="G135" s="49">
        <f>HLOOKUP(D134,'Employee information'!$C$4:$K$16,12,FALSE)</f>
        <v>0</v>
      </c>
      <c r="H135" s="41"/>
    </row>
    <row r="136" spans="2:8" ht="24" customHeight="1" x14ac:dyDescent="0.3">
      <c r="B136" s="41"/>
      <c r="C136" s="45" t="s">
        <v>37</v>
      </c>
      <c r="D136" s="46">
        <f>HLOOKUP(D134,'Employee information'!$C$4:$K$16,3,FALSE)</f>
        <v>29.4</v>
      </c>
      <c r="E136" s="41"/>
      <c r="F136" s="45" t="s">
        <v>38</v>
      </c>
      <c r="G136" s="46">
        <f>HLOOKUP(D134,'Payroll calculator'!$B$5:$K$15,10,FALSE)</f>
        <v>15.6</v>
      </c>
      <c r="H136" s="41"/>
    </row>
    <row r="137" spans="2:8" ht="24" customHeight="1" x14ac:dyDescent="0.3">
      <c r="B137" s="41"/>
      <c r="C137" s="47" t="s">
        <v>39</v>
      </c>
      <c r="D137" s="49">
        <f>HLOOKUP(D134,'Employee information'!$C$4:$K$16,8,FALSE)*G141</f>
        <v>91.38</v>
      </c>
      <c r="E137" s="41"/>
      <c r="F137" s="47" t="s">
        <v>40</v>
      </c>
      <c r="G137" s="57">
        <f>HLOOKUP(D134,'Payroll calculator'!$B$5:$K$15,3,FALSE)</f>
        <v>40</v>
      </c>
      <c r="H137" s="41"/>
    </row>
    <row r="138" spans="2:8" ht="24" customHeight="1" x14ac:dyDescent="0.3">
      <c r="B138" s="41"/>
      <c r="C138" s="45" t="s">
        <v>41</v>
      </c>
      <c r="D138" s="46">
        <f>HLOOKUP(D134,'Employee information'!$C$4:$K$16,9,FALSE)*G141</f>
        <v>25.434100000000001</v>
      </c>
      <c r="E138" s="41"/>
      <c r="F138" s="45" t="s">
        <v>42</v>
      </c>
      <c r="G138" s="44">
        <f>HLOOKUP(D134,'Payroll calculator'!$B$5:$K$15,5,FALSE)</f>
        <v>2</v>
      </c>
      <c r="H138" s="41"/>
    </row>
    <row r="139" spans="2:8" ht="24" customHeight="1" x14ac:dyDescent="0.3">
      <c r="B139" s="41"/>
      <c r="C139" s="47" t="s">
        <v>43</v>
      </c>
      <c r="D139" s="49">
        <f>HLOOKUP(D134,'Employee information'!$C$4:$K$16,11,FALSE)</f>
        <v>20</v>
      </c>
      <c r="E139" s="41"/>
      <c r="F139" s="47" t="s">
        <v>44</v>
      </c>
      <c r="G139" s="48">
        <f>HLOOKUP(D134,'Payroll calculator'!$B$5:$K$15,4,FALSE)</f>
        <v>3</v>
      </c>
      <c r="H139" s="41"/>
    </row>
    <row r="140" spans="2:8" ht="24" customHeight="1" x14ac:dyDescent="0.3">
      <c r="B140" s="41"/>
      <c r="C140" s="45" t="s">
        <v>45</v>
      </c>
      <c r="D140" s="46">
        <f>SUM(D137:D139)+SUM(G134:G135)+D143</f>
        <v>603.1567</v>
      </c>
      <c r="E140" s="41"/>
      <c r="F140" s="45" t="s">
        <v>46</v>
      </c>
      <c r="G140" s="44">
        <f>HLOOKUP(D134,'Payroll calculator'!$B$5:$K$15,6,FALSE)</f>
        <v>5</v>
      </c>
      <c r="H140" s="41"/>
    </row>
    <row r="141" spans="2:8" ht="24" customHeight="1" x14ac:dyDescent="0.3">
      <c r="B141" s="41"/>
      <c r="C141" s="47" t="s">
        <v>47</v>
      </c>
      <c r="D141" s="48">
        <f>HLOOKUP(D134,'Employee information'!$C$4:$K$16,5,FALSE)</f>
        <v>3</v>
      </c>
      <c r="E141" s="41"/>
      <c r="F141" s="47" t="s">
        <v>48</v>
      </c>
      <c r="G141" s="49">
        <f>HLOOKUP(D134,'Payroll calculator'!$B$5:$K$15,8,FALSE)</f>
        <v>1523</v>
      </c>
      <c r="H141" s="41"/>
    </row>
    <row r="142" spans="2:8" ht="24" customHeight="1" x14ac:dyDescent="0.3">
      <c r="B142" s="41"/>
      <c r="C142" s="45" t="s">
        <v>49</v>
      </c>
      <c r="D142" s="46">
        <f>HLOOKUP(D134,'Payroll calculator'!$B$5:$K$15,7,FALSE)</f>
        <v>40</v>
      </c>
      <c r="E142" s="41"/>
      <c r="F142" s="45" t="s">
        <v>50</v>
      </c>
      <c r="G142" s="46">
        <f>HLOOKUP(D134,'Payroll calculator'!$B$5:$K$15,9,FALSE)+G136</f>
        <v>624.54409999999996</v>
      </c>
      <c r="H142" s="41"/>
    </row>
    <row r="143" spans="2:8" ht="24" customHeight="1" x14ac:dyDescent="0.3">
      <c r="B143" s="41"/>
      <c r="C143" s="50" t="s">
        <v>51</v>
      </c>
      <c r="D143" s="49">
        <f>HLOOKUP(D135,'Employee information'!$C$4:$K$16,7,FALSE)*G141</f>
        <v>411.51459999999997</v>
      </c>
      <c r="E143" s="41"/>
      <c r="F143" s="51" t="s">
        <v>32</v>
      </c>
      <c r="G143" s="52">
        <f>HLOOKUP(D134,'Payroll calculator'!$B$5:$K$15,11,FALSE)</f>
        <v>898.45590000000004</v>
      </c>
      <c r="H143" s="41"/>
    </row>
    <row r="144" spans="2:8" ht="21.75" customHeight="1" x14ac:dyDescent="0.3">
      <c r="B144" s="41"/>
      <c r="C144" s="41"/>
      <c r="D144" s="41"/>
      <c r="E144" s="41"/>
      <c r="F144" s="41"/>
      <c r="G144" s="41"/>
      <c r="H144" s="41"/>
    </row>
  </sheetData>
  <mergeCells count="18">
    <mergeCell ref="C99:D99"/>
    <mergeCell ref="F99:G99"/>
    <mergeCell ref="C115:D115"/>
    <mergeCell ref="F115:G115"/>
    <mergeCell ref="C131:D131"/>
    <mergeCell ref="F131:G131"/>
    <mergeCell ref="C51:D51"/>
    <mergeCell ref="F51:G51"/>
    <mergeCell ref="C67:D67"/>
    <mergeCell ref="F67:G67"/>
    <mergeCell ref="C83:D83"/>
    <mergeCell ref="F83:G83"/>
    <mergeCell ref="C3:D3"/>
    <mergeCell ref="F3:G3"/>
    <mergeCell ref="C19:D19"/>
    <mergeCell ref="F19:G19"/>
    <mergeCell ref="C35:D35"/>
    <mergeCell ref="F35:G35"/>
  </mergeCell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information</vt:lpstr>
      <vt:lpstr>Payroll calculator</vt:lpstr>
      <vt:lpstr>Individual paystubs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Yunina</cp:lastModifiedBy>
  <dcterms:modified xsi:type="dcterms:W3CDTF">2014-05-06T10:32:52Z</dcterms:modified>
</cp:coreProperties>
</file>