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machado/Downloads/"/>
    </mc:Choice>
  </mc:AlternateContent>
  <xr:revisionPtr revIDLastSave="0" documentId="13_ncr:1_{CFAC817E-0162-D142-9A73-A82A8E0386A7}" xr6:coauthVersionLast="47" xr6:coauthVersionMax="47" xr10:uidLastSave="{00000000-0000-0000-0000-000000000000}"/>
  <bookViews>
    <workbookView xWindow="0" yWindow="0" windowWidth="28800" windowHeight="18000" activeTab="1" xr2:uid="{CAF38A1F-BD9D-416B-BE17-8DE3D13292B8}"/>
  </bookViews>
  <sheets>
    <sheet name="Polarização" sheetId="10" r:id="rId1"/>
    <sheet name="Lâmina - 83" sheetId="11" r:id="rId2"/>
    <sheet name="Luz" sheetId="1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1" l="1"/>
  <c r="D6" i="11"/>
  <c r="D7" i="11"/>
  <c r="D8" i="11"/>
  <c r="D9" i="11"/>
  <c r="E12" i="11" s="1"/>
  <c r="D10" i="11"/>
  <c r="H4" i="11" s="1"/>
  <c r="D11" i="11"/>
  <c r="E11" i="11" s="1"/>
  <c r="D12" i="11"/>
  <c r="D13" i="11"/>
  <c r="D14" i="11"/>
  <c r="D15" i="11"/>
  <c r="D16" i="11"/>
  <c r="D17" i="11"/>
  <c r="E17" i="11" s="1"/>
  <c r="D18" i="11"/>
  <c r="D19" i="11"/>
  <c r="E19" i="11" s="1"/>
  <c r="D20" i="11"/>
  <c r="D21" i="11"/>
  <c r="D22" i="11"/>
  <c r="D4" i="11"/>
  <c r="E4" i="11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4" i="10"/>
  <c r="J29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" i="10"/>
  <c r="E10" i="11" l="1"/>
  <c r="E18" i="11"/>
  <c r="E6" i="11"/>
  <c r="E16" i="11"/>
  <c r="E22" i="11"/>
  <c r="E14" i="11"/>
  <c r="E20" i="11"/>
  <c r="E8" i="11"/>
  <c r="E15" i="11"/>
  <c r="E5" i="11"/>
  <c r="E9" i="11"/>
  <c r="H16" i="11"/>
  <c r="H5" i="11"/>
  <c r="E13" i="11"/>
  <c r="E21" i="11"/>
  <c r="E7" i="11"/>
  <c r="C3" i="12" l="1"/>
  <c r="H6" i="11"/>
  <c r="H7" i="11"/>
  <c r="H8" i="11"/>
  <c r="H9" i="11"/>
  <c r="H10" i="11"/>
  <c r="H11" i="11"/>
  <c r="H12" i="11"/>
  <c r="H13" i="11"/>
  <c r="H14" i="11"/>
  <c r="H15" i="11"/>
  <c r="H17" i="11"/>
  <c r="H18" i="11"/>
  <c r="H19" i="11"/>
  <c r="H20" i="11"/>
  <c r="H21" i="11"/>
  <c r="H22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4" i="11"/>
  <c r="AE16" i="12"/>
  <c r="E4" i="12"/>
  <c r="E5" i="12"/>
  <c r="E6" i="12"/>
  <c r="E7" i="12"/>
  <c r="E8" i="12"/>
  <c r="E9" i="12"/>
  <c r="E10" i="12"/>
  <c r="E11" i="12"/>
  <c r="E3" i="12"/>
  <c r="C24" i="12" a="1"/>
  <c r="C24" i="12" s="1"/>
  <c r="D24" i="12" s="1" a="1"/>
  <c r="C13" i="12" a="1"/>
  <c r="C13" i="12" s="1"/>
  <c r="D13" i="12" s="1" a="1"/>
  <c r="D13" i="12" s="1"/>
  <c r="O3" i="12"/>
  <c r="W14" i="11"/>
  <c r="F4" i="11" s="1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" i="10"/>
  <c r="O6" i="12"/>
  <c r="O4" i="12" s="1"/>
  <c r="J4" i="12" a="1"/>
  <c r="J4" i="12" s="1"/>
  <c r="I5" i="10"/>
  <c r="I6" i="10"/>
  <c r="J6" i="10" s="1"/>
  <c r="N6" i="10" s="1"/>
  <c r="I7" i="10"/>
  <c r="O7" i="10" s="1"/>
  <c r="I8" i="10"/>
  <c r="I9" i="10"/>
  <c r="J9" i="10" s="1"/>
  <c r="N9" i="10" s="1"/>
  <c r="I10" i="10"/>
  <c r="J10" i="10" s="1"/>
  <c r="N10" i="10" s="1"/>
  <c r="I11" i="10"/>
  <c r="J11" i="10" s="1"/>
  <c r="N11" i="10" s="1"/>
  <c r="I12" i="10"/>
  <c r="J12" i="10" s="1"/>
  <c r="N12" i="10" s="1"/>
  <c r="I13" i="10"/>
  <c r="I14" i="10"/>
  <c r="I15" i="10"/>
  <c r="O15" i="10" s="1"/>
  <c r="I16" i="10"/>
  <c r="J16" i="10" s="1"/>
  <c r="N16" i="10" s="1"/>
  <c r="I17" i="10"/>
  <c r="O17" i="10" s="1"/>
  <c r="I18" i="10"/>
  <c r="O18" i="10" s="1"/>
  <c r="I19" i="10"/>
  <c r="O19" i="10" s="1"/>
  <c r="I20" i="10"/>
  <c r="J20" i="10" s="1"/>
  <c r="N20" i="10" s="1"/>
  <c r="I21" i="10"/>
  <c r="I22" i="10"/>
  <c r="J22" i="10" s="1"/>
  <c r="N22" i="10" s="1"/>
  <c r="I4" i="10"/>
  <c r="J4" i="10" s="1"/>
  <c r="N4" i="10" s="1"/>
  <c r="O4" i="10"/>
  <c r="O5" i="10"/>
  <c r="J5" i="10"/>
  <c r="N5" i="10" s="1"/>
  <c r="O6" i="10"/>
  <c r="O16" i="10"/>
  <c r="J13" i="10"/>
  <c r="N13" i="10"/>
  <c r="O13" i="10"/>
  <c r="O21" i="10"/>
  <c r="J21" i="10"/>
  <c r="N21" i="10"/>
  <c r="O9" i="10"/>
  <c r="J7" i="10"/>
  <c r="N7" i="10" s="1"/>
  <c r="J15" i="10"/>
  <c r="N15" i="10" s="1"/>
  <c r="O14" i="10"/>
  <c r="J14" i="10"/>
  <c r="N14" i="10"/>
  <c r="O12" i="10"/>
  <c r="O22" i="10"/>
  <c r="O8" i="10"/>
  <c r="J8" i="10"/>
  <c r="N8" i="10" s="1"/>
  <c r="F16" i="11" l="1"/>
  <c r="F5" i="11"/>
  <c r="F8" i="11"/>
  <c r="C24" i="11" a="1"/>
  <c r="C24" i="11" s="1"/>
  <c r="F7" i="11"/>
  <c r="F15" i="11"/>
  <c r="F22" i="11"/>
  <c r="F18" i="11"/>
  <c r="F10" i="11"/>
  <c r="F20" i="11"/>
  <c r="F19" i="11"/>
  <c r="F6" i="11"/>
  <c r="F17" i="11"/>
  <c r="F21" i="11"/>
  <c r="F14" i="11"/>
  <c r="F11" i="11"/>
  <c r="F9" i="11"/>
  <c r="F13" i="11"/>
  <c r="F12" i="11"/>
  <c r="O20" i="10"/>
  <c r="J17" i="10"/>
  <c r="N17" i="10" s="1"/>
  <c r="O10" i="10"/>
  <c r="O11" i="10"/>
  <c r="AC59" i="10" s="1"/>
  <c r="J18" i="10"/>
  <c r="N18" i="10" s="1"/>
  <c r="J19" i="10"/>
  <c r="N19" i="10" s="1"/>
  <c r="J25" i="12" a="1"/>
  <c r="J25" i="12" s="1"/>
  <c r="O24" i="12" s="1"/>
  <c r="O27" i="12" s="1"/>
  <c r="O5" i="12"/>
  <c r="Q5" i="12"/>
  <c r="AC8" i="12"/>
  <c r="D24" i="12"/>
  <c r="H3" i="12" s="1"/>
  <c r="H11" i="12"/>
  <c r="H4" i="12"/>
  <c r="H6" i="12"/>
  <c r="H10" i="12"/>
  <c r="H9" i="12"/>
  <c r="H7" i="12"/>
  <c r="H8" i="12"/>
  <c r="H5" i="12"/>
  <c r="T3" i="12"/>
  <c r="T6" i="12" s="1"/>
  <c r="J6" i="12"/>
  <c r="K6" i="12"/>
  <c r="J5" i="12"/>
  <c r="T4" i="12" s="1"/>
  <c r="K5" i="12"/>
  <c r="J27" i="12"/>
  <c r="K4" i="12"/>
  <c r="F7" i="12" s="1"/>
  <c r="G7" i="12" s="1"/>
  <c r="G4" i="11" l="1"/>
  <c r="I6" i="11"/>
  <c r="I5" i="11"/>
  <c r="G19" i="11"/>
  <c r="I7" i="11"/>
  <c r="I18" i="11"/>
  <c r="G8" i="11"/>
  <c r="I8" i="11"/>
  <c r="I12" i="11"/>
  <c r="G12" i="11"/>
  <c r="I22" i="11"/>
  <c r="I9" i="11"/>
  <c r="G9" i="11"/>
  <c r="G11" i="11"/>
  <c r="I11" i="11"/>
  <c r="I4" i="11"/>
  <c r="G10" i="11"/>
  <c r="I14" i="11"/>
  <c r="G14" i="11"/>
  <c r="I20" i="11"/>
  <c r="G21" i="11"/>
  <c r="I21" i="11"/>
  <c r="G16" i="11"/>
  <c r="I10" i="11"/>
  <c r="G17" i="11"/>
  <c r="I17" i="11"/>
  <c r="I16" i="11"/>
  <c r="I13" i="11"/>
  <c r="G13" i="11"/>
  <c r="G6" i="11"/>
  <c r="I15" i="11"/>
  <c r="G20" i="11"/>
  <c r="G22" i="11"/>
  <c r="G18" i="11"/>
  <c r="G15" i="11"/>
  <c r="I19" i="11"/>
  <c r="G5" i="11"/>
  <c r="G7" i="11"/>
  <c r="AC42" i="10"/>
  <c r="T5" i="12"/>
  <c r="F8" i="12"/>
  <c r="G8" i="12" s="1"/>
  <c r="K27" i="12"/>
  <c r="J26" i="12"/>
  <c r="O25" i="12" s="1"/>
  <c r="K25" i="12"/>
  <c r="K26" i="12"/>
  <c r="AC11" i="12"/>
  <c r="AC14" i="12"/>
  <c r="AC13" i="12"/>
  <c r="AC16" i="12" s="1"/>
  <c r="AC10" i="12"/>
  <c r="F3" i="12"/>
  <c r="G3" i="12" s="1"/>
  <c r="F4" i="12"/>
  <c r="G4" i="12" s="1"/>
  <c r="F9" i="12"/>
  <c r="G9" i="12" s="1"/>
  <c r="F5" i="12"/>
  <c r="G5" i="12" s="1"/>
  <c r="O26" i="12"/>
  <c r="F6" i="12"/>
  <c r="G6" i="12" s="1"/>
  <c r="F10" i="12"/>
  <c r="G10" i="12" s="1"/>
  <c r="F11" i="12"/>
  <c r="G11" i="12" s="1"/>
  <c r="K30" i="11" l="1"/>
  <c r="K29" i="11"/>
  <c r="K25" i="11"/>
  <c r="K26" i="11"/>
  <c r="K18" i="11"/>
  <c r="K32" i="11"/>
  <c r="K31" i="11"/>
  <c r="K33" i="11"/>
  <c r="K21" i="11"/>
  <c r="K34" i="11"/>
  <c r="K27" i="11"/>
  <c r="K22" i="11"/>
  <c r="K20" i="11"/>
  <c r="K28" i="11"/>
  <c r="K24" i="11"/>
  <c r="K19" i="11"/>
  <c r="K23" i="11"/>
  <c r="K36" i="11"/>
  <c r="K35" i="11"/>
  <c r="AC15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<sst xmlns="http://schemas.openxmlformats.org/spreadsheetml/2006/main" count="89" uniqueCount="67">
  <si>
    <t>Sem Analisador</t>
  </si>
  <si>
    <t xml:space="preserve"> θ P (rad)</t>
  </si>
  <si>
    <t>VPP</t>
  </si>
  <si>
    <r>
      <t> </t>
    </r>
    <r>
      <rPr>
        <b/>
        <sz val="11"/>
        <color rgb="FF202122"/>
        <rFont val="Arial"/>
        <family val="2"/>
      </rPr>
      <t>θ</t>
    </r>
    <r>
      <rPr>
        <sz val="11"/>
        <color rgb="FF202122"/>
        <rFont val="Arial"/>
        <family val="2"/>
      </rPr>
      <t xml:space="preserve"> P</t>
    </r>
  </si>
  <si>
    <t>Polarizador na  θP max</t>
  </si>
  <si>
    <r>
      <t> </t>
    </r>
    <r>
      <rPr>
        <b/>
        <sz val="11"/>
        <color rgb="FF202122"/>
        <rFont val="Arial"/>
        <family val="2"/>
      </rPr>
      <t>θ</t>
    </r>
    <r>
      <rPr>
        <sz val="11"/>
        <color rgb="FF202122"/>
        <rFont val="Arial"/>
        <family val="2"/>
      </rPr>
      <t xml:space="preserve"> A</t>
    </r>
  </si>
  <si>
    <t xml:space="preserve"> θ A (rad)</t>
  </si>
  <si>
    <t>Lâmina Anisotrópica</t>
  </si>
  <si>
    <t>Resíduos</t>
  </si>
  <si>
    <t>m</t>
  </si>
  <si>
    <t>u(m)</t>
  </si>
  <si>
    <t>r^2</t>
  </si>
  <si>
    <t>b</t>
  </si>
  <si>
    <t>u(b)</t>
  </si>
  <si>
    <t>sy</t>
  </si>
  <si>
    <t>Regressão Linear</t>
  </si>
  <si>
    <t>c</t>
  </si>
  <si>
    <t>fm</t>
  </si>
  <si>
    <t>T(fm-fr)</t>
  </si>
  <si>
    <t>fm-fr</t>
  </si>
  <si>
    <t>fr</t>
  </si>
  <si>
    <t>u(fm)</t>
  </si>
  <si>
    <t>u(fm-fr)</t>
  </si>
  <si>
    <t>u(T(fm-fr))</t>
  </si>
  <si>
    <t>u(fr)</t>
  </si>
  <si>
    <t>u(c)</t>
  </si>
  <si>
    <t>u(c) (%)</t>
  </si>
  <si>
    <t>erro %</t>
  </si>
  <si>
    <t>c ref</t>
  </si>
  <si>
    <t>Valores q registamos é o valor que diz na escala do analisador. Maximo ocorre para  θ = 50º</t>
  </si>
  <si>
    <t>normal</t>
  </si>
  <si>
    <t>beta</t>
  </si>
  <si>
    <t>beta (rad)</t>
  </si>
  <si>
    <r>
      <t>P</t>
    </r>
    <r>
      <rPr>
        <vertAlign val="subscript"/>
        <sz val="11"/>
        <color theme="1"/>
        <rFont val="Calibri"/>
        <family val="2"/>
        <scheme val="minor"/>
      </rPr>
      <t>A</t>
    </r>
  </si>
  <si>
    <t>residuos</t>
  </si>
  <si>
    <r>
      <t>cos</t>
    </r>
    <r>
      <rPr>
        <vertAlign val="superscript"/>
        <sz val="11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(Δθ)</t>
    </r>
  </si>
  <si>
    <t>Grau Polarização</t>
  </si>
  <si>
    <t>r2 entre experimental e teórico</t>
  </si>
  <si>
    <t xml:space="preserve">Δθ </t>
  </si>
  <si>
    <t>c correção</t>
  </si>
  <si>
    <r>
      <t>cos</t>
    </r>
    <r>
      <rPr>
        <vertAlign val="superscript"/>
        <sz val="8"/>
        <color rgb="FF202122"/>
        <rFont val="Arial"/>
        <family val="2"/>
      </rPr>
      <t>2</t>
    </r>
    <r>
      <rPr>
        <sz val="8"/>
        <color rgb="FF202122"/>
        <rFont val="Arial"/>
        <family val="2"/>
      </rPr>
      <t>(Δθ) c correção</t>
    </r>
  </si>
  <si>
    <t>excel</t>
  </si>
  <si>
    <t>escala</t>
  </si>
  <si>
    <t xml:space="preserve"> </t>
  </si>
  <si>
    <t>n acr</t>
  </si>
  <si>
    <t>u(n acr)</t>
  </si>
  <si>
    <t>c acr</t>
  </si>
  <si>
    <t>L</t>
  </si>
  <si>
    <t>t ar</t>
  </si>
  <si>
    <t>t ar+acr</t>
  </si>
  <si>
    <t>u(c acr)</t>
  </si>
  <si>
    <t>u(n acr) (%)</t>
  </si>
  <si>
    <t>u(c acr) (%)</t>
  </si>
  <si>
    <t>ref</t>
  </si>
  <si>
    <t>pa norm</t>
  </si>
  <si>
    <t>vpp norm</t>
  </si>
  <si>
    <t>Laser, polarizado linearmente (penso eu). Entra no primeiro polarizador e consequentemente transforma a polarização da luz numa polarização linear com o ângulo alpha (θ P) . Ao usar a lamina temos indice de refração diferentes para diferentes eixos ( O eixo da lamina e o eixo perpendicular ao mesmo.). Isto transforma a polarização linear numa polarização circular(45º) ou eliptica (diferente de 45º). Ao atingir o analisador, forçamos novamente a projetar a polarização sobre o eixo do analisador, obtendo novamente uma polarização linear.</t>
  </si>
  <si>
    <t>Esta correção provem do facto do laser não estar perfeitamente polarizado para 45º, valor pretendido pela lei de malus.</t>
  </si>
  <si>
    <t>pa norm 2</t>
  </si>
  <si>
    <t>nao com o 0 certo</t>
  </si>
  <si>
    <t>z (m)</t>
  </si>
  <si>
    <t>Δt osc (s)</t>
  </si>
  <si>
    <t>Fase(º)</t>
  </si>
  <si>
    <t>Fase (Rad)</t>
  </si>
  <si>
    <t>Ajuste</t>
  </si>
  <si>
    <t>pol ideal</t>
  </si>
  <si>
    <t>correção de 8º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</si>
</sst>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"/>
    <numFmt numFmtId="166" formatCode="0.0E+00"/>
    <numFmt numFmtId="167" formatCode="0.000E+00"/>
    <numFmt numFmtId="168" formatCode="0.0%"/>
    <numFmt numFmtId="169" formatCode="0E+00"/>
    <numFmt numFmtId="170" formatCode="0.0"/>
  </numFmts>
  <fonts count="11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sz val="9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perscript"/>
      <sz val="11"/>
      <color rgb="FF202122"/>
      <name val="Arial"/>
      <family val="2"/>
    </font>
    <font>
      <sz val="10"/>
      <color theme="1"/>
      <name val="Calibri"/>
      <family val="2"/>
      <scheme val="minor"/>
    </font>
    <font>
      <sz val="9"/>
      <color rgb="FF202122"/>
      <name val="Arial"/>
      <family val="2"/>
    </font>
    <font>
      <sz val="8"/>
      <color rgb="FF202122"/>
      <name val="Arial"/>
      <family val="2"/>
    </font>
    <font>
      <vertAlign val="superscript"/>
      <sz val="8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165" fontId="0" fillId="4" borderId="1" xfId="0" applyNumberFormat="1" applyFill="1" applyBorder="1" applyAlignment="1">
      <alignment horizontal="center" vertical="center"/>
    </xf>
    <xf numFmtId="165" fontId="0" fillId="4" borderId="8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0" fontId="0" fillId="4" borderId="1" xfId="0" applyNumberFormat="1" applyFill="1" applyBorder="1" applyAlignment="1">
      <alignment horizontal="center" vertical="center"/>
    </xf>
    <xf numFmtId="170" fontId="0" fillId="0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70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aseline="0"/>
              <a:t>Apenas com o Polarizador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746555822153132"/>
          <c:y val="0.16484444444444443"/>
          <c:w val="0.81453730300879756"/>
          <c:h val="0.66002974628171474"/>
        </c:manualLayout>
      </c:layout>
      <c:scatterChart>
        <c:scatterStyle val="lineMarker"/>
        <c:varyColors val="0"/>
        <c:ser>
          <c:idx val="0"/>
          <c:order val="0"/>
          <c:tx>
            <c:v>Polarização obtida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Polarização!$C$4:$C$42</c:f>
              <c:numCache>
                <c:formatCode>General</c:formatCode>
                <c:ptCount val="39"/>
                <c:pt idx="0">
                  <c:v>-1.6580627893946132</c:v>
                </c:pt>
                <c:pt idx="1">
                  <c:v>-1.5707963267948966</c:v>
                </c:pt>
                <c:pt idx="2">
                  <c:v>-1.4835298641951802</c:v>
                </c:pt>
                <c:pt idx="3">
                  <c:v>-1.3962634015954636</c:v>
                </c:pt>
                <c:pt idx="4">
                  <c:v>-1.3089969389957472</c:v>
                </c:pt>
                <c:pt idx="5">
                  <c:v>-1.2217304763960306</c:v>
                </c:pt>
                <c:pt idx="6">
                  <c:v>-1.1344640137963142</c:v>
                </c:pt>
                <c:pt idx="7">
                  <c:v>-1.0471975511965976</c:v>
                </c:pt>
                <c:pt idx="8">
                  <c:v>-0.95993108859688125</c:v>
                </c:pt>
                <c:pt idx="9">
                  <c:v>-0.87266462599716477</c:v>
                </c:pt>
                <c:pt idx="10">
                  <c:v>-0.78539816339744828</c:v>
                </c:pt>
                <c:pt idx="11">
                  <c:v>-0.69813170079773179</c:v>
                </c:pt>
                <c:pt idx="12">
                  <c:v>-0.6108652381980153</c:v>
                </c:pt>
                <c:pt idx="13">
                  <c:v>-0.52359877559829882</c:v>
                </c:pt>
                <c:pt idx="14">
                  <c:v>-0.43633231299858238</c:v>
                </c:pt>
                <c:pt idx="15">
                  <c:v>-0.3490658503988659</c:v>
                </c:pt>
                <c:pt idx="16">
                  <c:v>-0.26179938779914941</c:v>
                </c:pt>
                <c:pt idx="17">
                  <c:v>-0.17453292519943295</c:v>
                </c:pt>
                <c:pt idx="18">
                  <c:v>-8.7266462599716474E-2</c:v>
                </c:pt>
                <c:pt idx="19">
                  <c:v>0</c:v>
                </c:pt>
                <c:pt idx="20">
                  <c:v>8.7266462599716474E-2</c:v>
                </c:pt>
                <c:pt idx="21">
                  <c:v>0.17453292519943295</c:v>
                </c:pt>
                <c:pt idx="22">
                  <c:v>0.26179938779914941</c:v>
                </c:pt>
                <c:pt idx="23">
                  <c:v>0.3490658503988659</c:v>
                </c:pt>
                <c:pt idx="24">
                  <c:v>0.43633231299858238</c:v>
                </c:pt>
                <c:pt idx="25">
                  <c:v>0.52359877559829882</c:v>
                </c:pt>
                <c:pt idx="26">
                  <c:v>0.6108652381980153</c:v>
                </c:pt>
                <c:pt idx="27">
                  <c:v>0.69813170079773179</c:v>
                </c:pt>
                <c:pt idx="28">
                  <c:v>0.78539816339744828</c:v>
                </c:pt>
                <c:pt idx="29">
                  <c:v>0.87266462599716477</c:v>
                </c:pt>
                <c:pt idx="30">
                  <c:v>0.95993108859688125</c:v>
                </c:pt>
                <c:pt idx="31">
                  <c:v>1.0471975511965976</c:v>
                </c:pt>
                <c:pt idx="32">
                  <c:v>1.1344640137963142</c:v>
                </c:pt>
                <c:pt idx="33">
                  <c:v>1.2217304763960306</c:v>
                </c:pt>
                <c:pt idx="34">
                  <c:v>1.3089969389957472</c:v>
                </c:pt>
                <c:pt idx="35">
                  <c:v>1.3962634015954636</c:v>
                </c:pt>
                <c:pt idx="36">
                  <c:v>1.4835298641951802</c:v>
                </c:pt>
                <c:pt idx="37">
                  <c:v>1.5707963267948966</c:v>
                </c:pt>
                <c:pt idx="38">
                  <c:v>1.6580627893946132</c:v>
                </c:pt>
              </c:numCache>
            </c:numRef>
          </c:xVal>
          <c:yVal>
            <c:numRef>
              <c:f>Polarização!$E$4:$E$42</c:f>
              <c:numCache>
                <c:formatCode>General</c:formatCode>
                <c:ptCount val="39"/>
                <c:pt idx="0">
                  <c:v>0.81196581196581197</c:v>
                </c:pt>
                <c:pt idx="1">
                  <c:v>0.76068376068376076</c:v>
                </c:pt>
                <c:pt idx="2">
                  <c:v>0.70085470085470081</c:v>
                </c:pt>
                <c:pt idx="3">
                  <c:v>0.63247863247863256</c:v>
                </c:pt>
                <c:pt idx="4">
                  <c:v>0.58119658119658124</c:v>
                </c:pt>
                <c:pt idx="5">
                  <c:v>0.5213675213675214</c:v>
                </c:pt>
                <c:pt idx="6">
                  <c:v>0.47008547008547014</c:v>
                </c:pt>
                <c:pt idx="7">
                  <c:v>0.42735042735042739</c:v>
                </c:pt>
                <c:pt idx="8">
                  <c:v>0.38034188034188038</c:v>
                </c:pt>
                <c:pt idx="9">
                  <c:v>0.34188034188034189</c:v>
                </c:pt>
                <c:pt idx="10">
                  <c:v>0.32051282051282054</c:v>
                </c:pt>
                <c:pt idx="11">
                  <c:v>0.31303418803418809</c:v>
                </c:pt>
                <c:pt idx="12">
                  <c:v>0.30769230769230771</c:v>
                </c:pt>
                <c:pt idx="13">
                  <c:v>0.32051282051282054</c:v>
                </c:pt>
                <c:pt idx="14">
                  <c:v>0.33760683760683763</c:v>
                </c:pt>
                <c:pt idx="15">
                  <c:v>0.36752136752136755</c:v>
                </c:pt>
                <c:pt idx="16">
                  <c:v>0.40170940170940173</c:v>
                </c:pt>
                <c:pt idx="17">
                  <c:v>0.44444444444444448</c:v>
                </c:pt>
                <c:pt idx="18">
                  <c:v>0.49572649572649574</c:v>
                </c:pt>
                <c:pt idx="19">
                  <c:v>0.54700854700854706</c:v>
                </c:pt>
                <c:pt idx="20">
                  <c:v>0.60683760683760679</c:v>
                </c:pt>
                <c:pt idx="21">
                  <c:v>0.67521367521367526</c:v>
                </c:pt>
                <c:pt idx="22">
                  <c:v>0.73076923076923084</c:v>
                </c:pt>
                <c:pt idx="23">
                  <c:v>0.78632478632478631</c:v>
                </c:pt>
                <c:pt idx="24">
                  <c:v>0.83760683760683774</c:v>
                </c:pt>
                <c:pt idx="25">
                  <c:v>0.88888888888888895</c:v>
                </c:pt>
                <c:pt idx="26">
                  <c:v>0.93162393162393176</c:v>
                </c:pt>
                <c:pt idx="27">
                  <c:v>0.97435897435897445</c:v>
                </c:pt>
                <c:pt idx="28">
                  <c:v>0.99145299145299148</c:v>
                </c:pt>
                <c:pt idx="29">
                  <c:v>1</c:v>
                </c:pt>
                <c:pt idx="30">
                  <c:v>0.99893162393162405</c:v>
                </c:pt>
                <c:pt idx="31">
                  <c:v>0.99145299145299148</c:v>
                </c:pt>
                <c:pt idx="32">
                  <c:v>0.96581196581196593</c:v>
                </c:pt>
                <c:pt idx="33">
                  <c:v>0.94871794871794879</c:v>
                </c:pt>
                <c:pt idx="34">
                  <c:v>0.89743589743589747</c:v>
                </c:pt>
                <c:pt idx="35">
                  <c:v>0.84615384615384626</c:v>
                </c:pt>
                <c:pt idx="36">
                  <c:v>0.78632478632478631</c:v>
                </c:pt>
                <c:pt idx="37">
                  <c:v>0.7350427350427351</c:v>
                </c:pt>
                <c:pt idx="38">
                  <c:v>0.66666666666666674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3-48AA-B771-7A9A3F4504A9}"/>
            </c:ext>
          </c:extLst>
        </c:ser>
        <c:ser>
          <c:idx val="1"/>
          <c:order val="1"/>
          <c:tx>
            <c:v>Polarização ideal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Polarização!$C$4:$C$42</c:f>
              <c:numCache>
                <c:formatCode>General</c:formatCode>
                <c:ptCount val="39"/>
                <c:pt idx="0">
                  <c:v>-1.6580627893946132</c:v>
                </c:pt>
                <c:pt idx="1">
                  <c:v>-1.5707963267948966</c:v>
                </c:pt>
                <c:pt idx="2">
                  <c:v>-1.4835298641951802</c:v>
                </c:pt>
                <c:pt idx="3">
                  <c:v>-1.3962634015954636</c:v>
                </c:pt>
                <c:pt idx="4">
                  <c:v>-1.3089969389957472</c:v>
                </c:pt>
                <c:pt idx="5">
                  <c:v>-1.2217304763960306</c:v>
                </c:pt>
                <c:pt idx="6">
                  <c:v>-1.1344640137963142</c:v>
                </c:pt>
                <c:pt idx="7">
                  <c:v>-1.0471975511965976</c:v>
                </c:pt>
                <c:pt idx="8">
                  <c:v>-0.95993108859688125</c:v>
                </c:pt>
                <c:pt idx="9">
                  <c:v>-0.87266462599716477</c:v>
                </c:pt>
                <c:pt idx="10">
                  <c:v>-0.78539816339744828</c:v>
                </c:pt>
                <c:pt idx="11">
                  <c:v>-0.69813170079773179</c:v>
                </c:pt>
                <c:pt idx="12">
                  <c:v>-0.6108652381980153</c:v>
                </c:pt>
                <c:pt idx="13">
                  <c:v>-0.52359877559829882</c:v>
                </c:pt>
                <c:pt idx="14">
                  <c:v>-0.43633231299858238</c:v>
                </c:pt>
                <c:pt idx="15">
                  <c:v>-0.3490658503988659</c:v>
                </c:pt>
                <c:pt idx="16">
                  <c:v>-0.26179938779914941</c:v>
                </c:pt>
                <c:pt idx="17">
                  <c:v>-0.17453292519943295</c:v>
                </c:pt>
                <c:pt idx="18">
                  <c:v>-8.7266462599716474E-2</c:v>
                </c:pt>
                <c:pt idx="19">
                  <c:v>0</c:v>
                </c:pt>
                <c:pt idx="20">
                  <c:v>8.7266462599716474E-2</c:v>
                </c:pt>
                <c:pt idx="21">
                  <c:v>0.17453292519943295</c:v>
                </c:pt>
                <c:pt idx="22">
                  <c:v>0.26179938779914941</c:v>
                </c:pt>
                <c:pt idx="23">
                  <c:v>0.3490658503988659</c:v>
                </c:pt>
                <c:pt idx="24">
                  <c:v>0.43633231299858238</c:v>
                </c:pt>
                <c:pt idx="25">
                  <c:v>0.52359877559829882</c:v>
                </c:pt>
                <c:pt idx="26">
                  <c:v>0.6108652381980153</c:v>
                </c:pt>
                <c:pt idx="27">
                  <c:v>0.69813170079773179</c:v>
                </c:pt>
                <c:pt idx="28">
                  <c:v>0.78539816339744828</c:v>
                </c:pt>
                <c:pt idx="29">
                  <c:v>0.87266462599716477</c:v>
                </c:pt>
                <c:pt idx="30">
                  <c:v>0.95993108859688125</c:v>
                </c:pt>
                <c:pt idx="31">
                  <c:v>1.0471975511965976</c:v>
                </c:pt>
                <c:pt idx="32">
                  <c:v>1.1344640137963142</c:v>
                </c:pt>
                <c:pt idx="33">
                  <c:v>1.2217304763960306</c:v>
                </c:pt>
                <c:pt idx="34">
                  <c:v>1.3089969389957472</c:v>
                </c:pt>
                <c:pt idx="35">
                  <c:v>1.3962634015954636</c:v>
                </c:pt>
                <c:pt idx="36">
                  <c:v>1.4835298641951802</c:v>
                </c:pt>
                <c:pt idx="37">
                  <c:v>1.5707963267948966</c:v>
                </c:pt>
                <c:pt idx="38">
                  <c:v>1.6580627893946132</c:v>
                </c:pt>
              </c:numCache>
            </c:numRef>
          </c:xVal>
          <c:yVal>
            <c:numRef>
              <c:f>Polarização!$F$4:$F$42</c:f>
              <c:numCache>
                <c:formatCode>General</c:formatCode>
                <c:ptCount val="39"/>
                <c:pt idx="0">
                  <c:v>0.72839506172839519</c:v>
                </c:pt>
                <c:pt idx="1">
                  <c:v>0.65432098765432112</c:v>
                </c:pt>
                <c:pt idx="2">
                  <c:v>0.5679012345679012</c:v>
                </c:pt>
                <c:pt idx="3">
                  <c:v>0.46913580246913583</c:v>
                </c:pt>
                <c:pt idx="4">
                  <c:v>0.39506172839506171</c:v>
                </c:pt>
                <c:pt idx="5">
                  <c:v>0.30864197530864196</c:v>
                </c:pt>
                <c:pt idx="6">
                  <c:v>0.23456790123456789</c:v>
                </c:pt>
                <c:pt idx="7">
                  <c:v>0.1728395061728395</c:v>
                </c:pt>
                <c:pt idx="8">
                  <c:v>0.10493827160493829</c:v>
                </c:pt>
                <c:pt idx="9">
                  <c:v>4.9382716049382706E-2</c:v>
                </c:pt>
                <c:pt idx="10">
                  <c:v>1.8518518518518507E-2</c:v>
                </c:pt>
                <c:pt idx="11">
                  <c:v>7.7160493827160498E-3</c:v>
                </c:pt>
                <c:pt idx="12">
                  <c:v>0</c:v>
                </c:pt>
                <c:pt idx="13">
                  <c:v>1.8518518518518507E-2</c:v>
                </c:pt>
                <c:pt idx="14">
                  <c:v>4.3209876543209888E-2</c:v>
                </c:pt>
                <c:pt idx="15">
                  <c:v>8.6419753086419721E-2</c:v>
                </c:pt>
                <c:pt idx="16">
                  <c:v>0.13580246913580249</c:v>
                </c:pt>
                <c:pt idx="17">
                  <c:v>0.19753086419753088</c:v>
                </c:pt>
                <c:pt idx="18">
                  <c:v>0.27160493827160492</c:v>
                </c:pt>
                <c:pt idx="19">
                  <c:v>0.34567901234567905</c:v>
                </c:pt>
                <c:pt idx="20">
                  <c:v>0.43209876543209874</c:v>
                </c:pt>
                <c:pt idx="21">
                  <c:v>0.53086419753086433</c:v>
                </c:pt>
                <c:pt idx="22">
                  <c:v>0.61111111111111127</c:v>
                </c:pt>
                <c:pt idx="23">
                  <c:v>0.69135802469135799</c:v>
                </c:pt>
                <c:pt idx="24">
                  <c:v>0.76543209876543228</c:v>
                </c:pt>
                <c:pt idx="25">
                  <c:v>0.83950617283950635</c:v>
                </c:pt>
                <c:pt idx="26">
                  <c:v>0.90123456790123468</c:v>
                </c:pt>
                <c:pt idx="27">
                  <c:v>0.96296296296296313</c:v>
                </c:pt>
                <c:pt idx="28">
                  <c:v>0.98765432098765438</c:v>
                </c:pt>
                <c:pt idx="29">
                  <c:v>1</c:v>
                </c:pt>
                <c:pt idx="30">
                  <c:v>0.99845679012345689</c:v>
                </c:pt>
                <c:pt idx="31">
                  <c:v>0.98765432098765438</c:v>
                </c:pt>
                <c:pt idx="32">
                  <c:v>0.95061728395061751</c:v>
                </c:pt>
                <c:pt idx="33">
                  <c:v>0.92592592592592593</c:v>
                </c:pt>
                <c:pt idx="34">
                  <c:v>0.85185185185185197</c:v>
                </c:pt>
                <c:pt idx="35">
                  <c:v>0.7777777777777779</c:v>
                </c:pt>
                <c:pt idx="36">
                  <c:v>0.69135802469135799</c:v>
                </c:pt>
                <c:pt idx="37">
                  <c:v>0.61728395061728403</c:v>
                </c:pt>
                <c:pt idx="38">
                  <c:v>0.51851851851851849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61-534A-B5E3-C98FD7729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 do polarizador</a:t>
                </a:r>
                <a:r>
                  <a:rPr lang="pt-PT" baseline="0"/>
                  <a:t>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VPP/VPPmax  (s.u.)</a:t>
                </a:r>
              </a:p>
            </c:rich>
          </c:tx>
          <c:layout>
            <c:manualLayout>
              <c:xMode val="edge"/>
              <c:yMode val="edge"/>
              <c:x val="3.3776936681198119E-2"/>
              <c:y val="0.3819037620297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3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1657155690759"/>
          <c:y val="0.64628055555555552"/>
          <c:w val="0.21576773482242209"/>
          <c:h val="0.148786111111111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 (55</a:t>
            </a:r>
            <a:r>
              <a:rPr lang="pt-PT" sz="1400" b="0" i="0" u="none" strike="noStrike" baseline="0">
                <a:effectLst/>
              </a:rPr>
              <a:t>°</a:t>
            </a:r>
            <a:r>
              <a:rPr lang="en-US"/>
              <a:t>) e Analisador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80956256557595"/>
          <c:y val="0.16409309455787052"/>
          <c:w val="0.82287073082240825"/>
          <c:h val="0.65028743641558084"/>
        </c:manualLayout>
      </c:layout>
      <c:scatterChart>
        <c:scatterStyle val="lineMarker"/>
        <c:varyColors val="0"/>
        <c:ser>
          <c:idx val="0"/>
          <c:order val="0"/>
          <c:tx>
            <c:v>Valores Experimentais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Polarização!$J$4:$J$22</c:f>
              <c:numCache>
                <c:formatCode>General</c:formatCode>
                <c:ptCount val="19"/>
                <c:pt idx="0">
                  <c:v>-2.5307274153917776</c:v>
                </c:pt>
                <c:pt idx="1">
                  <c:v>-2.3561944901923448</c:v>
                </c:pt>
                <c:pt idx="2">
                  <c:v>-2.1816615649929121</c:v>
                </c:pt>
                <c:pt idx="3">
                  <c:v>-2.0071286397934789</c:v>
                </c:pt>
                <c:pt idx="4">
                  <c:v>-1.8325957145940461</c:v>
                </c:pt>
                <c:pt idx="5">
                  <c:v>-1.6580627893946129</c:v>
                </c:pt>
                <c:pt idx="6">
                  <c:v>-1.4835298641951802</c:v>
                </c:pt>
                <c:pt idx="7">
                  <c:v>-1.3089969389957472</c:v>
                </c:pt>
                <c:pt idx="8">
                  <c:v>-1.1344640137963142</c:v>
                </c:pt>
                <c:pt idx="9">
                  <c:v>-0.95993108859688125</c:v>
                </c:pt>
                <c:pt idx="10">
                  <c:v>-0.78539816339744828</c:v>
                </c:pt>
                <c:pt idx="11">
                  <c:v>-0.6108652381980153</c:v>
                </c:pt>
                <c:pt idx="12">
                  <c:v>-0.43633231299858244</c:v>
                </c:pt>
                <c:pt idx="13">
                  <c:v>-0.26179938779914946</c:v>
                </c:pt>
                <c:pt idx="14">
                  <c:v>-8.7266462599716488E-2</c:v>
                </c:pt>
                <c:pt idx="15">
                  <c:v>8.7266462599716377E-2</c:v>
                </c:pt>
                <c:pt idx="16">
                  <c:v>0.26179938779914935</c:v>
                </c:pt>
                <c:pt idx="17">
                  <c:v>0.43633231299858233</c:v>
                </c:pt>
                <c:pt idx="18">
                  <c:v>0.6108652381980153</c:v>
                </c:pt>
              </c:numCache>
            </c:numRef>
          </c:xVal>
          <c:yVal>
            <c:numRef>
              <c:f>Polarização!$M$4:$M$22</c:f>
              <c:numCache>
                <c:formatCode>0.000</c:formatCode>
                <c:ptCount val="19"/>
                <c:pt idx="0">
                  <c:v>0.52068965517241383</c:v>
                </c:pt>
                <c:pt idx="1">
                  <c:v>0.34827586206896549</c:v>
                </c:pt>
                <c:pt idx="2">
                  <c:v>0.19827586206896552</c:v>
                </c:pt>
                <c:pt idx="3">
                  <c:v>9.1724137931034483E-2</c:v>
                </c:pt>
                <c:pt idx="4">
                  <c:v>3.4482758620689655E-2</c:v>
                </c:pt>
                <c:pt idx="5">
                  <c:v>2.9655172413793104E-2</c:v>
                </c:pt>
                <c:pt idx="6">
                  <c:v>8.2758620689655171E-2</c:v>
                </c:pt>
                <c:pt idx="7">
                  <c:v>0.19137931034482758</c:v>
                </c:pt>
                <c:pt idx="8">
                  <c:v>0.3413793103448276</c:v>
                </c:pt>
                <c:pt idx="9">
                  <c:v>0.5</c:v>
                </c:pt>
                <c:pt idx="10">
                  <c:v>0.65517241379310343</c:v>
                </c:pt>
                <c:pt idx="11">
                  <c:v>0.79999999999999993</c:v>
                </c:pt>
                <c:pt idx="12">
                  <c:v>0.90344827586206899</c:v>
                </c:pt>
                <c:pt idx="13">
                  <c:v>0.98620689655172422</c:v>
                </c:pt>
                <c:pt idx="14">
                  <c:v>1</c:v>
                </c:pt>
                <c:pt idx="15">
                  <c:v>0.94482758620689655</c:v>
                </c:pt>
                <c:pt idx="16">
                  <c:v>0.81379310344827593</c:v>
                </c:pt>
                <c:pt idx="17">
                  <c:v>0.67586206896551726</c:v>
                </c:pt>
                <c:pt idx="18">
                  <c:v>0.48965517241379308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F-4310-A89B-2B59F4F98DDE}"/>
            </c:ext>
          </c:extLst>
        </c:ser>
        <c:ser>
          <c:idx val="1"/>
          <c:order val="1"/>
          <c:tx>
            <c:v>Lei de Malus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Polarização!$J$4:$J$22</c:f>
              <c:numCache>
                <c:formatCode>General</c:formatCode>
                <c:ptCount val="19"/>
                <c:pt idx="0">
                  <c:v>-2.5307274153917776</c:v>
                </c:pt>
                <c:pt idx="1">
                  <c:v>-2.3561944901923448</c:v>
                </c:pt>
                <c:pt idx="2">
                  <c:v>-2.1816615649929121</c:v>
                </c:pt>
                <c:pt idx="3">
                  <c:v>-2.0071286397934789</c:v>
                </c:pt>
                <c:pt idx="4">
                  <c:v>-1.8325957145940461</c:v>
                </c:pt>
                <c:pt idx="5">
                  <c:v>-1.6580627893946129</c:v>
                </c:pt>
                <c:pt idx="6">
                  <c:v>-1.4835298641951802</c:v>
                </c:pt>
                <c:pt idx="7">
                  <c:v>-1.3089969389957472</c:v>
                </c:pt>
                <c:pt idx="8">
                  <c:v>-1.1344640137963142</c:v>
                </c:pt>
                <c:pt idx="9">
                  <c:v>-0.95993108859688125</c:v>
                </c:pt>
                <c:pt idx="10">
                  <c:v>-0.78539816339744828</c:v>
                </c:pt>
                <c:pt idx="11">
                  <c:v>-0.6108652381980153</c:v>
                </c:pt>
                <c:pt idx="12">
                  <c:v>-0.43633231299858244</c:v>
                </c:pt>
                <c:pt idx="13">
                  <c:v>-0.26179938779914946</c:v>
                </c:pt>
                <c:pt idx="14">
                  <c:v>-8.7266462599716488E-2</c:v>
                </c:pt>
                <c:pt idx="15">
                  <c:v>8.7266462599716377E-2</c:v>
                </c:pt>
                <c:pt idx="16">
                  <c:v>0.26179938779914935</c:v>
                </c:pt>
                <c:pt idx="17">
                  <c:v>0.43633231299858233</c:v>
                </c:pt>
                <c:pt idx="18">
                  <c:v>0.6108652381980153</c:v>
                </c:pt>
              </c:numCache>
            </c:numRef>
          </c:xVal>
          <c:yVal>
            <c:numRef>
              <c:f>Polarização!$N$4:$N$22</c:f>
              <c:numCache>
                <c:formatCode>0.000</c:formatCode>
                <c:ptCount val="19"/>
                <c:pt idx="0">
                  <c:v>0.67101007166283422</c:v>
                </c:pt>
                <c:pt idx="1">
                  <c:v>0.49999999999999989</c:v>
                </c:pt>
                <c:pt idx="2">
                  <c:v>0.32898992833716573</c:v>
                </c:pt>
                <c:pt idx="3">
                  <c:v>0.17860619515673024</c:v>
                </c:pt>
                <c:pt idx="4">
                  <c:v>6.6987298107780716E-2</c:v>
                </c:pt>
                <c:pt idx="5">
                  <c:v>7.5961234938959421E-3</c:v>
                </c:pt>
                <c:pt idx="6">
                  <c:v>7.5961234938959638E-3</c:v>
                </c:pt>
                <c:pt idx="7">
                  <c:v>6.698729810778066E-2</c:v>
                </c:pt>
                <c:pt idx="8">
                  <c:v>0.17860619515673035</c:v>
                </c:pt>
                <c:pt idx="9">
                  <c:v>0.32898992833716556</c:v>
                </c:pt>
                <c:pt idx="10">
                  <c:v>0.50000000000000011</c:v>
                </c:pt>
                <c:pt idx="11">
                  <c:v>0.67101007166283433</c:v>
                </c:pt>
                <c:pt idx="12">
                  <c:v>0.82139380484326963</c:v>
                </c:pt>
                <c:pt idx="13">
                  <c:v>0.93301270189221941</c:v>
                </c:pt>
                <c:pt idx="14">
                  <c:v>0.99240387650610407</c:v>
                </c:pt>
                <c:pt idx="15">
                  <c:v>0.99240387650610407</c:v>
                </c:pt>
                <c:pt idx="16">
                  <c:v>0.93301270189221941</c:v>
                </c:pt>
                <c:pt idx="17">
                  <c:v>0.82139380484326963</c:v>
                </c:pt>
                <c:pt idx="18">
                  <c:v>0.67101007166283433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EB-5B4E-A5FB-3DB7AD0A4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5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33035565448466"/>
          <c:y val="0.62908090028569441"/>
          <c:w val="0.24234710387228994"/>
          <c:h val="0.13884968082693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Teórico e Experimental</a:t>
            </a:r>
            <a:r>
              <a:rPr lang="pt-PT" baseline="0"/>
              <a:t> sem correção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40169460145284"/>
          <c:y val="0.17171296296296296"/>
          <c:w val="0.82069374108319448"/>
          <c:h val="0.63401246719160109"/>
        </c:manualLayout>
      </c:layout>
      <c:scatterChart>
        <c:scatterStyle val="lineMarker"/>
        <c:varyColors val="0"/>
        <c:ser>
          <c:idx val="1"/>
          <c:order val="0"/>
          <c:tx>
            <c:v>Valores Teóricos</c:v>
          </c:tx>
          <c:spPr>
            <a:ln w="25400">
              <a:solidFill>
                <a:schemeClr val="accent2"/>
              </a:solidFill>
            </a:ln>
          </c:spPr>
          <c:marker>
            <c:symbol val="circle"/>
            <c:size val="5"/>
          </c:marker>
          <c:xVal>
            <c:numRef>
              <c:f>Polarização!$J$4:$J$22</c:f>
              <c:numCache>
                <c:formatCode>General</c:formatCode>
                <c:ptCount val="19"/>
                <c:pt idx="0">
                  <c:v>-2.5307274153917776</c:v>
                </c:pt>
                <c:pt idx="1">
                  <c:v>-2.3561944901923448</c:v>
                </c:pt>
                <c:pt idx="2">
                  <c:v>-2.1816615649929121</c:v>
                </c:pt>
                <c:pt idx="3">
                  <c:v>-2.0071286397934789</c:v>
                </c:pt>
                <c:pt idx="4">
                  <c:v>-1.8325957145940461</c:v>
                </c:pt>
                <c:pt idx="5">
                  <c:v>-1.6580627893946129</c:v>
                </c:pt>
                <c:pt idx="6">
                  <c:v>-1.4835298641951802</c:v>
                </c:pt>
                <c:pt idx="7">
                  <c:v>-1.3089969389957472</c:v>
                </c:pt>
                <c:pt idx="8">
                  <c:v>-1.1344640137963142</c:v>
                </c:pt>
                <c:pt idx="9">
                  <c:v>-0.95993108859688125</c:v>
                </c:pt>
                <c:pt idx="10">
                  <c:v>-0.78539816339744828</c:v>
                </c:pt>
                <c:pt idx="11">
                  <c:v>-0.6108652381980153</c:v>
                </c:pt>
                <c:pt idx="12">
                  <c:v>-0.43633231299858244</c:v>
                </c:pt>
                <c:pt idx="13">
                  <c:v>-0.26179938779914946</c:v>
                </c:pt>
                <c:pt idx="14">
                  <c:v>-8.7266462599716488E-2</c:v>
                </c:pt>
                <c:pt idx="15">
                  <c:v>8.7266462599716377E-2</c:v>
                </c:pt>
                <c:pt idx="16">
                  <c:v>0.26179938779914935</c:v>
                </c:pt>
                <c:pt idx="17">
                  <c:v>0.43633231299858233</c:v>
                </c:pt>
                <c:pt idx="18">
                  <c:v>0.6108652381980153</c:v>
                </c:pt>
              </c:numCache>
            </c:numRef>
          </c:xVal>
          <c:yVal>
            <c:numRef>
              <c:f>Polarização!$N$4:$N$22</c:f>
              <c:numCache>
                <c:formatCode>0.000</c:formatCode>
                <c:ptCount val="19"/>
                <c:pt idx="0">
                  <c:v>0.67101007166283422</c:v>
                </c:pt>
                <c:pt idx="1">
                  <c:v>0.49999999999999989</c:v>
                </c:pt>
                <c:pt idx="2">
                  <c:v>0.32898992833716573</c:v>
                </c:pt>
                <c:pt idx="3">
                  <c:v>0.17860619515673024</c:v>
                </c:pt>
                <c:pt idx="4">
                  <c:v>6.6987298107780716E-2</c:v>
                </c:pt>
                <c:pt idx="5">
                  <c:v>7.5961234938959421E-3</c:v>
                </c:pt>
                <c:pt idx="6">
                  <c:v>7.5961234938959638E-3</c:v>
                </c:pt>
                <c:pt idx="7">
                  <c:v>6.698729810778066E-2</c:v>
                </c:pt>
                <c:pt idx="8">
                  <c:v>0.17860619515673035</c:v>
                </c:pt>
                <c:pt idx="9">
                  <c:v>0.32898992833716556</c:v>
                </c:pt>
                <c:pt idx="10">
                  <c:v>0.50000000000000011</c:v>
                </c:pt>
                <c:pt idx="11">
                  <c:v>0.67101007166283433</c:v>
                </c:pt>
                <c:pt idx="12">
                  <c:v>0.82139380484326963</c:v>
                </c:pt>
                <c:pt idx="13">
                  <c:v>0.93301270189221941</c:v>
                </c:pt>
                <c:pt idx="14">
                  <c:v>0.99240387650610407</c:v>
                </c:pt>
                <c:pt idx="15">
                  <c:v>0.99240387650610407</c:v>
                </c:pt>
                <c:pt idx="16">
                  <c:v>0.93301270189221941</c:v>
                </c:pt>
                <c:pt idx="17">
                  <c:v>0.82139380484326963</c:v>
                </c:pt>
                <c:pt idx="18">
                  <c:v>0.67101007166283433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E7-4B6C-9914-6145C7FE05D2}"/>
            </c:ext>
          </c:extLst>
        </c:ser>
        <c:ser>
          <c:idx val="0"/>
          <c:order val="1"/>
          <c:tx>
            <c:v>Valores Experimentais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Polarização!$J$4:$J$22</c:f>
              <c:numCache>
                <c:formatCode>General</c:formatCode>
                <c:ptCount val="19"/>
                <c:pt idx="0">
                  <c:v>-2.5307274153917776</c:v>
                </c:pt>
                <c:pt idx="1">
                  <c:v>-2.3561944901923448</c:v>
                </c:pt>
                <c:pt idx="2">
                  <c:v>-2.1816615649929121</c:v>
                </c:pt>
                <c:pt idx="3">
                  <c:v>-2.0071286397934789</c:v>
                </c:pt>
                <c:pt idx="4">
                  <c:v>-1.8325957145940461</c:v>
                </c:pt>
                <c:pt idx="5">
                  <c:v>-1.6580627893946129</c:v>
                </c:pt>
                <c:pt idx="6">
                  <c:v>-1.4835298641951802</c:v>
                </c:pt>
                <c:pt idx="7">
                  <c:v>-1.3089969389957472</c:v>
                </c:pt>
                <c:pt idx="8">
                  <c:v>-1.1344640137963142</c:v>
                </c:pt>
                <c:pt idx="9">
                  <c:v>-0.95993108859688125</c:v>
                </c:pt>
                <c:pt idx="10">
                  <c:v>-0.78539816339744828</c:v>
                </c:pt>
                <c:pt idx="11">
                  <c:v>-0.6108652381980153</c:v>
                </c:pt>
                <c:pt idx="12">
                  <c:v>-0.43633231299858244</c:v>
                </c:pt>
                <c:pt idx="13">
                  <c:v>-0.26179938779914946</c:v>
                </c:pt>
                <c:pt idx="14">
                  <c:v>-8.7266462599716488E-2</c:v>
                </c:pt>
                <c:pt idx="15">
                  <c:v>8.7266462599716377E-2</c:v>
                </c:pt>
                <c:pt idx="16">
                  <c:v>0.26179938779914935</c:v>
                </c:pt>
                <c:pt idx="17">
                  <c:v>0.43633231299858233</c:v>
                </c:pt>
                <c:pt idx="18">
                  <c:v>0.6108652381980153</c:v>
                </c:pt>
              </c:numCache>
            </c:numRef>
          </c:xVal>
          <c:yVal>
            <c:numRef>
              <c:f>Polarização!$M$4:$M$22</c:f>
              <c:numCache>
                <c:formatCode>0.000</c:formatCode>
                <c:ptCount val="19"/>
                <c:pt idx="0">
                  <c:v>0.52068965517241383</c:v>
                </c:pt>
                <c:pt idx="1">
                  <c:v>0.34827586206896549</c:v>
                </c:pt>
                <c:pt idx="2">
                  <c:v>0.19827586206896552</c:v>
                </c:pt>
                <c:pt idx="3">
                  <c:v>9.1724137931034483E-2</c:v>
                </c:pt>
                <c:pt idx="4">
                  <c:v>3.4482758620689655E-2</c:v>
                </c:pt>
                <c:pt idx="5">
                  <c:v>2.9655172413793104E-2</c:v>
                </c:pt>
                <c:pt idx="6">
                  <c:v>8.2758620689655171E-2</c:v>
                </c:pt>
                <c:pt idx="7">
                  <c:v>0.19137931034482758</c:v>
                </c:pt>
                <c:pt idx="8">
                  <c:v>0.3413793103448276</c:v>
                </c:pt>
                <c:pt idx="9">
                  <c:v>0.5</c:v>
                </c:pt>
                <c:pt idx="10">
                  <c:v>0.65517241379310343</c:v>
                </c:pt>
                <c:pt idx="11">
                  <c:v>0.79999999999999993</c:v>
                </c:pt>
                <c:pt idx="12">
                  <c:v>0.90344827586206899</c:v>
                </c:pt>
                <c:pt idx="13">
                  <c:v>0.98620689655172422</c:v>
                </c:pt>
                <c:pt idx="14">
                  <c:v>1</c:v>
                </c:pt>
                <c:pt idx="15">
                  <c:v>0.94482758620689655</c:v>
                </c:pt>
                <c:pt idx="16">
                  <c:v>0.81379310344827593</c:v>
                </c:pt>
                <c:pt idx="17">
                  <c:v>0.67586206896551726</c:v>
                </c:pt>
                <c:pt idx="18">
                  <c:v>0.48965517241379308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E7-4B6C-9914-6145C7FE0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5"/>
        <c:crossBetween val="midCat"/>
      </c:valAx>
    </c:plotArea>
    <c:legend>
      <c:legendPos val="r"/>
      <c:layout>
        <c:manualLayout>
          <c:xMode val="edge"/>
          <c:yMode val="edge"/>
          <c:x val="0.1564182485488069"/>
          <c:y val="0.17614687404328344"/>
          <c:w val="0.30697182561723352"/>
          <c:h val="0.2011411606938808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900"/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Teórico e Experimental</a:t>
            </a:r>
            <a:r>
              <a:rPr lang="pt-PT" baseline="0"/>
              <a:t> com correção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40169460145284"/>
          <c:y val="0.17171296296296296"/>
          <c:w val="0.82069374108319448"/>
          <c:h val="0.63401246719160109"/>
        </c:manualLayout>
      </c:layout>
      <c:scatterChart>
        <c:scatterStyle val="lineMarker"/>
        <c:varyColors val="0"/>
        <c:ser>
          <c:idx val="1"/>
          <c:order val="0"/>
          <c:tx>
            <c:v>Valores Teóricos</c:v>
          </c:tx>
          <c:marker>
            <c:symbol val="circle"/>
            <c:size val="5"/>
          </c:marker>
          <c:xVal>
            <c:numRef>
              <c:f>Polarização!$K$4:$K$22</c:f>
              <c:numCache>
                <c:formatCode>General</c:formatCode>
                <c:ptCount val="19"/>
                <c:pt idx="0">
                  <c:v>-2.3911010752322315</c:v>
                </c:pt>
                <c:pt idx="1">
                  <c:v>-2.2165681500327983</c:v>
                </c:pt>
                <c:pt idx="2">
                  <c:v>-2.0420352248333655</c:v>
                </c:pt>
                <c:pt idx="3">
                  <c:v>-1.8675022996339325</c:v>
                </c:pt>
                <c:pt idx="4">
                  <c:v>-1.6929693744344996</c:v>
                </c:pt>
                <c:pt idx="5">
                  <c:v>-1.5184364492350668</c:v>
                </c:pt>
                <c:pt idx="6">
                  <c:v>-1.3439035240356336</c:v>
                </c:pt>
                <c:pt idx="7">
                  <c:v>-1.1693705988362009</c:v>
                </c:pt>
                <c:pt idx="8">
                  <c:v>-0.99483767363676789</c:v>
                </c:pt>
                <c:pt idx="9">
                  <c:v>-0.82030474843733492</c:v>
                </c:pt>
                <c:pt idx="10">
                  <c:v>-0.64577182323790194</c:v>
                </c:pt>
                <c:pt idx="11">
                  <c:v>-0.47123889803846902</c:v>
                </c:pt>
                <c:pt idx="12">
                  <c:v>-0.2967059728390361</c:v>
                </c:pt>
                <c:pt idx="13">
                  <c:v>-0.12217304763960313</c:v>
                </c:pt>
                <c:pt idx="14">
                  <c:v>5.2359877559829848E-2</c:v>
                </c:pt>
                <c:pt idx="15">
                  <c:v>0.22689280275926271</c:v>
                </c:pt>
                <c:pt idx="16">
                  <c:v>0.40142572795869569</c:v>
                </c:pt>
                <c:pt idx="17">
                  <c:v>0.57595865315812866</c:v>
                </c:pt>
                <c:pt idx="18">
                  <c:v>0.75049157835756164</c:v>
                </c:pt>
              </c:numCache>
            </c:numRef>
          </c:xVal>
          <c:yVal>
            <c:numRef>
              <c:f>Polarização!$O$4:$O$22</c:f>
              <c:numCache>
                <c:formatCode>0.000</c:formatCode>
                <c:ptCount val="19"/>
                <c:pt idx="0">
                  <c:v>0.5348782368720626</c:v>
                </c:pt>
                <c:pt idx="1">
                  <c:v>0.36218132209150011</c:v>
                </c:pt>
                <c:pt idx="2">
                  <c:v>0.2061073738537634</c:v>
                </c:pt>
                <c:pt idx="3">
                  <c:v>8.5481213722479119E-2</c:v>
                </c:pt>
                <c:pt idx="4">
                  <c:v>1.4852136862001736E-2</c:v>
                </c:pt>
                <c:pt idx="5">
                  <c:v>2.7390523158633221E-3</c:v>
                </c:pt>
                <c:pt idx="6">
                  <c:v>5.0602976850416571E-2</c:v>
                </c:pt>
                <c:pt idx="7">
                  <c:v>0.15267081477050132</c:v>
                </c:pt>
                <c:pt idx="8">
                  <c:v>0.29663167846209992</c:v>
                </c:pt>
                <c:pt idx="9">
                  <c:v>0.46512176312793729</c:v>
                </c:pt>
                <c:pt idx="10">
                  <c:v>0.63781867790849955</c:v>
                </c:pt>
                <c:pt idx="11">
                  <c:v>0.79389262614623668</c:v>
                </c:pt>
                <c:pt idx="12">
                  <c:v>0.91451878627752081</c:v>
                </c:pt>
                <c:pt idx="13">
                  <c:v>0.98514786313799818</c:v>
                </c:pt>
                <c:pt idx="14">
                  <c:v>0.99726094768413653</c:v>
                </c:pt>
                <c:pt idx="15">
                  <c:v>0.94939702314958352</c:v>
                </c:pt>
                <c:pt idx="16">
                  <c:v>0.84732918522949874</c:v>
                </c:pt>
                <c:pt idx="17">
                  <c:v>0.70336832153790019</c:v>
                </c:pt>
                <c:pt idx="18">
                  <c:v>0.53487823687206282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B6-4C07-A133-F1C584541EF3}"/>
            </c:ext>
          </c:extLst>
        </c:ser>
        <c:ser>
          <c:idx val="0"/>
          <c:order val="1"/>
          <c:tx>
            <c:v>Valores Experimentais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Polarização!$K$4:$K$22</c:f>
              <c:numCache>
                <c:formatCode>General</c:formatCode>
                <c:ptCount val="19"/>
                <c:pt idx="0">
                  <c:v>-2.3911010752322315</c:v>
                </c:pt>
                <c:pt idx="1">
                  <c:v>-2.2165681500327983</c:v>
                </c:pt>
                <c:pt idx="2">
                  <c:v>-2.0420352248333655</c:v>
                </c:pt>
                <c:pt idx="3">
                  <c:v>-1.8675022996339325</c:v>
                </c:pt>
                <c:pt idx="4">
                  <c:v>-1.6929693744344996</c:v>
                </c:pt>
                <c:pt idx="5">
                  <c:v>-1.5184364492350668</c:v>
                </c:pt>
                <c:pt idx="6">
                  <c:v>-1.3439035240356336</c:v>
                </c:pt>
                <c:pt idx="7">
                  <c:v>-1.1693705988362009</c:v>
                </c:pt>
                <c:pt idx="8">
                  <c:v>-0.99483767363676789</c:v>
                </c:pt>
                <c:pt idx="9">
                  <c:v>-0.82030474843733492</c:v>
                </c:pt>
                <c:pt idx="10">
                  <c:v>-0.64577182323790194</c:v>
                </c:pt>
                <c:pt idx="11">
                  <c:v>-0.47123889803846902</c:v>
                </c:pt>
                <c:pt idx="12">
                  <c:v>-0.2967059728390361</c:v>
                </c:pt>
                <c:pt idx="13">
                  <c:v>-0.12217304763960313</c:v>
                </c:pt>
                <c:pt idx="14">
                  <c:v>5.2359877559829848E-2</c:v>
                </c:pt>
                <c:pt idx="15">
                  <c:v>0.22689280275926271</c:v>
                </c:pt>
                <c:pt idx="16">
                  <c:v>0.40142572795869569</c:v>
                </c:pt>
                <c:pt idx="17">
                  <c:v>0.57595865315812866</c:v>
                </c:pt>
                <c:pt idx="18">
                  <c:v>0.75049157835756164</c:v>
                </c:pt>
              </c:numCache>
            </c:numRef>
          </c:xVal>
          <c:yVal>
            <c:numRef>
              <c:f>Polarização!$M$4:$M$22</c:f>
              <c:numCache>
                <c:formatCode>0.000</c:formatCode>
                <c:ptCount val="19"/>
                <c:pt idx="0">
                  <c:v>0.52068965517241383</c:v>
                </c:pt>
                <c:pt idx="1">
                  <c:v>0.34827586206896549</c:v>
                </c:pt>
                <c:pt idx="2">
                  <c:v>0.19827586206896552</c:v>
                </c:pt>
                <c:pt idx="3">
                  <c:v>9.1724137931034483E-2</c:v>
                </c:pt>
                <c:pt idx="4">
                  <c:v>3.4482758620689655E-2</c:v>
                </c:pt>
                <c:pt idx="5">
                  <c:v>2.9655172413793104E-2</c:v>
                </c:pt>
                <c:pt idx="6">
                  <c:v>8.2758620689655171E-2</c:v>
                </c:pt>
                <c:pt idx="7">
                  <c:v>0.19137931034482758</c:v>
                </c:pt>
                <c:pt idx="8">
                  <c:v>0.3413793103448276</c:v>
                </c:pt>
                <c:pt idx="9">
                  <c:v>0.5</c:v>
                </c:pt>
                <c:pt idx="10">
                  <c:v>0.65517241379310343</c:v>
                </c:pt>
                <c:pt idx="11">
                  <c:v>0.79999999999999993</c:v>
                </c:pt>
                <c:pt idx="12">
                  <c:v>0.90344827586206899</c:v>
                </c:pt>
                <c:pt idx="13">
                  <c:v>0.98620689655172422</c:v>
                </c:pt>
                <c:pt idx="14">
                  <c:v>1</c:v>
                </c:pt>
                <c:pt idx="15">
                  <c:v>0.94482758620689655</c:v>
                </c:pt>
                <c:pt idx="16">
                  <c:v>0.81379310344827593</c:v>
                </c:pt>
                <c:pt idx="17">
                  <c:v>0.67586206896551726</c:v>
                </c:pt>
                <c:pt idx="18">
                  <c:v>0.48965517241379308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B6-4C07-A133-F1C584541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VPP/VPPmax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5"/>
        <c:crossBetween val="midCat"/>
      </c:valAx>
    </c:plotArea>
    <c:legend>
      <c:legendPos val="r"/>
      <c:layout>
        <c:manualLayout>
          <c:xMode val="edge"/>
          <c:yMode val="edge"/>
          <c:x val="0.1564182485488069"/>
          <c:y val="0.17614717007844535"/>
          <c:w val="0.3042055738883262"/>
          <c:h val="0.2221963903861971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900"/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Polarizador(-8º)</a:t>
            </a:r>
            <a:r>
              <a:rPr lang="en-US" baseline="0"/>
              <a:t>, Analisador e Lâmina (83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°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VPP / VPPmax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- 83'!$C$4:$C$22</c:f>
              <c:numCache>
                <c:formatCode>General</c:formatCode>
                <c:ptCount val="19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</c:numCache>
            </c:numRef>
          </c:xVal>
          <c:yVal>
            <c:numRef>
              <c:f>'Lâmina - 83'!$H$4:$H$22</c:f>
              <c:numCache>
                <c:formatCode>General</c:formatCode>
                <c:ptCount val="19"/>
                <c:pt idx="0">
                  <c:v>0.85365853658536595</c:v>
                </c:pt>
                <c:pt idx="1">
                  <c:v>0.93902439024390238</c:v>
                </c:pt>
                <c:pt idx="2">
                  <c:v>1</c:v>
                </c:pt>
                <c:pt idx="3">
                  <c:v>0.97560975609756106</c:v>
                </c:pt>
                <c:pt idx="4">
                  <c:v>0.90243902439024404</c:v>
                </c:pt>
                <c:pt idx="5">
                  <c:v>0.78048780487804892</c:v>
                </c:pt>
                <c:pt idx="6">
                  <c:v>0.63414634146341464</c:v>
                </c:pt>
                <c:pt idx="7">
                  <c:v>0.46341463414634154</c:v>
                </c:pt>
                <c:pt idx="8">
                  <c:v>0.31707317073170738</c:v>
                </c:pt>
                <c:pt idx="9">
                  <c:v>0.14634146341463419</c:v>
                </c:pt>
                <c:pt idx="10">
                  <c:v>4.8780487804878044E-2</c:v>
                </c:pt>
                <c:pt idx="11">
                  <c:v>0</c:v>
                </c:pt>
                <c:pt idx="12">
                  <c:v>2.439024390243905E-2</c:v>
                </c:pt>
                <c:pt idx="13">
                  <c:v>9.7560975609756143E-2</c:v>
                </c:pt>
                <c:pt idx="14">
                  <c:v>0.21951219512195128</c:v>
                </c:pt>
                <c:pt idx="15">
                  <c:v>0.3902439024390244</c:v>
                </c:pt>
                <c:pt idx="16">
                  <c:v>0.56097560975609762</c:v>
                </c:pt>
                <c:pt idx="17">
                  <c:v>0.73170731707317083</c:v>
                </c:pt>
                <c:pt idx="18">
                  <c:v>0.87804878048780488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5E-4A35-B8CF-F9BBCF3406CE}"/>
            </c:ext>
          </c:extLst>
        </c:ser>
        <c:ser>
          <c:idx val="1"/>
          <c:order val="1"/>
          <c:tx>
            <c:v>PA / PAmax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'Lâmina - 83'!$C$4:$C$22</c:f>
              <c:numCache>
                <c:formatCode>General</c:formatCode>
                <c:ptCount val="19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</c:numCache>
            </c:numRef>
          </c:xVal>
          <c:yVal>
            <c:numRef>
              <c:f>'Lâmina - 83'!$G$4:$G$22</c:f>
              <c:numCache>
                <c:formatCode>General</c:formatCode>
                <c:ptCount val="19"/>
                <c:pt idx="0">
                  <c:v>0.67364817766693041</c:v>
                </c:pt>
                <c:pt idx="1">
                  <c:v>0.8263518223330697</c:v>
                </c:pt>
                <c:pt idx="2">
                  <c:v>0.93969262078590832</c:v>
                </c:pt>
                <c:pt idx="3">
                  <c:v>1</c:v>
                </c:pt>
                <c:pt idx="4">
                  <c:v>0.99999999999999989</c:v>
                </c:pt>
                <c:pt idx="5">
                  <c:v>0.93969262078590832</c:v>
                </c:pt>
                <c:pt idx="6">
                  <c:v>0.82635182233306959</c:v>
                </c:pt>
                <c:pt idx="7">
                  <c:v>0.67364817766693019</c:v>
                </c:pt>
                <c:pt idx="8">
                  <c:v>0.5</c:v>
                </c:pt>
                <c:pt idx="9">
                  <c:v>0.3263518223330697</c:v>
                </c:pt>
                <c:pt idx="10">
                  <c:v>0.17364817766693028</c:v>
                </c:pt>
                <c:pt idx="11">
                  <c:v>6.0307379214091593E-2</c:v>
                </c:pt>
                <c:pt idx="12">
                  <c:v>0</c:v>
                </c:pt>
                <c:pt idx="13">
                  <c:v>4.4988780615429271E-17</c:v>
                </c:pt>
                <c:pt idx="14">
                  <c:v>6.0307379214091697E-2</c:v>
                </c:pt>
                <c:pt idx="15">
                  <c:v>0.17364817766693044</c:v>
                </c:pt>
                <c:pt idx="16">
                  <c:v>0.3263518223330697</c:v>
                </c:pt>
                <c:pt idx="17">
                  <c:v>0.50000000000000011</c:v>
                </c:pt>
                <c:pt idx="18">
                  <c:v>0.67364817766693019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C4-420E-8AA0-D73C3A3F3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de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</a:t>
                </a:r>
                <a:r>
                  <a:rPr lang="pt-PT" baseline="0"/>
                  <a:t> (Volts)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2.2889842632331903E-2"/>
              <c:y val="0.34779247594050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- 83'!$E$4:$E$22</c:f>
              <c:numCache>
                <c:formatCode>General</c:formatCode>
                <c:ptCount val="19"/>
                <c:pt idx="0">
                  <c:v>1.0749199269867851</c:v>
                </c:pt>
                <c:pt idx="1">
                  <c:v>1.1623265084713676</c:v>
                </c:pt>
                <c:pt idx="2">
                  <c:v>1.2247597809603552</c:v>
                </c:pt>
                <c:pt idx="3">
                  <c:v>1.1997864719647604</c:v>
                </c:pt>
                <c:pt idx="4">
                  <c:v>1.1248665449779753</c:v>
                </c:pt>
                <c:pt idx="5">
                  <c:v>1</c:v>
                </c:pt>
                <c:pt idx="6">
                  <c:v>0.85016014602642953</c:v>
                </c:pt>
                <c:pt idx="7">
                  <c:v>0.67534698305726426</c:v>
                </c:pt>
                <c:pt idx="8">
                  <c:v>0.52550712908369401</c:v>
                </c:pt>
                <c:pt idx="9">
                  <c:v>0.35069396611452863</c:v>
                </c:pt>
                <c:pt idx="10">
                  <c:v>0.25080073013214843</c:v>
                </c:pt>
                <c:pt idx="11">
                  <c:v>0.20085411214095833</c:v>
                </c:pt>
                <c:pt idx="12">
                  <c:v>0.22582742113655338</c:v>
                </c:pt>
                <c:pt idx="13">
                  <c:v>0.30074734812333853</c:v>
                </c:pt>
                <c:pt idx="14">
                  <c:v>0.42561389310131381</c:v>
                </c:pt>
                <c:pt idx="15">
                  <c:v>0.60042705607047908</c:v>
                </c:pt>
                <c:pt idx="16">
                  <c:v>0.77524021903964446</c:v>
                </c:pt>
                <c:pt idx="17">
                  <c:v>0.95005338200880984</c:v>
                </c:pt>
                <c:pt idx="18">
                  <c:v>1.0998932359823801</c:v>
                </c:pt>
              </c:numCache>
            </c:numRef>
          </c:xVal>
          <c:yVal>
            <c:numRef>
              <c:f>'Lâmina - 83'!$G$4:$G$22</c:f>
              <c:numCache>
                <c:formatCode>General</c:formatCode>
                <c:ptCount val="19"/>
                <c:pt idx="0">
                  <c:v>0.67364817766693041</c:v>
                </c:pt>
                <c:pt idx="1">
                  <c:v>0.8263518223330697</c:v>
                </c:pt>
                <c:pt idx="2">
                  <c:v>0.93969262078590832</c:v>
                </c:pt>
                <c:pt idx="3">
                  <c:v>1</c:v>
                </c:pt>
                <c:pt idx="4">
                  <c:v>0.99999999999999989</c:v>
                </c:pt>
                <c:pt idx="5">
                  <c:v>0.93969262078590832</c:v>
                </c:pt>
                <c:pt idx="6">
                  <c:v>0.82635182233306959</c:v>
                </c:pt>
                <c:pt idx="7">
                  <c:v>0.67364817766693019</c:v>
                </c:pt>
                <c:pt idx="8">
                  <c:v>0.5</c:v>
                </c:pt>
                <c:pt idx="9">
                  <c:v>0.3263518223330697</c:v>
                </c:pt>
                <c:pt idx="10">
                  <c:v>0.17364817766693028</c:v>
                </c:pt>
                <c:pt idx="11">
                  <c:v>6.0307379214091593E-2</c:v>
                </c:pt>
                <c:pt idx="12">
                  <c:v>0</c:v>
                </c:pt>
                <c:pt idx="13">
                  <c:v>4.4988780615429271E-17</c:v>
                </c:pt>
                <c:pt idx="14">
                  <c:v>6.0307379214091697E-2</c:v>
                </c:pt>
                <c:pt idx="15">
                  <c:v>0.17364817766693044</c:v>
                </c:pt>
                <c:pt idx="16">
                  <c:v>0.3263518223330697</c:v>
                </c:pt>
                <c:pt idx="17">
                  <c:v>0.50000000000000011</c:v>
                </c:pt>
                <c:pt idx="18">
                  <c:v>0.67364817766693019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7B-4C1C-8937-91CB2AEB1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VPP-vppmedio/deltavpp (s.u.)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7594275819257043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At val="-10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 </a:t>
                </a:r>
                <a:r>
                  <a:rPr lang="pt-PT" baseline="0"/>
                  <a:t> - pa med / deltavpp</a:t>
                </a:r>
              </a:p>
              <a:p>
                <a:pPr>
                  <a:defRPr/>
                </a:pPr>
                <a:r>
                  <a:rPr lang="pt-PT" baseline="0"/>
                  <a:t>(s.u.)</a:t>
                </a:r>
                <a:endParaRPr lang="pt-PT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- 83'!$H$4:$H$22</c:f>
              <c:numCache>
                <c:formatCode>General</c:formatCode>
                <c:ptCount val="19"/>
                <c:pt idx="0">
                  <c:v>0.85365853658536595</c:v>
                </c:pt>
                <c:pt idx="1">
                  <c:v>0.93902439024390238</c:v>
                </c:pt>
                <c:pt idx="2">
                  <c:v>1</c:v>
                </c:pt>
                <c:pt idx="3">
                  <c:v>0.97560975609756106</c:v>
                </c:pt>
                <c:pt idx="4">
                  <c:v>0.90243902439024404</c:v>
                </c:pt>
                <c:pt idx="5">
                  <c:v>0.78048780487804892</c:v>
                </c:pt>
                <c:pt idx="6">
                  <c:v>0.63414634146341464</c:v>
                </c:pt>
                <c:pt idx="7">
                  <c:v>0.46341463414634154</c:v>
                </c:pt>
                <c:pt idx="8">
                  <c:v>0.31707317073170738</c:v>
                </c:pt>
                <c:pt idx="9">
                  <c:v>0.14634146341463419</c:v>
                </c:pt>
                <c:pt idx="10">
                  <c:v>4.8780487804878044E-2</c:v>
                </c:pt>
                <c:pt idx="11">
                  <c:v>0</c:v>
                </c:pt>
                <c:pt idx="12">
                  <c:v>2.439024390243905E-2</c:v>
                </c:pt>
                <c:pt idx="13">
                  <c:v>9.7560975609756143E-2</c:v>
                </c:pt>
                <c:pt idx="14">
                  <c:v>0.21951219512195128</c:v>
                </c:pt>
                <c:pt idx="15">
                  <c:v>0.3902439024390244</c:v>
                </c:pt>
                <c:pt idx="16">
                  <c:v>0.56097560975609762</c:v>
                </c:pt>
                <c:pt idx="17">
                  <c:v>0.73170731707317083</c:v>
                </c:pt>
                <c:pt idx="18">
                  <c:v>0.87804878048780488</c:v>
                </c:pt>
              </c:numCache>
            </c:numRef>
          </c:xVal>
          <c:yVal>
            <c:numRef>
              <c:f>'Lâmina - 83'!$G$4:$G$22</c:f>
              <c:numCache>
                <c:formatCode>General</c:formatCode>
                <c:ptCount val="19"/>
                <c:pt idx="0">
                  <c:v>0.67364817766693041</c:v>
                </c:pt>
                <c:pt idx="1">
                  <c:v>0.8263518223330697</c:v>
                </c:pt>
                <c:pt idx="2">
                  <c:v>0.93969262078590832</c:v>
                </c:pt>
                <c:pt idx="3">
                  <c:v>1</c:v>
                </c:pt>
                <c:pt idx="4">
                  <c:v>0.99999999999999989</c:v>
                </c:pt>
                <c:pt idx="5">
                  <c:v>0.93969262078590832</c:v>
                </c:pt>
                <c:pt idx="6">
                  <c:v>0.82635182233306959</c:v>
                </c:pt>
                <c:pt idx="7">
                  <c:v>0.67364817766693019</c:v>
                </c:pt>
                <c:pt idx="8">
                  <c:v>0.5</c:v>
                </c:pt>
                <c:pt idx="9">
                  <c:v>0.3263518223330697</c:v>
                </c:pt>
                <c:pt idx="10">
                  <c:v>0.17364817766693028</c:v>
                </c:pt>
                <c:pt idx="11">
                  <c:v>6.0307379214091593E-2</c:v>
                </c:pt>
                <c:pt idx="12">
                  <c:v>0</c:v>
                </c:pt>
                <c:pt idx="13">
                  <c:v>4.4988780615429271E-17</c:v>
                </c:pt>
                <c:pt idx="14">
                  <c:v>6.0307379214091697E-2</c:v>
                </c:pt>
                <c:pt idx="15">
                  <c:v>0.17364817766693044</c:v>
                </c:pt>
                <c:pt idx="16">
                  <c:v>0.3263518223330697</c:v>
                </c:pt>
                <c:pt idx="17">
                  <c:v>0.50000000000000011</c:v>
                </c:pt>
                <c:pt idx="18">
                  <c:v>0.67364817766693019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87-44BD-89D4-0F7FA0ECC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VPP-vppmedio/deltavpp (s.u.)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7594275819257043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At val="-10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 </a:t>
                </a:r>
                <a:r>
                  <a:rPr lang="pt-PT" baseline="0"/>
                  <a:t> - pa med / deltavpp</a:t>
                </a:r>
              </a:p>
              <a:p>
                <a:pPr>
                  <a:defRPr/>
                </a:pPr>
                <a:r>
                  <a:rPr lang="pt-PT" baseline="0"/>
                  <a:t>(s.u.)</a:t>
                </a:r>
                <a:endParaRPr lang="pt-PT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1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</a:t>
            </a:r>
            <a:r>
              <a:rPr lang="pt-PT" baseline="0"/>
              <a:t> de atraso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1598741359001"/>
          <c:y val="0.16484444444444443"/>
          <c:w val="0.79973815791662772"/>
          <c:h val="0.6644741907261591"/>
        </c:manualLayout>
      </c:layout>
      <c:scatterChart>
        <c:scatterStyle val="lineMarker"/>
        <c:varyColors val="0"/>
        <c:ser>
          <c:idx val="0"/>
          <c:order val="0"/>
          <c:tx>
            <c:v>ajuste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Luz!$B$3:$B$11</c:f>
              <c:numCache>
                <c:formatCode>0.00</c:formatCode>
                <c:ptCount val="9"/>
                <c:pt idx="0">
                  <c:v>0.08</c:v>
                </c:pt>
                <c:pt idx="1">
                  <c:v>0.28000000000000003</c:v>
                </c:pt>
                <c:pt idx="2">
                  <c:v>0.47</c:v>
                </c:pt>
                <c:pt idx="3">
                  <c:v>0.68</c:v>
                </c:pt>
                <c:pt idx="4">
                  <c:v>0.87</c:v>
                </c:pt>
                <c:pt idx="5">
                  <c:v>1.075</c:v>
                </c:pt>
                <c:pt idx="6">
                  <c:v>1.2749999999999999</c:v>
                </c:pt>
                <c:pt idx="7">
                  <c:v>1.4750000000000001</c:v>
                </c:pt>
                <c:pt idx="8">
                  <c:v>1.62</c:v>
                </c:pt>
              </c:numCache>
            </c:numRef>
          </c:xVal>
          <c:yVal>
            <c:numRef>
              <c:f>Luz!$F$3:$F$11</c:f>
              <c:numCache>
                <c:formatCode>General</c:formatCode>
                <c:ptCount val="9"/>
                <c:pt idx="0">
                  <c:v>3.5015524091894996E-8</c:v>
                </c:pt>
                <c:pt idx="1">
                  <c:v>4.2530012038107016E-7</c:v>
                </c:pt>
                <c:pt idx="2">
                  <c:v>7.9607048685578637E-7</c:v>
                </c:pt>
                <c:pt idx="3">
                  <c:v>1.2058693129594205E-6</c:v>
                </c:pt>
                <c:pt idx="4">
                  <c:v>1.5766396794341367E-6</c:v>
                </c:pt>
                <c:pt idx="5">
                  <c:v>1.9766813906305412E-6</c:v>
                </c:pt>
                <c:pt idx="6">
                  <c:v>2.3669659869197164E-6</c:v>
                </c:pt>
                <c:pt idx="7">
                  <c:v>2.7572505832088917E-6</c:v>
                </c:pt>
                <c:pt idx="8">
                  <c:v>3.0402069155185433E-6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1-4495-92B0-6D7DED1EC39F}"/>
            </c:ext>
          </c:extLst>
        </c:ser>
        <c:ser>
          <c:idx val="1"/>
          <c:order val="1"/>
          <c:tx>
            <c:v>grafico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Luz!$B$3:$B$11</c:f>
              <c:numCache>
                <c:formatCode>0.00</c:formatCode>
                <c:ptCount val="9"/>
                <c:pt idx="0">
                  <c:v>0.08</c:v>
                </c:pt>
                <c:pt idx="1">
                  <c:v>0.28000000000000003</c:v>
                </c:pt>
                <c:pt idx="2">
                  <c:v>0.47</c:v>
                </c:pt>
                <c:pt idx="3">
                  <c:v>0.68</c:v>
                </c:pt>
                <c:pt idx="4">
                  <c:v>0.87</c:v>
                </c:pt>
                <c:pt idx="5">
                  <c:v>1.075</c:v>
                </c:pt>
                <c:pt idx="6">
                  <c:v>1.2749999999999999</c:v>
                </c:pt>
                <c:pt idx="7">
                  <c:v>1.4750000000000001</c:v>
                </c:pt>
                <c:pt idx="8">
                  <c:v>1.62</c:v>
                </c:pt>
              </c:numCache>
            </c:numRef>
          </c:xVal>
          <c:yVal>
            <c:numRef>
              <c:f>Luz!$C$3:$C$11</c:f>
              <c:numCache>
                <c:formatCode>0.00E+00</c:formatCode>
                <c:ptCount val="9"/>
                <c:pt idx="0">
                  <c:v>5.9999999999999995E-8</c:v>
                </c:pt>
                <c:pt idx="1">
                  <c:v>4.7999999999999996E-7</c:v>
                </c:pt>
                <c:pt idx="2">
                  <c:v>7.1999999999999999E-7</c:v>
                </c:pt>
                <c:pt idx="3">
                  <c:v>1.1599999999999999E-6</c:v>
                </c:pt>
                <c:pt idx="4">
                  <c:v>1.5400000000000001E-6</c:v>
                </c:pt>
                <c:pt idx="5">
                  <c:v>2.0600000000000002E-6</c:v>
                </c:pt>
                <c:pt idx="6">
                  <c:v>2.3599999999999999E-6</c:v>
                </c:pt>
                <c:pt idx="7">
                  <c:v>2.7800000000000001E-6</c:v>
                </c:pt>
                <c:pt idx="8">
                  <c:v>3.0199999999999999E-6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D1-4495-92B0-6D7DED1EC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8000"/>
        <c:crosses val="autoZero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t-PT"/>
                  <a:t>t osc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8334854065988"/>
          <c:y val="0.64297707786526681"/>
          <c:w val="0.15642283844954163"/>
          <c:h val="0.15090648880157587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Luz!$B$3:$B$11</c:f>
              <c:numCache>
                <c:formatCode>0.00</c:formatCode>
                <c:ptCount val="9"/>
                <c:pt idx="0">
                  <c:v>0.08</c:v>
                </c:pt>
                <c:pt idx="1">
                  <c:v>0.28000000000000003</c:v>
                </c:pt>
                <c:pt idx="2">
                  <c:v>0.47</c:v>
                </c:pt>
                <c:pt idx="3">
                  <c:v>0.68</c:v>
                </c:pt>
                <c:pt idx="4">
                  <c:v>0.87</c:v>
                </c:pt>
                <c:pt idx="5">
                  <c:v>1.075</c:v>
                </c:pt>
                <c:pt idx="6">
                  <c:v>1.2749999999999999</c:v>
                </c:pt>
                <c:pt idx="7">
                  <c:v>1.4750000000000001</c:v>
                </c:pt>
                <c:pt idx="8">
                  <c:v>1.62</c:v>
                </c:pt>
              </c:numCache>
            </c:numRef>
          </c:xVal>
          <c:yVal>
            <c:numRef>
              <c:f>Luz!$G$3:$G$11</c:f>
              <c:numCache>
                <c:formatCode>General</c:formatCode>
                <c:ptCount val="9"/>
                <c:pt idx="0" formatCode="0.00E+00">
                  <c:v>2.4984475908104999E-8</c:v>
                </c:pt>
                <c:pt idx="1">
                  <c:v>5.4699879618929798E-8</c:v>
                </c:pt>
                <c:pt idx="2">
                  <c:v>-7.6070486855786379E-8</c:v>
                </c:pt>
                <c:pt idx="3">
                  <c:v>-4.586931295942058E-8</c:v>
                </c:pt>
                <c:pt idx="4">
                  <c:v>-3.6639679434136615E-8</c:v>
                </c:pt>
                <c:pt idx="5">
                  <c:v>8.3318609369459007E-8</c:v>
                </c:pt>
                <c:pt idx="6">
                  <c:v>-6.9659869197165928E-9</c:v>
                </c:pt>
                <c:pt idx="7">
                  <c:v>2.2749416791108352E-8</c:v>
                </c:pt>
                <c:pt idx="8">
                  <c:v>-2.0206915518543432E-8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A0-4125-ABAF-D95F7A10C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8000"/>
        <c:crossesAt val="-1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 </a:t>
                </a:r>
                <a:r>
                  <a:rPr lang="pt-PT"/>
                  <a:t>(s)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67871988104492"/>
          <c:y val="0.16484444444444443"/>
          <c:w val="0.83465828574003342"/>
          <c:h val="0.67336307961504815"/>
        </c:manualLayout>
      </c:layout>
      <c:scatterChart>
        <c:scatterStyle val="lineMarker"/>
        <c:varyColors val="0"/>
        <c:ser>
          <c:idx val="0"/>
          <c:order val="0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Luz!$B$3:$B$11</c:f>
              <c:numCache>
                <c:formatCode>0.00</c:formatCode>
                <c:ptCount val="9"/>
                <c:pt idx="0">
                  <c:v>0.08</c:v>
                </c:pt>
                <c:pt idx="1">
                  <c:v>0.28000000000000003</c:v>
                </c:pt>
                <c:pt idx="2">
                  <c:v>0.47</c:v>
                </c:pt>
                <c:pt idx="3">
                  <c:v>0.68</c:v>
                </c:pt>
                <c:pt idx="4">
                  <c:v>0.87</c:v>
                </c:pt>
                <c:pt idx="5">
                  <c:v>1.075</c:v>
                </c:pt>
                <c:pt idx="6">
                  <c:v>1.2749999999999999</c:v>
                </c:pt>
                <c:pt idx="7">
                  <c:v>1.4750000000000001</c:v>
                </c:pt>
                <c:pt idx="8">
                  <c:v>1.62</c:v>
                </c:pt>
              </c:numCache>
            </c:numRef>
          </c:xVal>
          <c:yVal>
            <c:numRef>
              <c:f>Luz!$D$24:$D$34</c:f>
              <c:numCache>
                <c:formatCode>General</c:formatCode>
                <c:ptCount val="11"/>
                <c:pt idx="0">
                  <c:v>5.6651752280364871</c:v>
                </c:pt>
                <c:pt idx="1">
                  <c:v>19.828113298127708</c:v>
                </c:pt>
                <c:pt idx="2">
                  <c:v>33.282904464714363</c:v>
                </c:pt>
                <c:pt idx="3">
                  <c:v>48.153989438310141</c:v>
                </c:pt>
                <c:pt idx="4">
                  <c:v>61.608780604896801</c:v>
                </c:pt>
                <c:pt idx="5">
                  <c:v>76.125792126740293</c:v>
                </c:pt>
                <c:pt idx="6">
                  <c:v>90.288730196831509</c:v>
                </c:pt>
                <c:pt idx="7">
                  <c:v>104.45166826692274</c:v>
                </c:pt>
                <c:pt idx="8">
                  <c:v>114.71979836773887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F5-4187-9733-893DDD845D0E}"/>
            </c:ext>
          </c:extLst>
        </c:ser>
        <c:ser>
          <c:idx val="1"/>
          <c:order val="1"/>
          <c:tx>
            <c:v>Valores Experimentais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Luz!$B$3:$B$11</c:f>
              <c:numCache>
                <c:formatCode>0.00</c:formatCode>
                <c:ptCount val="9"/>
                <c:pt idx="0">
                  <c:v>0.08</c:v>
                </c:pt>
                <c:pt idx="1">
                  <c:v>0.28000000000000003</c:v>
                </c:pt>
                <c:pt idx="2">
                  <c:v>0.47</c:v>
                </c:pt>
                <c:pt idx="3">
                  <c:v>0.68</c:v>
                </c:pt>
                <c:pt idx="4">
                  <c:v>0.87</c:v>
                </c:pt>
                <c:pt idx="5">
                  <c:v>1.075</c:v>
                </c:pt>
                <c:pt idx="6">
                  <c:v>1.2749999999999999</c:v>
                </c:pt>
                <c:pt idx="7">
                  <c:v>1.4750000000000001</c:v>
                </c:pt>
                <c:pt idx="8">
                  <c:v>1.62</c:v>
                </c:pt>
              </c:numCache>
            </c:numRef>
          </c:xVal>
          <c:yVal>
            <c:numRef>
              <c:f>Luz!$D$3:$D$11</c:f>
              <c:numCache>
                <c:formatCode>General</c:formatCode>
                <c:ptCount val="9"/>
                <c:pt idx="0">
                  <c:v>2.17</c:v>
                </c:pt>
                <c:pt idx="1">
                  <c:v>16.7</c:v>
                </c:pt>
                <c:pt idx="2">
                  <c:v>27</c:v>
                </c:pt>
                <c:pt idx="3">
                  <c:v>44.5</c:v>
                </c:pt>
                <c:pt idx="4">
                  <c:v>56.7</c:v>
                </c:pt>
                <c:pt idx="5">
                  <c:v>70.099999999999994</c:v>
                </c:pt>
                <c:pt idx="6">
                  <c:v>86.5</c:v>
                </c:pt>
                <c:pt idx="7">
                  <c:v>102</c:v>
                </c:pt>
                <c:pt idx="8">
                  <c:v>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F5-4187-9733-893DDD845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8000"/>
        <c:crosses val="autoZero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Fase (graus)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791073862548297"/>
          <c:y val="0.6740881889763779"/>
          <c:w val="0.31772588512272876"/>
          <c:h val="0.15000104986876642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Luz!$B$3:$B$11</c:f>
              <c:numCache>
                <c:formatCode>0.00</c:formatCode>
                <c:ptCount val="9"/>
                <c:pt idx="0">
                  <c:v>0.08</c:v>
                </c:pt>
                <c:pt idx="1">
                  <c:v>0.28000000000000003</c:v>
                </c:pt>
                <c:pt idx="2">
                  <c:v>0.47</c:v>
                </c:pt>
                <c:pt idx="3">
                  <c:v>0.68</c:v>
                </c:pt>
                <c:pt idx="4">
                  <c:v>0.87</c:v>
                </c:pt>
                <c:pt idx="5">
                  <c:v>1.075</c:v>
                </c:pt>
                <c:pt idx="6">
                  <c:v>1.2749999999999999</c:v>
                </c:pt>
                <c:pt idx="7">
                  <c:v>1.4750000000000001</c:v>
                </c:pt>
                <c:pt idx="8">
                  <c:v>1.62</c:v>
                </c:pt>
              </c:numCache>
            </c:numRef>
          </c:xVal>
          <c:yVal>
            <c:numRef>
              <c:f>Luz!$H$3:$H$11</c:f>
              <c:numCache>
                <c:formatCode>General</c:formatCode>
                <c:ptCount val="9"/>
                <c:pt idx="0">
                  <c:v>-3.4951752280364872</c:v>
                </c:pt>
                <c:pt idx="1">
                  <c:v>-3.1281132981277082</c:v>
                </c:pt>
                <c:pt idx="2">
                  <c:v>-6.2829044647143633</c:v>
                </c:pt>
                <c:pt idx="3">
                  <c:v>-3.6539894383101412</c:v>
                </c:pt>
                <c:pt idx="4">
                  <c:v>-4.9087806048967977</c:v>
                </c:pt>
                <c:pt idx="5">
                  <c:v>-6.0257921267402992</c:v>
                </c:pt>
                <c:pt idx="6">
                  <c:v>-3.7887301968315086</c:v>
                </c:pt>
                <c:pt idx="7">
                  <c:v>-2.4516682669227379</c:v>
                </c:pt>
                <c:pt idx="8">
                  <c:v>-4.7197983677388748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C1-4B51-9AC7-2F678E14F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8000"/>
        <c:crossesAt val="-10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Resíduos </a:t>
                </a:r>
                <a:r>
                  <a:rPr lang="pt-PT"/>
                  <a:t>(graus)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image" Target="../media/image2.png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340001</xdr:colOff>
      <xdr:row>1</xdr:row>
      <xdr:rowOff>113472</xdr:rowOff>
    </xdr:from>
    <xdr:to>
      <xdr:col>24</xdr:col>
      <xdr:colOff>526151</xdr:colOff>
      <xdr:row>16</xdr:row>
      <xdr:rowOff>135972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F75D4-8B7E-5747-6C04-C146F20DC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329565</xdr:colOff>
      <xdr:row>17</xdr:row>
      <xdr:rowOff>32385</xdr:rowOff>
    </xdr:from>
    <xdr:to>
      <xdr:col>25</xdr:col>
      <xdr:colOff>43815</xdr:colOff>
      <xdr:row>32</xdr:row>
      <xdr:rowOff>32385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089FB2-0342-483B-BB6B-1785B2BAB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34</xdr:row>
      <xdr:rowOff>0</xdr:rowOff>
    </xdr:from>
    <xdr:to>
      <xdr:col>25</xdr:col>
      <xdr:colOff>323850</xdr:colOff>
      <xdr:row>49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7D267D-6E42-4BB6-9A65-1E86D9180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51</xdr:row>
      <xdr:rowOff>0</xdr:rowOff>
    </xdr:from>
    <xdr:to>
      <xdr:col>25</xdr:col>
      <xdr:colOff>323850</xdr:colOff>
      <xdr:row>66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10776F-32D8-4A96-8B9D-7DA6257F2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137160</xdr:colOff>
      <xdr:row>2</xdr:row>
      <xdr:rowOff>179070</xdr:rowOff>
    </xdr:from>
    <xdr:to>
      <xdr:col>18</xdr:col>
      <xdr:colOff>441960</xdr:colOff>
      <xdr:row>17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A31B6-8375-B3B0-EA35-0A4134125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131445</xdr:colOff>
      <xdr:row>18</xdr:row>
      <xdr:rowOff>64770</xdr:rowOff>
    </xdr:from>
    <xdr:to>
      <xdr:col>18</xdr:col>
      <xdr:colOff>455295</xdr:colOff>
      <xdr:row>33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EBCBFE-85D0-4549-B9D4-4A54D2C7E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17</xdr:row>
      <xdr:rowOff>0</xdr:rowOff>
    </xdr:from>
    <xdr:to>
      <xdr:col>27</xdr:col>
      <xdr:colOff>323850</xdr:colOff>
      <xdr:row>32</xdr:row>
      <xdr:rowOff>0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C603216A-62D3-49E8-9678-0EA972481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139065</xdr:colOff>
      <xdr:row>7</xdr:row>
      <xdr:rowOff>7620</xdr:rowOff>
    </xdr:from>
    <xdr:to>
      <xdr:col>15</xdr:col>
      <xdr:colOff>474345</xdr:colOff>
      <xdr:row>21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64EBA2-DD31-6361-1BD9-6F2AA50D7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7</xdr:row>
      <xdr:rowOff>0</xdr:rowOff>
    </xdr:from>
    <xdr:to>
      <xdr:col>25</xdr:col>
      <xdr:colOff>144780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ED59E8-BE3E-4B70-9255-5D26F4F83A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441960</xdr:colOff>
      <xdr:row>2</xdr:row>
      <xdr:rowOff>22860</xdr:rowOff>
    </xdr:from>
    <xdr:to>
      <xdr:col>23</xdr:col>
      <xdr:colOff>297342</xdr:colOff>
      <xdr:row>5</xdr:row>
      <xdr:rowOff>38149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D20430-FC2B-C109-CF6C-752AC551F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24460" y="205740"/>
          <a:ext cx="1867062" cy="563929"/>
        </a:xfrm>
        <a:prstGeom prst="rect">
          <a:avLst/>
        </a:prstGeom>
      </xdr:spPr>
    </xdr:pic>
    <xdr:clientData/>
  </xdr:twoCellAnchor>
  <xdr:twoCellAnchor>
    <xdr:from>
      <xdr:col>7</xdr:col>
      <xdr:colOff>527685</xdr:colOff>
      <xdr:row>27</xdr:row>
      <xdr:rowOff>64770</xdr:rowOff>
    </xdr:from>
    <xdr:to>
      <xdr:col>15</xdr:col>
      <xdr:colOff>222885</xdr:colOff>
      <xdr:row>42</xdr:row>
      <xdr:rowOff>64770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55574DCD-B730-49E2-B4ED-4A08D0BD6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23</xdr:row>
      <xdr:rowOff>0</xdr:rowOff>
    </xdr:from>
    <xdr:to>
      <xdr:col>25</xdr:col>
      <xdr:colOff>144780</xdr:colOff>
      <xdr:row>38</xdr:row>
      <xdr:rowOff>0</xdr:rowOff>
    </xdr:to>
    <xdr:graphicFrame macro="">
      <xdr:nvGraphicFramePr>
        <xdr:cNvPr id="9" name="Chart 2">
          <a:extLst>
            <a:ext uri="{FF2B5EF4-FFF2-40B4-BE49-F238E27FC236}">
              <a16:creationId xmlns:a16="http://schemas.microsoft.com/office/drawing/2014/main" id="{77578F83-B316-4D7A-9C17-629D5DA97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31</xdr:col>
      <xdr:colOff>83820</xdr:colOff>
      <xdr:row>2</xdr:row>
      <xdr:rowOff>137160</xdr:rowOff>
    </xdr:from>
    <xdr:to>
      <xdr:col>37</xdr:col>
      <xdr:colOff>366101</xdr:colOff>
      <xdr:row>12</xdr:row>
      <xdr:rowOff>155101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89D294-6981-741C-A26B-5ABD6222F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796760" y="320040"/>
          <a:ext cx="3939881" cy="1859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C681-8152-40A3-AC76-807F44F66683}">
  <dimension ref="B1:AD60"/>
  <sheetViews>
    <sheetView zoomScaleNormal="100" workbookViewId="0">
      <selection activeCell="Q30" sqref="Q30"/>
    </sheetView>
  </sheetViews>
  <sheetFormatPr baseColWidth="10" defaultColWidth="8.83203125" defaultRowHeight="15" x14ac:dyDescent="0.2"/>
  <cols>
    <col min="1" max="12" width="8.83203125" style="1"/>
    <col min="13" max="13" width="9.33203125" style="1" bestFit="1" customWidth="1"/>
    <col min="14" max="14" width="12.1640625" style="1" bestFit="1" customWidth="1"/>
    <col min="15" max="15" width="12.1640625" style="1" customWidth="1"/>
    <col min="16" max="16384" width="8.83203125" style="1"/>
  </cols>
  <sheetData>
    <row r="1" spans="2:17" ht="16" thickBot="1" x14ac:dyDescent="0.25"/>
    <row r="2" spans="2:17" x14ac:dyDescent="0.2">
      <c r="B2" s="36" t="s">
        <v>0</v>
      </c>
      <c r="C2" s="37"/>
      <c r="D2" s="37"/>
      <c r="E2" s="38"/>
      <c r="F2" s="33"/>
      <c r="H2" s="36" t="s">
        <v>4</v>
      </c>
      <c r="I2" s="37"/>
      <c r="J2" s="37"/>
      <c r="K2" s="37"/>
      <c r="L2" s="37"/>
      <c r="M2" s="37"/>
      <c r="N2" s="37"/>
      <c r="O2" s="38"/>
    </row>
    <row r="3" spans="2:17" x14ac:dyDescent="0.2">
      <c r="B3" s="39" t="s">
        <v>3</v>
      </c>
      <c r="C3" s="34" t="s">
        <v>1</v>
      </c>
      <c r="D3" s="30" t="s">
        <v>2</v>
      </c>
      <c r="E3" s="46" t="s">
        <v>30</v>
      </c>
      <c r="F3" s="33" t="s">
        <v>65</v>
      </c>
      <c r="H3" s="39" t="s">
        <v>5</v>
      </c>
      <c r="I3" s="34" t="s">
        <v>6</v>
      </c>
      <c r="J3" s="34" t="s">
        <v>38</v>
      </c>
      <c r="K3" s="35" t="s">
        <v>39</v>
      </c>
      <c r="L3" s="30" t="s">
        <v>2</v>
      </c>
      <c r="M3" s="34" t="s">
        <v>30</v>
      </c>
      <c r="N3" s="34" t="s">
        <v>35</v>
      </c>
      <c r="O3" s="40" t="s">
        <v>40</v>
      </c>
      <c r="P3" s="17" t="s">
        <v>29</v>
      </c>
      <c r="Q3" s="17"/>
    </row>
    <row r="4" spans="2:17" x14ac:dyDescent="0.2">
      <c r="B4" s="41">
        <v>-95</v>
      </c>
      <c r="C4" s="2">
        <f>RADIANS(B4)</f>
        <v>-1.6580627893946132</v>
      </c>
      <c r="D4" s="2">
        <v>76</v>
      </c>
      <c r="E4" s="21">
        <f>D4/D$33</f>
        <v>0.81196581196581197</v>
      </c>
      <c r="F4" s="1">
        <f>(D4-D$16)/(D$33-D$16)</f>
        <v>0.72839506172839519</v>
      </c>
      <c r="G4" s="7"/>
      <c r="H4" s="41">
        <v>-90</v>
      </c>
      <c r="I4" s="2">
        <f t="shared" ref="I4:I22" si="0">RADIANS(H4)</f>
        <v>-1.5707963267948966</v>
      </c>
      <c r="J4" s="2">
        <f>I4-RADIANS(55)</f>
        <v>-2.5307274153917776</v>
      </c>
      <c r="K4" s="2">
        <f>I4-RADIANS(55-8)</f>
        <v>-2.3911010752322315</v>
      </c>
      <c r="L4" s="2">
        <v>30.2</v>
      </c>
      <c r="M4" s="8">
        <f>L4/$L$18</f>
        <v>0.52068965517241383</v>
      </c>
      <c r="N4" s="8">
        <f>COS(J4)^2</f>
        <v>0.67101007166283422</v>
      </c>
      <c r="O4" s="42">
        <f>COS(K4)^2</f>
        <v>0.5348782368720626</v>
      </c>
      <c r="P4" s="17"/>
      <c r="Q4" s="17"/>
    </row>
    <row r="5" spans="2:17" x14ac:dyDescent="0.2">
      <c r="B5" s="41">
        <v>-90</v>
      </c>
      <c r="C5" s="2">
        <f t="shared" ref="C5:C42" si="1">RADIANS(B5)</f>
        <v>-1.5707963267948966</v>
      </c>
      <c r="D5" s="2">
        <v>71.2</v>
      </c>
      <c r="E5" s="21">
        <f t="shared" ref="E5:E42" si="2">D5/D$33</f>
        <v>0.76068376068376076</v>
      </c>
      <c r="F5" s="1">
        <f t="shared" ref="F5:F42" si="3">(D5-D$16)/(D$33-D$16)</f>
        <v>0.65432098765432112</v>
      </c>
      <c r="G5" s="7"/>
      <c r="H5" s="41">
        <v>-80</v>
      </c>
      <c r="I5" s="2">
        <f t="shared" si="0"/>
        <v>-1.3962634015954636</v>
      </c>
      <c r="J5" s="2">
        <f t="shared" ref="J5:J22" si="4">I5-RADIANS(55)</f>
        <v>-2.3561944901923448</v>
      </c>
      <c r="K5" s="2">
        <f t="shared" ref="K5:K22" si="5">I5-RADIANS(55-8)</f>
        <v>-2.2165681500327983</v>
      </c>
      <c r="L5" s="2">
        <v>20.2</v>
      </c>
      <c r="M5" s="8">
        <f t="shared" ref="M5:M22" si="6">L5/$L$18</f>
        <v>0.34827586206896549</v>
      </c>
      <c r="N5" s="8">
        <f t="shared" ref="N5:N22" si="7">COS(J5)^2</f>
        <v>0.49999999999999989</v>
      </c>
      <c r="O5" s="42">
        <f t="shared" ref="O5:O22" si="8">COS(K5)^2</f>
        <v>0.36218132209150011</v>
      </c>
      <c r="P5" s="17"/>
      <c r="Q5" s="17"/>
    </row>
    <row r="6" spans="2:17" x14ac:dyDescent="0.2">
      <c r="B6" s="41">
        <v>-85</v>
      </c>
      <c r="C6" s="2">
        <f t="shared" si="1"/>
        <v>-1.4835298641951802</v>
      </c>
      <c r="D6" s="2">
        <v>65.599999999999994</v>
      </c>
      <c r="E6" s="21">
        <f t="shared" si="2"/>
        <v>0.70085470085470081</v>
      </c>
      <c r="F6" s="1">
        <f t="shared" si="3"/>
        <v>0.5679012345679012</v>
      </c>
      <c r="G6" s="7"/>
      <c r="H6" s="41">
        <v>-70</v>
      </c>
      <c r="I6" s="2">
        <f t="shared" si="0"/>
        <v>-1.2217304763960306</v>
      </c>
      <c r="J6" s="2">
        <f t="shared" si="4"/>
        <v>-2.1816615649929121</v>
      </c>
      <c r="K6" s="2">
        <f t="shared" si="5"/>
        <v>-2.0420352248333655</v>
      </c>
      <c r="L6" s="2">
        <v>11.5</v>
      </c>
      <c r="M6" s="8">
        <f t="shared" si="6"/>
        <v>0.19827586206896552</v>
      </c>
      <c r="N6" s="8">
        <f t="shared" si="7"/>
        <v>0.32898992833716573</v>
      </c>
      <c r="O6" s="42">
        <f t="shared" si="8"/>
        <v>0.2061073738537634</v>
      </c>
      <c r="P6" s="17"/>
      <c r="Q6" s="17"/>
    </row>
    <row r="7" spans="2:17" x14ac:dyDescent="0.2">
      <c r="B7" s="41">
        <v>-80</v>
      </c>
      <c r="C7" s="2">
        <f t="shared" si="1"/>
        <v>-1.3962634015954636</v>
      </c>
      <c r="D7" s="2">
        <v>59.2</v>
      </c>
      <c r="E7" s="21">
        <f t="shared" si="2"/>
        <v>0.63247863247863256</v>
      </c>
      <c r="F7" s="1">
        <f t="shared" si="3"/>
        <v>0.46913580246913583</v>
      </c>
      <c r="G7" s="7"/>
      <c r="H7" s="41">
        <v>-60</v>
      </c>
      <c r="I7" s="2">
        <f t="shared" si="0"/>
        <v>-1.0471975511965976</v>
      </c>
      <c r="J7" s="2">
        <f t="shared" si="4"/>
        <v>-2.0071286397934789</v>
      </c>
      <c r="K7" s="2">
        <f t="shared" si="5"/>
        <v>-1.8675022996339325</v>
      </c>
      <c r="L7" s="2">
        <v>5.32</v>
      </c>
      <c r="M7" s="8">
        <f t="shared" si="6"/>
        <v>9.1724137931034483E-2</v>
      </c>
      <c r="N7" s="8">
        <f t="shared" si="7"/>
        <v>0.17860619515673024</v>
      </c>
      <c r="O7" s="42">
        <f t="shared" si="8"/>
        <v>8.5481213722479119E-2</v>
      </c>
      <c r="P7" s="17"/>
      <c r="Q7" s="17"/>
    </row>
    <row r="8" spans="2:17" x14ac:dyDescent="0.2">
      <c r="B8" s="41">
        <v>-75</v>
      </c>
      <c r="C8" s="2">
        <f t="shared" si="1"/>
        <v>-1.3089969389957472</v>
      </c>
      <c r="D8" s="2">
        <v>54.4</v>
      </c>
      <c r="E8" s="21">
        <f t="shared" si="2"/>
        <v>0.58119658119658124</v>
      </c>
      <c r="F8" s="1">
        <f t="shared" si="3"/>
        <v>0.39506172839506171</v>
      </c>
      <c r="G8" s="7"/>
      <c r="H8" s="41">
        <v>-50</v>
      </c>
      <c r="I8" s="2">
        <f t="shared" si="0"/>
        <v>-0.87266462599716477</v>
      </c>
      <c r="J8" s="2">
        <f t="shared" si="4"/>
        <v>-1.8325957145940461</v>
      </c>
      <c r="K8" s="2">
        <f t="shared" si="5"/>
        <v>-1.6929693744344996</v>
      </c>
      <c r="L8" s="2">
        <v>2</v>
      </c>
      <c r="M8" s="8">
        <f t="shared" si="6"/>
        <v>3.4482758620689655E-2</v>
      </c>
      <c r="N8" s="8">
        <f t="shared" si="7"/>
        <v>6.6987298107780716E-2</v>
      </c>
      <c r="O8" s="42">
        <f t="shared" si="8"/>
        <v>1.4852136862001736E-2</v>
      </c>
    </row>
    <row r="9" spans="2:17" x14ac:dyDescent="0.2">
      <c r="B9" s="41">
        <v>-70</v>
      </c>
      <c r="C9" s="2">
        <f t="shared" si="1"/>
        <v>-1.2217304763960306</v>
      </c>
      <c r="D9" s="2">
        <v>48.8</v>
      </c>
      <c r="E9" s="21">
        <f t="shared" si="2"/>
        <v>0.5213675213675214</v>
      </c>
      <c r="F9" s="1">
        <f t="shared" si="3"/>
        <v>0.30864197530864196</v>
      </c>
      <c r="G9" s="7"/>
      <c r="H9" s="48">
        <v>-40</v>
      </c>
      <c r="I9" s="49">
        <f t="shared" si="0"/>
        <v>-0.69813170079773179</v>
      </c>
      <c r="J9" s="49">
        <f t="shared" si="4"/>
        <v>-1.6580627893946129</v>
      </c>
      <c r="K9" s="49">
        <f t="shared" si="5"/>
        <v>-1.5184364492350668</v>
      </c>
      <c r="L9" s="49">
        <v>1.72</v>
      </c>
      <c r="M9" s="53">
        <f t="shared" si="6"/>
        <v>2.9655172413793104E-2</v>
      </c>
      <c r="N9" s="53">
        <f t="shared" si="7"/>
        <v>7.5961234938959421E-3</v>
      </c>
      <c r="O9" s="54">
        <f t="shared" si="8"/>
        <v>2.7390523158633221E-3</v>
      </c>
    </row>
    <row r="10" spans="2:17" x14ac:dyDescent="0.2">
      <c r="B10" s="41">
        <v>-65</v>
      </c>
      <c r="C10" s="2">
        <f t="shared" si="1"/>
        <v>-1.1344640137963142</v>
      </c>
      <c r="D10" s="2">
        <v>44</v>
      </c>
      <c r="E10" s="21">
        <f t="shared" si="2"/>
        <v>0.47008547008547014</v>
      </c>
      <c r="F10" s="1">
        <f t="shared" si="3"/>
        <v>0.23456790123456789</v>
      </c>
      <c r="G10" s="7"/>
      <c r="H10" s="41">
        <v>-30</v>
      </c>
      <c r="I10" s="2">
        <f t="shared" si="0"/>
        <v>-0.52359877559829882</v>
      </c>
      <c r="J10" s="2">
        <f t="shared" si="4"/>
        <v>-1.4835298641951802</v>
      </c>
      <c r="K10" s="2">
        <f t="shared" si="5"/>
        <v>-1.3439035240356336</v>
      </c>
      <c r="L10" s="2">
        <v>4.8</v>
      </c>
      <c r="M10" s="8">
        <f t="shared" si="6"/>
        <v>8.2758620689655171E-2</v>
      </c>
      <c r="N10" s="8">
        <f t="shared" si="7"/>
        <v>7.5961234938959638E-3</v>
      </c>
      <c r="O10" s="42">
        <f t="shared" si="8"/>
        <v>5.0602976850416571E-2</v>
      </c>
    </row>
    <row r="11" spans="2:17" x14ac:dyDescent="0.2">
      <c r="B11" s="41">
        <v>-60</v>
      </c>
      <c r="C11" s="2">
        <f t="shared" si="1"/>
        <v>-1.0471975511965976</v>
      </c>
      <c r="D11" s="2">
        <v>40</v>
      </c>
      <c r="E11" s="21">
        <f t="shared" si="2"/>
        <v>0.42735042735042739</v>
      </c>
      <c r="F11" s="1">
        <f t="shared" si="3"/>
        <v>0.1728395061728395</v>
      </c>
      <c r="G11" s="7"/>
      <c r="H11" s="41">
        <v>-20</v>
      </c>
      <c r="I11" s="2">
        <f t="shared" si="0"/>
        <v>-0.3490658503988659</v>
      </c>
      <c r="J11" s="2">
        <f t="shared" si="4"/>
        <v>-1.3089969389957472</v>
      </c>
      <c r="K11" s="2">
        <f t="shared" si="5"/>
        <v>-1.1693705988362009</v>
      </c>
      <c r="L11" s="2">
        <v>11.1</v>
      </c>
      <c r="M11" s="8">
        <f t="shared" si="6"/>
        <v>0.19137931034482758</v>
      </c>
      <c r="N11" s="8">
        <f t="shared" si="7"/>
        <v>6.698729810778066E-2</v>
      </c>
      <c r="O11" s="42">
        <f t="shared" si="8"/>
        <v>0.15267081477050132</v>
      </c>
    </row>
    <row r="12" spans="2:17" x14ac:dyDescent="0.2">
      <c r="B12" s="47">
        <v>-55</v>
      </c>
      <c r="C12" s="32">
        <f t="shared" si="1"/>
        <v>-0.95993108859688125</v>
      </c>
      <c r="D12" s="32">
        <v>35.6</v>
      </c>
      <c r="E12" s="21">
        <f t="shared" si="2"/>
        <v>0.38034188034188038</v>
      </c>
      <c r="F12" s="1">
        <f t="shared" si="3"/>
        <v>0.10493827160493829</v>
      </c>
      <c r="G12" s="7"/>
      <c r="H12" s="41">
        <v>-10</v>
      </c>
      <c r="I12" s="2">
        <f t="shared" si="0"/>
        <v>-0.17453292519943295</v>
      </c>
      <c r="J12" s="2">
        <f t="shared" si="4"/>
        <v>-1.1344640137963142</v>
      </c>
      <c r="K12" s="2">
        <f t="shared" si="5"/>
        <v>-0.99483767363676789</v>
      </c>
      <c r="L12" s="2">
        <v>19.8</v>
      </c>
      <c r="M12" s="8">
        <f t="shared" si="6"/>
        <v>0.3413793103448276</v>
      </c>
      <c r="N12" s="8">
        <f t="shared" si="7"/>
        <v>0.17860619515673035</v>
      </c>
      <c r="O12" s="42">
        <f t="shared" si="8"/>
        <v>0.29663167846209992</v>
      </c>
    </row>
    <row r="13" spans="2:17" x14ac:dyDescent="0.2">
      <c r="B13" s="41">
        <v>-50</v>
      </c>
      <c r="C13" s="2">
        <f t="shared" si="1"/>
        <v>-0.87266462599716477</v>
      </c>
      <c r="D13" s="2">
        <v>32</v>
      </c>
      <c r="E13" s="21">
        <f t="shared" si="2"/>
        <v>0.34188034188034189</v>
      </c>
      <c r="F13" s="1">
        <f t="shared" si="3"/>
        <v>4.9382716049382706E-2</v>
      </c>
      <c r="G13" s="7"/>
      <c r="H13" s="41">
        <v>0</v>
      </c>
      <c r="I13" s="2">
        <f t="shared" si="0"/>
        <v>0</v>
      </c>
      <c r="J13" s="2">
        <f t="shared" si="4"/>
        <v>-0.95993108859688125</v>
      </c>
      <c r="K13" s="2">
        <f t="shared" si="5"/>
        <v>-0.82030474843733492</v>
      </c>
      <c r="L13" s="2">
        <v>29</v>
      </c>
      <c r="M13" s="8">
        <f t="shared" si="6"/>
        <v>0.5</v>
      </c>
      <c r="N13" s="8">
        <f t="shared" si="7"/>
        <v>0.32898992833716556</v>
      </c>
      <c r="O13" s="42">
        <f t="shared" si="8"/>
        <v>0.46512176312793729</v>
      </c>
    </row>
    <row r="14" spans="2:17" x14ac:dyDescent="0.2">
      <c r="B14" s="41">
        <v>-45</v>
      </c>
      <c r="C14" s="2">
        <f t="shared" si="1"/>
        <v>-0.78539816339744828</v>
      </c>
      <c r="D14" s="2">
        <v>30</v>
      </c>
      <c r="E14" s="21">
        <f t="shared" si="2"/>
        <v>0.32051282051282054</v>
      </c>
      <c r="F14" s="1">
        <f t="shared" si="3"/>
        <v>1.8518518518518507E-2</v>
      </c>
      <c r="G14" s="7"/>
      <c r="H14" s="41">
        <v>10</v>
      </c>
      <c r="I14" s="2">
        <f t="shared" si="0"/>
        <v>0.17453292519943295</v>
      </c>
      <c r="J14" s="2">
        <f t="shared" si="4"/>
        <v>-0.78539816339744828</v>
      </c>
      <c r="K14" s="2">
        <f t="shared" si="5"/>
        <v>-0.64577182323790194</v>
      </c>
      <c r="L14" s="2">
        <v>38</v>
      </c>
      <c r="M14" s="8">
        <f t="shared" si="6"/>
        <v>0.65517241379310343</v>
      </c>
      <c r="N14" s="8">
        <f t="shared" si="7"/>
        <v>0.50000000000000011</v>
      </c>
      <c r="O14" s="42">
        <f t="shared" si="8"/>
        <v>0.63781867790849955</v>
      </c>
    </row>
    <row r="15" spans="2:17" x14ac:dyDescent="0.2">
      <c r="B15" s="41">
        <v>-40</v>
      </c>
      <c r="C15" s="2">
        <f t="shared" si="1"/>
        <v>-0.69813170079773179</v>
      </c>
      <c r="D15" s="2">
        <v>29.3</v>
      </c>
      <c r="E15" s="21">
        <f t="shared" si="2"/>
        <v>0.31303418803418809</v>
      </c>
      <c r="F15" s="1">
        <f t="shared" si="3"/>
        <v>7.7160493827160498E-3</v>
      </c>
      <c r="G15" s="7"/>
      <c r="H15" s="41">
        <v>20</v>
      </c>
      <c r="I15" s="2">
        <f t="shared" si="0"/>
        <v>0.3490658503988659</v>
      </c>
      <c r="J15" s="2">
        <f t="shared" si="4"/>
        <v>-0.6108652381980153</v>
      </c>
      <c r="K15" s="2">
        <f t="shared" si="5"/>
        <v>-0.47123889803846902</v>
      </c>
      <c r="L15" s="2">
        <v>46.4</v>
      </c>
      <c r="M15" s="8">
        <f t="shared" si="6"/>
        <v>0.79999999999999993</v>
      </c>
      <c r="N15" s="8">
        <f t="shared" si="7"/>
        <v>0.67101007166283433</v>
      </c>
      <c r="O15" s="42">
        <f t="shared" si="8"/>
        <v>0.79389262614623668</v>
      </c>
    </row>
    <row r="16" spans="2:17" x14ac:dyDescent="0.2">
      <c r="B16" s="48">
        <v>-35</v>
      </c>
      <c r="C16" s="49">
        <f t="shared" si="1"/>
        <v>-0.6108652381980153</v>
      </c>
      <c r="D16" s="49">
        <v>28.8</v>
      </c>
      <c r="E16" s="50">
        <f t="shared" si="2"/>
        <v>0.30769230769230771</v>
      </c>
      <c r="F16" s="1">
        <f t="shared" si="3"/>
        <v>0</v>
      </c>
      <c r="G16" s="7"/>
      <c r="H16" s="41">
        <v>30</v>
      </c>
      <c r="I16" s="2">
        <f t="shared" si="0"/>
        <v>0.52359877559829882</v>
      </c>
      <c r="J16" s="2">
        <f t="shared" si="4"/>
        <v>-0.43633231299858244</v>
      </c>
      <c r="K16" s="2">
        <f t="shared" si="5"/>
        <v>-0.2967059728390361</v>
      </c>
      <c r="L16" s="2">
        <v>52.4</v>
      </c>
      <c r="M16" s="8">
        <f t="shared" si="6"/>
        <v>0.90344827586206899</v>
      </c>
      <c r="N16" s="8">
        <f t="shared" si="7"/>
        <v>0.82139380484326963</v>
      </c>
      <c r="O16" s="42">
        <f t="shared" si="8"/>
        <v>0.91451878627752081</v>
      </c>
    </row>
    <row r="17" spans="2:15" x14ac:dyDescent="0.2">
      <c r="B17" s="41">
        <v>-30</v>
      </c>
      <c r="C17" s="2">
        <f t="shared" si="1"/>
        <v>-0.52359877559829882</v>
      </c>
      <c r="D17" s="2">
        <v>30</v>
      </c>
      <c r="E17" s="21">
        <f t="shared" si="2"/>
        <v>0.32051282051282054</v>
      </c>
      <c r="F17" s="1">
        <f t="shared" si="3"/>
        <v>1.8518518518518507E-2</v>
      </c>
      <c r="G17" s="7"/>
      <c r="H17" s="41">
        <v>40</v>
      </c>
      <c r="I17" s="2">
        <f t="shared" si="0"/>
        <v>0.69813170079773179</v>
      </c>
      <c r="J17" s="2">
        <f t="shared" si="4"/>
        <v>-0.26179938779914946</v>
      </c>
      <c r="K17" s="2">
        <f t="shared" si="5"/>
        <v>-0.12217304763960313</v>
      </c>
      <c r="L17" s="2">
        <v>57.2</v>
      </c>
      <c r="M17" s="8">
        <f t="shared" si="6"/>
        <v>0.98620689655172422</v>
      </c>
      <c r="N17" s="8">
        <f t="shared" si="7"/>
        <v>0.93301270189221941</v>
      </c>
      <c r="O17" s="42">
        <f t="shared" si="8"/>
        <v>0.98514786313799818</v>
      </c>
    </row>
    <row r="18" spans="2:15" x14ac:dyDescent="0.2">
      <c r="B18" s="41">
        <v>-25</v>
      </c>
      <c r="C18" s="2">
        <f t="shared" si="1"/>
        <v>-0.43633231299858238</v>
      </c>
      <c r="D18" s="2">
        <v>31.6</v>
      </c>
      <c r="E18" s="21">
        <f t="shared" si="2"/>
        <v>0.33760683760683763</v>
      </c>
      <c r="F18" s="1">
        <f t="shared" si="3"/>
        <v>4.3209876543209888E-2</v>
      </c>
      <c r="G18" s="7"/>
      <c r="H18" s="48">
        <v>50</v>
      </c>
      <c r="I18" s="49">
        <f t="shared" si="0"/>
        <v>0.87266462599716477</v>
      </c>
      <c r="J18" s="49">
        <f t="shared" si="4"/>
        <v>-8.7266462599716488E-2</v>
      </c>
      <c r="K18" s="49">
        <f t="shared" si="5"/>
        <v>5.2359877559829848E-2</v>
      </c>
      <c r="L18" s="49">
        <v>58</v>
      </c>
      <c r="M18" s="53">
        <f t="shared" si="6"/>
        <v>1</v>
      </c>
      <c r="N18" s="53">
        <f t="shared" si="7"/>
        <v>0.99240387650610407</v>
      </c>
      <c r="O18" s="54">
        <f t="shared" si="8"/>
        <v>0.99726094768413653</v>
      </c>
    </row>
    <row r="19" spans="2:15" x14ac:dyDescent="0.2">
      <c r="B19" s="41">
        <v>-20</v>
      </c>
      <c r="C19" s="2">
        <f t="shared" si="1"/>
        <v>-0.3490658503988659</v>
      </c>
      <c r="D19" s="2">
        <v>34.4</v>
      </c>
      <c r="E19" s="21">
        <f t="shared" si="2"/>
        <v>0.36752136752136755</v>
      </c>
      <c r="F19" s="1">
        <f t="shared" si="3"/>
        <v>8.6419753086419721E-2</v>
      </c>
      <c r="G19" s="7"/>
      <c r="H19" s="41">
        <v>60</v>
      </c>
      <c r="I19" s="2">
        <f t="shared" si="0"/>
        <v>1.0471975511965976</v>
      </c>
      <c r="J19" s="2">
        <f t="shared" si="4"/>
        <v>8.7266462599716377E-2</v>
      </c>
      <c r="K19" s="2">
        <f t="shared" si="5"/>
        <v>0.22689280275926271</v>
      </c>
      <c r="L19" s="2">
        <v>54.8</v>
      </c>
      <c r="M19" s="8">
        <f t="shared" si="6"/>
        <v>0.94482758620689655</v>
      </c>
      <c r="N19" s="8">
        <f t="shared" si="7"/>
        <v>0.99240387650610407</v>
      </c>
      <c r="O19" s="42">
        <f t="shared" si="8"/>
        <v>0.94939702314958352</v>
      </c>
    </row>
    <row r="20" spans="2:15" x14ac:dyDescent="0.2">
      <c r="B20" s="41">
        <v>-15</v>
      </c>
      <c r="C20" s="2">
        <f t="shared" si="1"/>
        <v>-0.26179938779914941</v>
      </c>
      <c r="D20" s="2">
        <v>37.6</v>
      </c>
      <c r="E20" s="21">
        <f t="shared" si="2"/>
        <v>0.40170940170940173</v>
      </c>
      <c r="F20" s="1">
        <f t="shared" si="3"/>
        <v>0.13580246913580249</v>
      </c>
      <c r="G20" s="7"/>
      <c r="H20" s="41">
        <v>70</v>
      </c>
      <c r="I20" s="2">
        <f t="shared" si="0"/>
        <v>1.2217304763960306</v>
      </c>
      <c r="J20" s="2">
        <f t="shared" si="4"/>
        <v>0.26179938779914935</v>
      </c>
      <c r="K20" s="2">
        <f t="shared" si="5"/>
        <v>0.40142572795869569</v>
      </c>
      <c r="L20" s="2">
        <v>47.2</v>
      </c>
      <c r="M20" s="8">
        <f t="shared" si="6"/>
        <v>0.81379310344827593</v>
      </c>
      <c r="N20" s="8">
        <f t="shared" si="7"/>
        <v>0.93301270189221941</v>
      </c>
      <c r="O20" s="42">
        <f t="shared" si="8"/>
        <v>0.84732918522949874</v>
      </c>
    </row>
    <row r="21" spans="2:15" x14ac:dyDescent="0.2">
      <c r="B21" s="41">
        <v>-10</v>
      </c>
      <c r="C21" s="2">
        <f t="shared" si="1"/>
        <v>-0.17453292519943295</v>
      </c>
      <c r="D21" s="2">
        <v>41.6</v>
      </c>
      <c r="E21" s="21">
        <f t="shared" si="2"/>
        <v>0.44444444444444448</v>
      </c>
      <c r="F21" s="1">
        <f t="shared" si="3"/>
        <v>0.19753086419753088</v>
      </c>
      <c r="G21" s="7"/>
      <c r="H21" s="41">
        <v>80</v>
      </c>
      <c r="I21" s="2">
        <f t="shared" si="0"/>
        <v>1.3962634015954636</v>
      </c>
      <c r="J21" s="2">
        <f t="shared" si="4"/>
        <v>0.43633231299858233</v>
      </c>
      <c r="K21" s="2">
        <f t="shared" si="5"/>
        <v>0.57595865315812866</v>
      </c>
      <c r="L21" s="2">
        <v>39.200000000000003</v>
      </c>
      <c r="M21" s="8">
        <f t="shared" si="6"/>
        <v>0.67586206896551726</v>
      </c>
      <c r="N21" s="8">
        <f t="shared" si="7"/>
        <v>0.82139380484326963</v>
      </c>
      <c r="O21" s="42">
        <f t="shared" si="8"/>
        <v>0.70336832153790019</v>
      </c>
    </row>
    <row r="22" spans="2:15" ht="16" thickBot="1" x14ac:dyDescent="0.25">
      <c r="B22" s="41">
        <v>-5</v>
      </c>
      <c r="C22" s="2">
        <f t="shared" si="1"/>
        <v>-8.7266462599716474E-2</v>
      </c>
      <c r="D22" s="2">
        <v>46.4</v>
      </c>
      <c r="E22" s="21">
        <f t="shared" si="2"/>
        <v>0.49572649572649574</v>
      </c>
      <c r="F22" s="1">
        <f t="shared" si="3"/>
        <v>0.27160493827160492</v>
      </c>
      <c r="G22" s="7"/>
      <c r="H22" s="43">
        <v>90</v>
      </c>
      <c r="I22" s="24">
        <f t="shared" si="0"/>
        <v>1.5707963267948966</v>
      </c>
      <c r="J22" s="24">
        <f t="shared" si="4"/>
        <v>0.6108652381980153</v>
      </c>
      <c r="K22" s="24">
        <f t="shared" si="5"/>
        <v>0.75049157835756164</v>
      </c>
      <c r="L22" s="24">
        <v>28.4</v>
      </c>
      <c r="M22" s="44">
        <f t="shared" si="6"/>
        <v>0.48965517241379308</v>
      </c>
      <c r="N22" s="44">
        <f t="shared" si="7"/>
        <v>0.67101007166283433</v>
      </c>
      <c r="O22" s="45">
        <f t="shared" si="8"/>
        <v>0.53487823687206282</v>
      </c>
    </row>
    <row r="23" spans="2:15" x14ac:dyDescent="0.2">
      <c r="B23" s="41">
        <v>0</v>
      </c>
      <c r="C23" s="2">
        <f t="shared" si="1"/>
        <v>0</v>
      </c>
      <c r="D23" s="2">
        <v>51.2</v>
      </c>
      <c r="E23" s="21">
        <f t="shared" si="2"/>
        <v>0.54700854700854706</v>
      </c>
      <c r="F23" s="1">
        <f t="shared" si="3"/>
        <v>0.34567901234567905</v>
      </c>
      <c r="K23" s="52"/>
    </row>
    <row r="24" spans="2:15" ht="32" x14ac:dyDescent="0.2">
      <c r="B24" s="41">
        <v>5</v>
      </c>
      <c r="C24" s="2">
        <f t="shared" si="1"/>
        <v>8.7266462599716474E-2</v>
      </c>
      <c r="D24" s="2">
        <v>56.8</v>
      </c>
      <c r="E24" s="21">
        <f t="shared" si="2"/>
        <v>0.60683760683760679</v>
      </c>
      <c r="F24" s="1">
        <f t="shared" si="3"/>
        <v>0.43209876543209874</v>
      </c>
      <c r="H24" s="1" t="s">
        <v>59</v>
      </c>
      <c r="K24" s="52" t="s">
        <v>66</v>
      </c>
    </row>
    <row r="25" spans="2:15" x14ac:dyDescent="0.2">
      <c r="B25" s="41">
        <v>10</v>
      </c>
      <c r="C25" s="2">
        <f t="shared" si="1"/>
        <v>0.17453292519943295</v>
      </c>
      <c r="D25" s="2">
        <v>63.2</v>
      </c>
      <c r="E25" s="21">
        <f t="shared" si="2"/>
        <v>0.67521367521367526</v>
      </c>
      <c r="F25" s="1">
        <f t="shared" si="3"/>
        <v>0.53086419753086433</v>
      </c>
      <c r="K25" s="52"/>
    </row>
    <row r="26" spans="2:15" x14ac:dyDescent="0.2">
      <c r="B26" s="41">
        <v>15</v>
      </c>
      <c r="C26" s="2">
        <f t="shared" si="1"/>
        <v>0.26179938779914941</v>
      </c>
      <c r="D26" s="2">
        <v>68.400000000000006</v>
      </c>
      <c r="E26" s="21">
        <f t="shared" si="2"/>
        <v>0.73076923076923084</v>
      </c>
      <c r="F26" s="1">
        <f t="shared" si="3"/>
        <v>0.61111111111111127</v>
      </c>
      <c r="K26" s="52"/>
    </row>
    <row r="27" spans="2:15" x14ac:dyDescent="0.2">
      <c r="B27" s="41">
        <v>20</v>
      </c>
      <c r="C27" s="2">
        <f t="shared" si="1"/>
        <v>0.3490658503988659</v>
      </c>
      <c r="D27" s="2">
        <v>73.599999999999994</v>
      </c>
      <c r="E27" s="21">
        <f t="shared" si="2"/>
        <v>0.78632478632478631</v>
      </c>
      <c r="F27" s="1">
        <f t="shared" si="3"/>
        <v>0.69135802469135799</v>
      </c>
      <c r="K27" s="52"/>
    </row>
    <row r="28" spans="2:15" x14ac:dyDescent="0.2">
      <c r="B28" s="41">
        <v>25</v>
      </c>
      <c r="C28" s="2">
        <f t="shared" si="1"/>
        <v>0.43633231299858238</v>
      </c>
      <c r="D28" s="2">
        <v>78.400000000000006</v>
      </c>
      <c r="E28" s="21">
        <f t="shared" si="2"/>
        <v>0.83760683760683774</v>
      </c>
      <c r="F28" s="1">
        <f t="shared" si="3"/>
        <v>0.76543209876543228</v>
      </c>
    </row>
    <row r="29" spans="2:15" x14ac:dyDescent="0.2">
      <c r="B29" s="41">
        <v>30</v>
      </c>
      <c r="C29" s="2">
        <f t="shared" si="1"/>
        <v>0.52359877559829882</v>
      </c>
      <c r="D29" s="2">
        <v>83.2</v>
      </c>
      <c r="E29" s="21">
        <f t="shared" si="2"/>
        <v>0.88888888888888895</v>
      </c>
      <c r="F29" s="1">
        <f t="shared" si="3"/>
        <v>0.83950617283950635</v>
      </c>
      <c r="H29" s="29" t="s">
        <v>36</v>
      </c>
      <c r="I29" s="29"/>
      <c r="J29" s="4">
        <f>(D33-D16)/(D16+D33)</f>
        <v>0.52941176470588236</v>
      </c>
      <c r="K29" s="9"/>
    </row>
    <row r="30" spans="2:15" x14ac:dyDescent="0.2">
      <c r="B30" s="47">
        <v>35</v>
      </c>
      <c r="C30" s="32">
        <f t="shared" si="1"/>
        <v>0.6108652381980153</v>
      </c>
      <c r="D30" s="32">
        <v>87.2</v>
      </c>
      <c r="E30" s="21">
        <f t="shared" si="2"/>
        <v>0.93162393162393176</v>
      </c>
      <c r="F30" s="1">
        <f t="shared" si="3"/>
        <v>0.90123456790123468</v>
      </c>
    </row>
    <row r="31" spans="2:15" x14ac:dyDescent="0.2">
      <c r="B31" s="41">
        <v>40</v>
      </c>
      <c r="C31" s="2">
        <f t="shared" si="1"/>
        <v>0.69813170079773179</v>
      </c>
      <c r="D31" s="2">
        <v>91.2</v>
      </c>
      <c r="E31" s="21">
        <f t="shared" si="2"/>
        <v>0.97435897435897445</v>
      </c>
      <c r="F31" s="1">
        <f t="shared" si="3"/>
        <v>0.96296296296296313</v>
      </c>
    </row>
    <row r="32" spans="2:15" x14ac:dyDescent="0.2">
      <c r="B32" s="41">
        <v>45</v>
      </c>
      <c r="C32" s="2">
        <f t="shared" si="1"/>
        <v>0.78539816339744828</v>
      </c>
      <c r="D32" s="2">
        <v>92.8</v>
      </c>
      <c r="E32" s="21">
        <f t="shared" si="2"/>
        <v>0.99145299145299148</v>
      </c>
      <c r="F32" s="1">
        <f t="shared" si="3"/>
        <v>0.98765432098765438</v>
      </c>
    </row>
    <row r="33" spans="2:29" x14ac:dyDescent="0.2">
      <c r="B33" s="48">
        <v>50</v>
      </c>
      <c r="C33" s="49">
        <f t="shared" si="1"/>
        <v>0.87266462599716477</v>
      </c>
      <c r="D33" s="49">
        <v>93.6</v>
      </c>
      <c r="E33" s="50">
        <f t="shared" si="2"/>
        <v>1</v>
      </c>
      <c r="F33" s="1">
        <f t="shared" si="3"/>
        <v>1</v>
      </c>
    </row>
    <row r="34" spans="2:29" x14ac:dyDescent="0.2">
      <c r="B34" s="41">
        <v>55</v>
      </c>
      <c r="C34" s="2">
        <f t="shared" si="1"/>
        <v>0.95993108859688125</v>
      </c>
      <c r="D34" s="2">
        <v>93.5</v>
      </c>
      <c r="E34" s="21">
        <f t="shared" si="2"/>
        <v>0.99893162393162405</v>
      </c>
      <c r="F34" s="1">
        <f t="shared" si="3"/>
        <v>0.99845679012345689</v>
      </c>
    </row>
    <row r="35" spans="2:29" x14ac:dyDescent="0.2">
      <c r="B35" s="41">
        <v>60</v>
      </c>
      <c r="C35" s="2">
        <f t="shared" si="1"/>
        <v>1.0471975511965976</v>
      </c>
      <c r="D35" s="2">
        <v>92.8</v>
      </c>
      <c r="E35" s="21">
        <f t="shared" si="2"/>
        <v>0.99145299145299148</v>
      </c>
      <c r="F35" s="1">
        <f t="shared" si="3"/>
        <v>0.98765432098765438</v>
      </c>
    </row>
    <row r="36" spans="2:29" x14ac:dyDescent="0.2">
      <c r="B36" s="41">
        <v>65</v>
      </c>
      <c r="C36" s="2">
        <f t="shared" si="1"/>
        <v>1.1344640137963142</v>
      </c>
      <c r="D36" s="2">
        <v>90.4</v>
      </c>
      <c r="E36" s="21">
        <f t="shared" si="2"/>
        <v>0.96581196581196593</v>
      </c>
      <c r="F36" s="1">
        <f t="shared" si="3"/>
        <v>0.95061728395061751</v>
      </c>
    </row>
    <row r="37" spans="2:29" x14ac:dyDescent="0.2">
      <c r="B37" s="41">
        <v>70</v>
      </c>
      <c r="C37" s="2">
        <f t="shared" si="1"/>
        <v>1.2217304763960306</v>
      </c>
      <c r="D37" s="2">
        <v>88.8</v>
      </c>
      <c r="E37" s="21">
        <f t="shared" si="2"/>
        <v>0.94871794871794879</v>
      </c>
      <c r="F37" s="1">
        <f t="shared" si="3"/>
        <v>0.92592592592592593</v>
      </c>
    </row>
    <row r="38" spans="2:29" x14ac:dyDescent="0.2">
      <c r="B38" s="41">
        <v>75</v>
      </c>
      <c r="C38" s="2">
        <f t="shared" si="1"/>
        <v>1.3089969389957472</v>
      </c>
      <c r="D38" s="2">
        <v>84</v>
      </c>
      <c r="E38" s="21">
        <f t="shared" si="2"/>
        <v>0.89743589743589747</v>
      </c>
      <c r="F38" s="1">
        <f t="shared" si="3"/>
        <v>0.85185185185185197</v>
      </c>
    </row>
    <row r="39" spans="2:29" x14ac:dyDescent="0.2">
      <c r="B39" s="41">
        <v>80</v>
      </c>
      <c r="C39" s="2">
        <f t="shared" si="1"/>
        <v>1.3962634015954636</v>
      </c>
      <c r="D39" s="2">
        <v>79.2</v>
      </c>
      <c r="E39" s="21">
        <f t="shared" si="2"/>
        <v>0.84615384615384626</v>
      </c>
      <c r="F39" s="1">
        <f t="shared" si="3"/>
        <v>0.7777777777777779</v>
      </c>
    </row>
    <row r="40" spans="2:29" x14ac:dyDescent="0.2">
      <c r="B40" s="41">
        <v>85</v>
      </c>
      <c r="C40" s="2">
        <f t="shared" si="1"/>
        <v>1.4835298641951802</v>
      </c>
      <c r="D40" s="2">
        <v>73.599999999999994</v>
      </c>
      <c r="E40" s="21">
        <f t="shared" si="2"/>
        <v>0.78632478632478631</v>
      </c>
      <c r="F40" s="1">
        <f t="shared" si="3"/>
        <v>0.69135802469135799</v>
      </c>
    </row>
    <row r="41" spans="2:29" x14ac:dyDescent="0.2">
      <c r="B41" s="41">
        <v>90</v>
      </c>
      <c r="C41" s="2">
        <f t="shared" si="1"/>
        <v>1.5707963267948966</v>
      </c>
      <c r="D41" s="2">
        <v>68.8</v>
      </c>
      <c r="E41" s="21">
        <f t="shared" si="2"/>
        <v>0.7350427350427351</v>
      </c>
      <c r="F41" s="1">
        <f t="shared" si="3"/>
        <v>0.61728395061728403</v>
      </c>
    </row>
    <row r="42" spans="2:29" ht="16" thickBot="1" x14ac:dyDescent="0.25">
      <c r="B42" s="43">
        <v>95</v>
      </c>
      <c r="C42" s="24">
        <f t="shared" si="1"/>
        <v>1.6580627893946132</v>
      </c>
      <c r="D42" s="24">
        <v>62.4</v>
      </c>
      <c r="E42" s="21">
        <f t="shared" si="2"/>
        <v>0.66666666666666674</v>
      </c>
      <c r="F42" s="1">
        <f t="shared" si="3"/>
        <v>0.51851851851851849</v>
      </c>
      <c r="AA42" s="14" t="s">
        <v>37</v>
      </c>
      <c r="AB42" s="14"/>
      <c r="AC42" s="15">
        <f>RSQ(M4:M22,N4:N22)</f>
        <v>0.88222795362983997</v>
      </c>
    </row>
    <row r="43" spans="2:29" x14ac:dyDescent="0.2">
      <c r="AA43" s="14"/>
      <c r="AB43" s="14"/>
      <c r="AC43" s="16"/>
    </row>
    <row r="53" spans="27:30" x14ac:dyDescent="0.2">
      <c r="AB53" s="18" t="s">
        <v>57</v>
      </c>
      <c r="AC53" s="18"/>
      <c r="AD53" s="18"/>
    </row>
    <row r="54" spans="27:30" x14ac:dyDescent="0.2">
      <c r="AB54" s="18"/>
      <c r="AC54" s="18"/>
      <c r="AD54" s="18"/>
    </row>
    <row r="55" spans="27:30" x14ac:dyDescent="0.2">
      <c r="AB55" s="18"/>
      <c r="AC55" s="18"/>
      <c r="AD55" s="18"/>
    </row>
    <row r="56" spans="27:30" x14ac:dyDescent="0.2">
      <c r="AB56" s="18"/>
      <c r="AC56" s="18"/>
      <c r="AD56" s="18"/>
    </row>
    <row r="59" spans="27:30" x14ac:dyDescent="0.2">
      <c r="AA59" s="14" t="s">
        <v>37</v>
      </c>
      <c r="AB59" s="14"/>
      <c r="AC59" s="15">
        <f>RSQ(O4:O22,M4:M22)</f>
        <v>0.9958709742836831</v>
      </c>
    </row>
    <row r="60" spans="27:30" x14ac:dyDescent="0.2">
      <c r="AA60" s="14"/>
      <c r="AB60" s="14"/>
      <c r="AC60" s="16"/>
    </row>
  </sheetData>
  <mergeCells count="9">
    <mergeCell ref="AA59:AB60"/>
    <mergeCell ref="AC59:AC60"/>
    <mergeCell ref="P3:Q7"/>
    <mergeCell ref="B2:E2"/>
    <mergeCell ref="H2:O2"/>
    <mergeCell ref="H29:I29"/>
    <mergeCell ref="AB53:AD56"/>
    <mergeCell ref="AA42:AB43"/>
    <mergeCell ref="AC42:AC4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B386-072D-4DD8-952A-56344A1D5722}">
  <dimension ref="B1:AK42"/>
  <sheetViews>
    <sheetView tabSelected="1" zoomScale="85" zoomScaleNormal="85" workbookViewId="0">
      <selection activeCell="N35" sqref="N35"/>
    </sheetView>
  </sheetViews>
  <sheetFormatPr baseColWidth="10" defaultColWidth="8.83203125" defaultRowHeight="15" x14ac:dyDescent="0.2"/>
  <cols>
    <col min="1" max="16384" width="8.83203125" style="1"/>
  </cols>
  <sheetData>
    <row r="1" spans="2:37" ht="16" thickBot="1" x14ac:dyDescent="0.25"/>
    <row r="2" spans="2:37" x14ac:dyDescent="0.2">
      <c r="B2" s="60" t="s">
        <v>7</v>
      </c>
      <c r="C2" s="61"/>
      <c r="D2" s="61"/>
      <c r="E2" s="61"/>
      <c r="F2" s="62"/>
    </row>
    <row r="3" spans="2:37" ht="17" x14ac:dyDescent="0.2">
      <c r="B3" s="63" t="s">
        <v>5</v>
      </c>
      <c r="C3" s="55" t="s">
        <v>6</v>
      </c>
      <c r="D3" s="49" t="s">
        <v>2</v>
      </c>
      <c r="E3" s="49" t="s">
        <v>30</v>
      </c>
      <c r="F3" s="50" t="s">
        <v>33</v>
      </c>
      <c r="G3" s="1" t="s">
        <v>54</v>
      </c>
      <c r="H3" s="1" t="s">
        <v>55</v>
      </c>
      <c r="I3" s="1" t="s">
        <v>58</v>
      </c>
    </row>
    <row r="4" spans="2:37" x14ac:dyDescent="0.2">
      <c r="B4" s="41">
        <v>-45</v>
      </c>
      <c r="C4" s="2">
        <f>RADIANS(B4)</f>
        <v>-0.78539816339744828</v>
      </c>
      <c r="D4" s="56">
        <f>G24-3.165799</f>
        <v>34.434201000000002</v>
      </c>
      <c r="E4" s="2">
        <f>D4/$D$9</f>
        <v>1.0749199269867851</v>
      </c>
      <c r="F4" s="21">
        <f>COS(C4)^2+COS(2*$W$14-C4)^2</f>
        <v>1.3213938048432698</v>
      </c>
      <c r="G4" s="1">
        <f>(F4-MIN(F$4:F$22))/(MAX(F$4:F$22)-MIN(F$4:F$22))</f>
        <v>0.67364817766693041</v>
      </c>
      <c r="H4" s="1">
        <f>(D4-MIN(D$4:D$22))/(MAX(D$4:D$22)-MIN(D$4:D$22))</f>
        <v>0.85365853658536595</v>
      </c>
      <c r="I4" s="1">
        <f>F4/MAX(F$4:F$22)</f>
        <v>0.68628982406627248</v>
      </c>
    </row>
    <row r="5" spans="2:37" x14ac:dyDescent="0.2">
      <c r="B5" s="41">
        <v>-35</v>
      </c>
      <c r="C5" s="2">
        <f t="shared" ref="C5:C22" si="0">RADIANS(B5)</f>
        <v>-0.6108652381980153</v>
      </c>
      <c r="D5" s="56">
        <f t="shared" ref="D5:D22" si="1">G25-3.165799</f>
        <v>37.234200999999999</v>
      </c>
      <c r="E5" s="2">
        <f t="shared" ref="E5:E22" si="2">D5/$D$9</f>
        <v>1.1623265084713676</v>
      </c>
      <c r="F5" s="21">
        <f>COS(C5)^2+COS(2*$W$14-C5)^2</f>
        <v>1.6040227735550538</v>
      </c>
      <c r="G5" s="1">
        <f>(F5-MIN(F$4:F$22))/(MAX(F$4:F$22)-MIN(F$4:F$22))</f>
        <v>0.8263518223330697</v>
      </c>
      <c r="H5" s="1">
        <f>(D5-MIN(D$4:D$22))/(MAX(D$4:D$22)-MIN(D$4:D$22))</f>
        <v>0.93902439024390238</v>
      </c>
      <c r="I5" s="1">
        <f>F5/MAX(F$4:F$22)</f>
        <v>0.8330783018859097</v>
      </c>
    </row>
    <row r="6" spans="2:37" x14ac:dyDescent="0.2">
      <c r="B6" s="41">
        <v>-25</v>
      </c>
      <c r="C6" s="2">
        <f t="shared" si="0"/>
        <v>-0.43633231299858238</v>
      </c>
      <c r="D6" s="56">
        <f t="shared" si="1"/>
        <v>39.234200999999999</v>
      </c>
      <c r="E6" s="2">
        <f>D6/$D$9</f>
        <v>1.2247597809603552</v>
      </c>
      <c r="F6" s="21">
        <f>COS(C6)^2+COS(2*$W$14-C6)^2</f>
        <v>1.8137976813493737</v>
      </c>
      <c r="G6" s="1">
        <f>(F6-MIN(F$4:F$22))/(MAX(F$4:F$22)-MIN(F$4:F$22))</f>
        <v>0.93969262078590832</v>
      </c>
      <c r="H6" s="1">
        <f>(D6-MIN(D$4:D$22))/(MAX(D$4:D$22)-MIN(D$4:D$22))</f>
        <v>1</v>
      </c>
      <c r="I6" s="1">
        <f>F6/MAX(F$4:F$22)</f>
        <v>0.94202870261883742</v>
      </c>
      <c r="U6" s="18"/>
      <c r="V6" s="18"/>
      <c r="W6" s="18"/>
    </row>
    <row r="7" spans="2:37" x14ac:dyDescent="0.2">
      <c r="B7" s="41">
        <v>-15</v>
      </c>
      <c r="C7" s="2">
        <f t="shared" si="0"/>
        <v>-0.26179938779914941</v>
      </c>
      <c r="D7" s="56">
        <f t="shared" si="1"/>
        <v>38.434201000000002</v>
      </c>
      <c r="E7" s="2">
        <f t="shared" si="2"/>
        <v>1.1997864719647604</v>
      </c>
      <c r="F7" s="21">
        <f>COS(C7)^2+COS(2*$W$14-C7)^2</f>
        <v>1.9254165783983235</v>
      </c>
      <c r="G7" s="1">
        <f>(F7-MIN(F$4:F$22))/(MAX(F$4:F$22)-MIN(F$4:F$22))</f>
        <v>1</v>
      </c>
      <c r="H7" s="1">
        <f>(D7-MIN(D$4:D$22))/(MAX(D$4:D$22)-MIN(D$4:D$22))</f>
        <v>0.97560975609756106</v>
      </c>
      <c r="I7" s="1">
        <f>F7/MAX(F$4:F$22)</f>
        <v>1</v>
      </c>
      <c r="U7" s="18"/>
      <c r="V7" s="18"/>
      <c r="W7" s="18"/>
    </row>
    <row r="8" spans="2:37" x14ac:dyDescent="0.2">
      <c r="B8" s="41">
        <v>-5</v>
      </c>
      <c r="C8" s="2">
        <f t="shared" si="0"/>
        <v>-8.7266462599716474E-2</v>
      </c>
      <c r="D8" s="56">
        <f t="shared" si="1"/>
        <v>36.034201000000003</v>
      </c>
      <c r="E8" s="2">
        <f t="shared" si="2"/>
        <v>1.1248665449779753</v>
      </c>
      <c r="F8" s="21">
        <f>COS(C8)^2+COS(2*$W$14-C8)^2</f>
        <v>1.9254165783983233</v>
      </c>
      <c r="G8" s="1">
        <f>(F8-MIN(F$4:F$22))/(MAX(F$4:F$22)-MIN(F$4:F$22))</f>
        <v>0.99999999999999989</v>
      </c>
      <c r="H8" s="1">
        <f>(D8-MIN(D$4:D$22))/(MAX(D$4:D$22)-MIN(D$4:D$22))</f>
        <v>0.90243902439024404</v>
      </c>
      <c r="I8" s="1">
        <f>F8/MAX(F$4:F$22)</f>
        <v>0.99999999999999989</v>
      </c>
      <c r="U8" s="18"/>
      <c r="V8" s="18"/>
      <c r="W8" s="18"/>
    </row>
    <row r="9" spans="2:37" x14ac:dyDescent="0.2">
      <c r="B9" s="48">
        <v>5</v>
      </c>
      <c r="C9" s="49">
        <f t="shared" si="0"/>
        <v>8.7266462599716474E-2</v>
      </c>
      <c r="D9" s="57">
        <f t="shared" si="1"/>
        <v>32.034201000000003</v>
      </c>
      <c r="E9" s="49">
        <f t="shared" si="2"/>
        <v>1</v>
      </c>
      <c r="F9" s="50">
        <f>COS(C9)^2+COS(2*$W$14-C9)^2</f>
        <v>1.8137976813493737</v>
      </c>
      <c r="G9" s="1">
        <f>(F9-MIN(F$4:F$22))/(MAX(F$4:F$22)-MIN(F$4:F$22))</f>
        <v>0.93969262078590832</v>
      </c>
      <c r="H9" s="1">
        <f>(D9-MIN(D$4:D$22))/(MAX(D$4:D$22)-MIN(D$4:D$22))</f>
        <v>0.78048780487804892</v>
      </c>
      <c r="I9" s="1">
        <f>F9/MAX(F$4:F$22)</f>
        <v>0.94202870261883742</v>
      </c>
      <c r="U9" s="18"/>
      <c r="V9" s="18"/>
      <c r="W9" s="18"/>
    </row>
    <row r="10" spans="2:37" x14ac:dyDescent="0.2">
      <c r="B10" s="47">
        <v>15</v>
      </c>
      <c r="C10" s="32">
        <f t="shared" si="0"/>
        <v>0.26179938779914941</v>
      </c>
      <c r="D10" s="58">
        <f t="shared" si="1"/>
        <v>27.234200999999999</v>
      </c>
      <c r="E10" s="32">
        <f t="shared" si="2"/>
        <v>0.85016014602642953</v>
      </c>
      <c r="F10" s="51">
        <f>COS(C10)^2+COS(2*$W$14-C10)^2</f>
        <v>1.6040227735550536</v>
      </c>
      <c r="G10" s="1">
        <f>(F10-MIN(F$4:F$22))/(MAX(F$4:F$22)-MIN(F$4:F$22))</f>
        <v>0.82635182233306959</v>
      </c>
      <c r="H10" s="1">
        <f>(D10-MIN(D$4:D$22))/(MAX(D$4:D$22)-MIN(D$4:D$22))</f>
        <v>0.63414634146341464</v>
      </c>
      <c r="I10" s="1">
        <f>F10/MAX(F$4:F$22)</f>
        <v>0.83307830188590959</v>
      </c>
      <c r="U10" s="18"/>
      <c r="V10" s="18"/>
      <c r="W10" s="18"/>
    </row>
    <row r="11" spans="2:37" x14ac:dyDescent="0.2">
      <c r="B11" s="41">
        <v>25</v>
      </c>
      <c r="C11" s="2">
        <f t="shared" si="0"/>
        <v>0.43633231299858238</v>
      </c>
      <c r="D11" s="56">
        <f t="shared" si="1"/>
        <v>21.634201000000001</v>
      </c>
      <c r="E11" s="2">
        <f t="shared" si="2"/>
        <v>0.67534698305726426</v>
      </c>
      <c r="F11" s="21">
        <f>COS(C11)^2+COS(2*$W$14-C11)^2</f>
        <v>1.3213938048432694</v>
      </c>
      <c r="G11" s="1">
        <f>(F11-MIN(F$4:F$22))/(MAX(F$4:F$22)-MIN(F$4:F$22))</f>
        <v>0.67364817766693019</v>
      </c>
      <c r="H11" s="1">
        <f>(D11-MIN(D$4:D$22))/(MAX(D$4:D$22)-MIN(D$4:D$22))</f>
        <v>0.46341463414634154</v>
      </c>
      <c r="I11" s="1">
        <f>F11/MAX(F$4:F$22)</f>
        <v>0.68628982406627226</v>
      </c>
    </row>
    <row r="12" spans="2:37" x14ac:dyDescent="0.2">
      <c r="B12" s="41">
        <v>35</v>
      </c>
      <c r="C12" s="2">
        <f t="shared" si="0"/>
        <v>0.6108652381980153</v>
      </c>
      <c r="D12" s="56">
        <f t="shared" si="1"/>
        <v>16.834201</v>
      </c>
      <c r="E12" s="2">
        <f t="shared" si="2"/>
        <v>0.52550712908369401</v>
      </c>
      <c r="F12" s="21">
        <f>COS(C12)^2+COS(2*$W$14-C12)^2</f>
        <v>1</v>
      </c>
      <c r="G12" s="1">
        <f>(F12-MIN(F$4:F$22))/(MAX(F$4:F$22)-MIN(F$4:F$22))</f>
        <v>0.5</v>
      </c>
      <c r="H12" s="1">
        <f>(D12-MIN(D$4:D$22))/(MAX(D$4:D$22)-MIN(D$4:D$22))</f>
        <v>0.31707317073170738</v>
      </c>
      <c r="I12" s="1">
        <f>F12/MAX(F$4:F$22)</f>
        <v>0.51936812595218207</v>
      </c>
    </row>
    <row r="13" spans="2:37" x14ac:dyDescent="0.2">
      <c r="B13" s="41">
        <v>45</v>
      </c>
      <c r="C13" s="2">
        <f t="shared" si="0"/>
        <v>0.78539816339744828</v>
      </c>
      <c r="D13" s="56">
        <f t="shared" si="1"/>
        <v>11.234201000000001</v>
      </c>
      <c r="E13" s="2">
        <f t="shared" si="2"/>
        <v>0.35069396611452863</v>
      </c>
      <c r="F13" s="21">
        <f>COS(C13)^2+COS(2*$W$14-C13)^2</f>
        <v>0.67860619515673037</v>
      </c>
      <c r="G13" s="1">
        <f>(F13-MIN(F$4:F$22))/(MAX(F$4:F$22)-MIN(F$4:F$22))</f>
        <v>0.3263518223330697</v>
      </c>
      <c r="H13" s="1">
        <f>(D13-MIN(D$4:D$22))/(MAX(D$4:D$22)-MIN(D$4:D$22))</f>
        <v>0.14634146341463419</v>
      </c>
      <c r="I13" s="1">
        <f>F13/MAX(F$4:F$22)</f>
        <v>0.35244642783809182</v>
      </c>
      <c r="V13" s="30" t="s">
        <v>31</v>
      </c>
      <c r="W13" s="2">
        <v>80</v>
      </c>
    </row>
    <row r="14" spans="2:37" x14ac:dyDescent="0.2">
      <c r="B14" s="41">
        <v>55</v>
      </c>
      <c r="C14" s="2">
        <f t="shared" si="0"/>
        <v>0.95993108859688125</v>
      </c>
      <c r="D14" s="19">
        <f t="shared" si="1"/>
        <v>8.0342009999999995</v>
      </c>
      <c r="E14" s="2">
        <f>D14/$D$9</f>
        <v>0.25080073013214843</v>
      </c>
      <c r="F14" s="21">
        <f>COS(C14)^2+COS(2*$W$14-C14)^2</f>
        <v>0.39597722644494615</v>
      </c>
      <c r="G14" s="1">
        <f>(F14-MIN(F$4:F$22))/(MAX(F$4:F$22)-MIN(F$4:F$22))</f>
        <v>0.17364817766693028</v>
      </c>
      <c r="H14" s="1">
        <f>(D14-MIN(D$4:D$22))/(MAX(D$4:D$22)-MIN(D$4:D$22))</f>
        <v>4.8780487804878044E-2</v>
      </c>
      <c r="I14" s="1">
        <f>F14/MAX(F$4:F$22)</f>
        <v>0.20565795001845452</v>
      </c>
      <c r="J14" s="1" t="s">
        <v>42</v>
      </c>
      <c r="K14" s="1" t="s">
        <v>41</v>
      </c>
      <c r="V14" s="30" t="s">
        <v>32</v>
      </c>
      <c r="W14" s="2">
        <f>RADIANS(W13)</f>
        <v>1.3962634015954636</v>
      </c>
    </row>
    <row r="15" spans="2:37" x14ac:dyDescent="0.2">
      <c r="B15" s="41">
        <v>65</v>
      </c>
      <c r="C15" s="2">
        <f t="shared" si="0"/>
        <v>1.1344640137963142</v>
      </c>
      <c r="D15" s="19">
        <f t="shared" si="1"/>
        <v>6.4342009999999998</v>
      </c>
      <c r="E15" s="2">
        <f t="shared" si="2"/>
        <v>0.20085411214095833</v>
      </c>
      <c r="F15" s="21">
        <f>COS(C15)^2+COS(2*$W$14-C15)^2</f>
        <v>0.18620231865062628</v>
      </c>
      <c r="G15" s="1">
        <f>(F15-MIN(F$4:F$22))/(MAX(F$4:F$22)-MIN(F$4:F$22))</f>
        <v>6.0307379214091593E-2</v>
      </c>
      <c r="H15" s="1">
        <f>(D15-MIN(D$4:D$22))/(MAX(D$4:D$22)-MIN(D$4:D$22))</f>
        <v>0</v>
      </c>
      <c r="I15" s="1">
        <f>F15/MAX(F$4:F$22)</f>
        <v>9.6707549285526814E-2</v>
      </c>
      <c r="J15" s="1">
        <v>90</v>
      </c>
      <c r="K15" s="1">
        <v>-40</v>
      </c>
    </row>
    <row r="16" spans="2:37" x14ac:dyDescent="0.2">
      <c r="B16" s="41">
        <v>75</v>
      </c>
      <c r="C16" s="2">
        <f t="shared" si="0"/>
        <v>1.3089969389957472</v>
      </c>
      <c r="D16" s="19">
        <f t="shared" si="1"/>
        <v>7.2342010000000005</v>
      </c>
      <c r="E16" s="2">
        <f t="shared" si="2"/>
        <v>0.22582742113655338</v>
      </c>
      <c r="F16" s="21">
        <f>COS(C16)^2+COS(2*$W$14-C16)^2</f>
        <v>7.4583421601676664E-2</v>
      </c>
      <c r="G16" s="1">
        <f>(F16-MIN(F$4:F$22))/(MAX(F$4:F$22)-MIN(F$4:F$22))</f>
        <v>0</v>
      </c>
      <c r="H16" s="1">
        <f>(D16-MIN(D$4:D$22))/(MAX(D$4:D$22)-MIN(D$4:D$22))</f>
        <v>2.439024390243905E-2</v>
      </c>
      <c r="I16" s="1">
        <f>F16/MAX(F$4:F$22)</f>
        <v>3.8736251904364305E-2</v>
      </c>
      <c r="J16" s="1">
        <v>5</v>
      </c>
      <c r="K16" s="1">
        <v>45</v>
      </c>
      <c r="AC16" s="18" t="s">
        <v>56</v>
      </c>
      <c r="AD16" s="18"/>
      <c r="AE16" s="18"/>
      <c r="AF16" s="18"/>
      <c r="AG16" s="18"/>
      <c r="AH16" s="18"/>
      <c r="AI16" s="18"/>
      <c r="AJ16" s="18"/>
      <c r="AK16" s="18"/>
    </row>
    <row r="17" spans="2:37" x14ac:dyDescent="0.2">
      <c r="B17" s="41">
        <v>85</v>
      </c>
      <c r="C17" s="2">
        <f t="shared" si="0"/>
        <v>1.4835298641951802</v>
      </c>
      <c r="D17" s="19">
        <f t="shared" si="1"/>
        <v>9.6342010000000009</v>
      </c>
      <c r="E17" s="2">
        <f t="shared" si="2"/>
        <v>0.30074734812333853</v>
      </c>
      <c r="F17" s="21">
        <f>COS(C17)^2+COS(2*$W$14-C17)^2</f>
        <v>7.4583421601676747E-2</v>
      </c>
      <c r="G17" s="1">
        <f>(F17-MIN(F$4:F$22))/(MAX(F$4:F$22)-MIN(F$4:F$22))</f>
        <v>4.4988780615429271E-17</v>
      </c>
      <c r="H17" s="1">
        <f>(D17-MIN(D$4:D$22))/(MAX(D$4:D$22)-MIN(D$4:D$22))</f>
        <v>9.7560975609756143E-2</v>
      </c>
      <c r="I17" s="1">
        <f>F17/MAX(F$4:F$22)</f>
        <v>3.8736251904364347E-2</v>
      </c>
      <c r="AC17" s="18"/>
      <c r="AD17" s="18"/>
      <c r="AE17" s="18"/>
      <c r="AF17" s="18"/>
      <c r="AG17" s="18"/>
      <c r="AH17" s="18"/>
      <c r="AI17" s="18"/>
      <c r="AJ17" s="18"/>
      <c r="AK17" s="18"/>
    </row>
    <row r="18" spans="2:37" x14ac:dyDescent="0.2">
      <c r="B18" s="41">
        <v>95</v>
      </c>
      <c r="C18" s="2">
        <f t="shared" si="0"/>
        <v>1.6580627893946132</v>
      </c>
      <c r="D18" s="56">
        <f t="shared" si="1"/>
        <v>13.634201000000001</v>
      </c>
      <c r="E18" s="2">
        <f>D18/$D$9</f>
        <v>0.42561389310131381</v>
      </c>
      <c r="F18" s="21">
        <f>COS(C18)^2+COS(2*$W$14-C18)^2</f>
        <v>0.18620231865062647</v>
      </c>
      <c r="G18" s="1">
        <f>(F18-MIN(F$4:F$22))/(MAX(F$4:F$22)-MIN(F$4:F$22))</f>
        <v>6.0307379214091697E-2</v>
      </c>
      <c r="H18" s="1">
        <f>(D18-MIN(D$4:D$22))/(MAX(D$4:D$22)-MIN(D$4:D$22))</f>
        <v>0.21951219512195128</v>
      </c>
      <c r="I18" s="1">
        <f>F18/MAX(F$4:F$22)</f>
        <v>9.6707549285526925E-2</v>
      </c>
      <c r="J18" s="1">
        <v>-90</v>
      </c>
      <c r="K18" s="1">
        <f>J18*$G$16+$H$16</f>
        <v>2.439024390243905E-2</v>
      </c>
      <c r="AC18" s="18"/>
      <c r="AD18" s="18"/>
      <c r="AE18" s="18"/>
      <c r="AF18" s="18"/>
      <c r="AG18" s="18"/>
      <c r="AH18" s="18"/>
      <c r="AI18" s="18"/>
      <c r="AJ18" s="18"/>
      <c r="AK18" s="18"/>
    </row>
    <row r="19" spans="2:37" x14ac:dyDescent="0.2">
      <c r="B19" s="41">
        <v>105</v>
      </c>
      <c r="C19" s="2">
        <f t="shared" si="0"/>
        <v>1.8325957145940461</v>
      </c>
      <c r="D19" s="56">
        <f t="shared" si="1"/>
        <v>19.234200999999999</v>
      </c>
      <c r="E19" s="2">
        <f>D19/$D$9</f>
        <v>0.60042705607047908</v>
      </c>
      <c r="F19" s="21">
        <f>COS(C19)^2+COS(2*$W$14-C19)^2</f>
        <v>0.39597722644494654</v>
      </c>
      <c r="G19" s="1">
        <f>(F19-MIN(F$4:F$22))/(MAX(F$4:F$22)-MIN(F$4:F$22))</f>
        <v>0.17364817766693044</v>
      </c>
      <c r="H19" s="1">
        <f>(D19-MIN(D$4:D$22))/(MAX(D$4:D$22)-MIN(D$4:D$22))</f>
        <v>0.3902439024390244</v>
      </c>
      <c r="I19" s="1">
        <f>F19/MAX(F$4:F$22)</f>
        <v>0.20565795001845474</v>
      </c>
      <c r="J19" s="1">
        <v>-80</v>
      </c>
      <c r="K19" s="1">
        <f t="shared" ref="K19:K36" si="3">J19*$G$16+$H$16</f>
        <v>2.439024390243905E-2</v>
      </c>
      <c r="AC19" s="18"/>
      <c r="AD19" s="18"/>
      <c r="AE19" s="18"/>
      <c r="AF19" s="18"/>
      <c r="AG19" s="18"/>
      <c r="AH19" s="18"/>
      <c r="AI19" s="18"/>
      <c r="AJ19" s="18"/>
      <c r="AK19" s="18"/>
    </row>
    <row r="20" spans="2:37" x14ac:dyDescent="0.2">
      <c r="B20" s="41">
        <v>115</v>
      </c>
      <c r="C20" s="2">
        <f t="shared" si="0"/>
        <v>2.0071286397934789</v>
      </c>
      <c r="D20" s="56">
        <f t="shared" si="1"/>
        <v>24.834201</v>
      </c>
      <c r="E20" s="2">
        <f t="shared" si="2"/>
        <v>0.77524021903964446</v>
      </c>
      <c r="F20" s="21">
        <f>COS(C20)^2+COS(2*$W$14-C20)^2</f>
        <v>0.67860619515673037</v>
      </c>
      <c r="G20" s="1">
        <f>(F20-MIN(F$4:F$22))/(MAX(F$4:F$22)-MIN(F$4:F$22))</f>
        <v>0.3263518223330697</v>
      </c>
      <c r="H20" s="1">
        <f>(D20-MIN(D$4:D$22))/(MAX(D$4:D$22)-MIN(D$4:D$22))</f>
        <v>0.56097560975609762</v>
      </c>
      <c r="I20" s="1">
        <f>F20/MAX(F$4:F$22)</f>
        <v>0.35244642783809182</v>
      </c>
      <c r="J20" s="1">
        <v>-70</v>
      </c>
      <c r="K20" s="1">
        <f t="shared" si="3"/>
        <v>2.439024390243905E-2</v>
      </c>
      <c r="AC20" s="18"/>
      <c r="AD20" s="18"/>
      <c r="AE20" s="18"/>
      <c r="AF20" s="18"/>
      <c r="AG20" s="18"/>
      <c r="AH20" s="18"/>
      <c r="AI20" s="18"/>
      <c r="AJ20" s="18"/>
      <c r="AK20" s="18"/>
    </row>
    <row r="21" spans="2:37" x14ac:dyDescent="0.2">
      <c r="B21" s="41">
        <v>125</v>
      </c>
      <c r="C21" s="2">
        <f t="shared" si="0"/>
        <v>2.1816615649929121</v>
      </c>
      <c r="D21" s="56">
        <f t="shared" si="1"/>
        <v>30.434201000000002</v>
      </c>
      <c r="E21" s="2">
        <f t="shared" si="2"/>
        <v>0.95005338200880984</v>
      </c>
      <c r="F21" s="21">
        <f>COS(C21)^2+COS(2*$W$14-C21)^2</f>
        <v>1.0000000000000002</v>
      </c>
      <c r="G21" s="1">
        <f>(F21-MIN(F$4:F$22))/(MAX(F$4:F$22)-MIN(F$4:F$22))</f>
        <v>0.50000000000000011</v>
      </c>
      <c r="H21" s="1">
        <f>(D21-MIN(D$4:D$22))/(MAX(D$4:D$22)-MIN(D$4:D$22))</f>
        <v>0.73170731707317083</v>
      </c>
      <c r="I21" s="1">
        <f>F21/MAX(F$4:F$22)</f>
        <v>0.51936812595218218</v>
      </c>
      <c r="J21" s="1">
        <v>-60</v>
      </c>
      <c r="K21" s="1">
        <f t="shared" si="3"/>
        <v>2.439024390243905E-2</v>
      </c>
      <c r="AC21" s="18"/>
      <c r="AD21" s="18"/>
      <c r="AE21" s="18"/>
      <c r="AF21" s="18"/>
      <c r="AG21" s="18"/>
      <c r="AH21" s="18"/>
      <c r="AI21" s="18"/>
      <c r="AJ21" s="18"/>
      <c r="AK21" s="18"/>
    </row>
    <row r="22" spans="2:37" ht="16" thickBot="1" x14ac:dyDescent="0.25">
      <c r="B22" s="43">
        <v>135</v>
      </c>
      <c r="C22" s="24">
        <f t="shared" si="0"/>
        <v>2.3561944901923448</v>
      </c>
      <c r="D22" s="64">
        <f t="shared" si="1"/>
        <v>35.234200999999999</v>
      </c>
      <c r="E22" s="24">
        <f t="shared" si="2"/>
        <v>1.0998932359823801</v>
      </c>
      <c r="F22" s="25">
        <f>COS(C22)^2+COS(2*$W$14-C22)^2</f>
        <v>1.3213938048432694</v>
      </c>
      <c r="G22" s="1">
        <f>(F22-MIN(F$4:F$22))/(MAX(F$4:F$22)-MIN(F$4:F$22))</f>
        <v>0.67364817766693019</v>
      </c>
      <c r="H22" s="1">
        <f>(D22-MIN(D$4:D$22))/(MAX(D$4:D$22)-MIN(D$4:D$22))</f>
        <v>0.87804878048780488</v>
      </c>
      <c r="I22" s="1">
        <f>F22/MAX(F$4:F$22)</f>
        <v>0.68628982406627226</v>
      </c>
      <c r="J22" s="1">
        <v>-50</v>
      </c>
      <c r="K22" s="1">
        <f t="shared" si="3"/>
        <v>2.439024390243905E-2</v>
      </c>
      <c r="AC22" s="18"/>
      <c r="AD22" s="18"/>
      <c r="AE22" s="18"/>
      <c r="AF22" s="18"/>
      <c r="AG22" s="18"/>
      <c r="AH22" s="18"/>
      <c r="AI22" s="18"/>
      <c r="AJ22" s="18"/>
      <c r="AK22" s="18"/>
    </row>
    <row r="23" spans="2:37" x14ac:dyDescent="0.2">
      <c r="B23" s="59"/>
      <c r="D23" s="59"/>
      <c r="J23" s="1">
        <v>-40</v>
      </c>
      <c r="K23" s="1">
        <f t="shared" si="3"/>
        <v>2.439024390243905E-2</v>
      </c>
      <c r="AC23" s="18"/>
      <c r="AD23" s="18"/>
      <c r="AE23" s="18"/>
      <c r="AF23" s="18"/>
      <c r="AG23" s="18"/>
      <c r="AH23" s="18"/>
      <c r="AI23" s="18"/>
      <c r="AJ23" s="18"/>
      <c r="AK23" s="18"/>
    </row>
    <row r="24" spans="2:37" x14ac:dyDescent="0.2">
      <c r="C24" s="1" cm="1">
        <f t="array" ref="C24:C42">COS(C4:C22)^2</f>
        <v>0.50000000000000011</v>
      </c>
      <c r="E24" s="2">
        <v>0</v>
      </c>
      <c r="G24" s="2">
        <v>37.6</v>
      </c>
      <c r="J24" s="1">
        <v>-30</v>
      </c>
      <c r="K24" s="1">
        <f t="shared" si="3"/>
        <v>2.439024390243905E-2</v>
      </c>
      <c r="AC24" s="18"/>
      <c r="AD24" s="18"/>
      <c r="AE24" s="18"/>
      <c r="AF24" s="18"/>
      <c r="AG24" s="18"/>
      <c r="AH24" s="18"/>
      <c r="AI24" s="18"/>
      <c r="AJ24" s="18"/>
      <c r="AK24" s="18"/>
    </row>
    <row r="25" spans="2:37" x14ac:dyDescent="0.2">
      <c r="C25" s="1">
        <v>0.67101007166283433</v>
      </c>
      <c r="E25" s="2">
        <v>10</v>
      </c>
      <c r="G25" s="2">
        <v>40.4</v>
      </c>
      <c r="J25" s="1">
        <v>-20</v>
      </c>
      <c r="K25" s="1">
        <f t="shared" si="3"/>
        <v>2.439024390243905E-2</v>
      </c>
      <c r="AC25" s="18"/>
      <c r="AD25" s="18"/>
      <c r="AE25" s="18"/>
      <c r="AF25" s="18"/>
      <c r="AG25" s="18"/>
      <c r="AH25" s="18"/>
      <c r="AI25" s="18"/>
      <c r="AJ25" s="18"/>
      <c r="AK25" s="18"/>
    </row>
    <row r="26" spans="2:37" x14ac:dyDescent="0.2">
      <c r="C26" s="1">
        <v>0.82139380484326963</v>
      </c>
      <c r="E26" s="2">
        <v>20</v>
      </c>
      <c r="G26" s="2">
        <v>42.4</v>
      </c>
      <c r="J26" s="1">
        <v>-10</v>
      </c>
      <c r="K26" s="1">
        <f t="shared" si="3"/>
        <v>2.439024390243905E-2</v>
      </c>
      <c r="AC26" s="18"/>
      <c r="AD26" s="18"/>
      <c r="AE26" s="18"/>
      <c r="AF26" s="18"/>
      <c r="AG26" s="18"/>
      <c r="AH26" s="18"/>
      <c r="AI26" s="18"/>
      <c r="AJ26" s="18"/>
      <c r="AK26" s="18"/>
    </row>
    <row r="27" spans="2:37" x14ac:dyDescent="0.2">
      <c r="C27" s="1">
        <v>0.93301270189221941</v>
      </c>
      <c r="E27" s="2">
        <v>30</v>
      </c>
      <c r="G27" s="2">
        <v>41.6</v>
      </c>
      <c r="J27" s="1">
        <v>0</v>
      </c>
      <c r="K27" s="1">
        <f t="shared" si="3"/>
        <v>2.439024390243905E-2</v>
      </c>
      <c r="AC27" s="18"/>
      <c r="AD27" s="18"/>
      <c r="AE27" s="18"/>
      <c r="AF27" s="18"/>
      <c r="AG27" s="18"/>
      <c r="AH27" s="18"/>
      <c r="AI27" s="18"/>
      <c r="AJ27" s="18"/>
      <c r="AK27" s="18"/>
    </row>
    <row r="28" spans="2:37" x14ac:dyDescent="0.2">
      <c r="C28" s="1">
        <v>0.99240387650610407</v>
      </c>
      <c r="E28" s="2">
        <v>40</v>
      </c>
      <c r="G28" s="2">
        <v>39.200000000000003</v>
      </c>
      <c r="J28" s="1">
        <v>10</v>
      </c>
      <c r="K28" s="1">
        <f t="shared" si="3"/>
        <v>2.439024390243905E-2</v>
      </c>
      <c r="AC28" s="18"/>
      <c r="AD28" s="18"/>
      <c r="AE28" s="18"/>
      <c r="AF28" s="18"/>
      <c r="AG28" s="18"/>
      <c r="AH28" s="18"/>
      <c r="AI28" s="18"/>
      <c r="AJ28" s="18"/>
      <c r="AK28" s="18"/>
    </row>
    <row r="29" spans="2:37" x14ac:dyDescent="0.2">
      <c r="C29" s="1">
        <v>0.99240387650610407</v>
      </c>
      <c r="E29" s="49">
        <v>50</v>
      </c>
      <c r="G29" s="2">
        <v>35.200000000000003</v>
      </c>
      <c r="J29" s="1">
        <v>20</v>
      </c>
      <c r="K29" s="1">
        <f t="shared" si="3"/>
        <v>2.439024390243905E-2</v>
      </c>
      <c r="AC29" s="18"/>
      <c r="AD29" s="18"/>
      <c r="AE29" s="18"/>
      <c r="AF29" s="18"/>
      <c r="AG29" s="18"/>
      <c r="AH29" s="18"/>
      <c r="AI29" s="18"/>
      <c r="AJ29" s="18"/>
      <c r="AK29" s="18"/>
    </row>
    <row r="30" spans="2:37" x14ac:dyDescent="0.2">
      <c r="C30" s="1">
        <v>0.93301270189221941</v>
      </c>
      <c r="E30" s="49">
        <v>60</v>
      </c>
      <c r="G30" s="2">
        <v>30.4</v>
      </c>
      <c r="J30" s="1">
        <v>30</v>
      </c>
      <c r="K30" s="1">
        <f t="shared" si="3"/>
        <v>2.439024390243905E-2</v>
      </c>
    </row>
    <row r="31" spans="2:37" x14ac:dyDescent="0.2">
      <c r="C31" s="1">
        <v>0.82139380484326963</v>
      </c>
      <c r="E31" s="2">
        <v>70</v>
      </c>
      <c r="G31" s="2">
        <v>24.8</v>
      </c>
      <c r="J31" s="1">
        <v>40</v>
      </c>
      <c r="K31" s="1">
        <f t="shared" si="3"/>
        <v>2.439024390243905E-2</v>
      </c>
    </row>
    <row r="32" spans="2:37" x14ac:dyDescent="0.2">
      <c r="C32" s="1">
        <v>0.67101007166283433</v>
      </c>
      <c r="E32" s="2">
        <v>80</v>
      </c>
      <c r="G32" s="2">
        <v>20</v>
      </c>
      <c r="J32" s="1">
        <v>50</v>
      </c>
      <c r="K32" s="1">
        <f t="shared" si="3"/>
        <v>2.439024390243905E-2</v>
      </c>
    </row>
    <row r="33" spans="3:11" x14ac:dyDescent="0.2">
      <c r="C33" s="1">
        <v>0.50000000000000011</v>
      </c>
      <c r="E33" s="2">
        <v>90</v>
      </c>
      <c r="G33" s="2">
        <v>14.4</v>
      </c>
      <c r="J33" s="1">
        <v>60</v>
      </c>
      <c r="K33" s="1">
        <f t="shared" si="3"/>
        <v>2.439024390243905E-2</v>
      </c>
    </row>
    <row r="34" spans="3:11" x14ac:dyDescent="0.2">
      <c r="C34" s="1">
        <v>0.32898992833716556</v>
      </c>
      <c r="E34" s="2">
        <v>-10</v>
      </c>
      <c r="G34" s="2">
        <v>11.2</v>
      </c>
      <c r="J34" s="1">
        <v>70</v>
      </c>
      <c r="K34" s="1">
        <f t="shared" si="3"/>
        <v>2.439024390243905E-2</v>
      </c>
    </row>
    <row r="35" spans="3:11" x14ac:dyDescent="0.2">
      <c r="C35" s="1">
        <v>0.17860619515673035</v>
      </c>
      <c r="E35" s="2">
        <v>-20</v>
      </c>
      <c r="G35" s="2">
        <v>9.6</v>
      </c>
      <c r="J35" s="1">
        <v>80</v>
      </c>
      <c r="K35" s="1">
        <f t="shared" si="3"/>
        <v>2.439024390243905E-2</v>
      </c>
    </row>
    <row r="36" spans="3:11" x14ac:dyDescent="0.2">
      <c r="C36" s="1">
        <v>6.698729810778066E-2</v>
      </c>
      <c r="E36" s="2">
        <v>-30</v>
      </c>
      <c r="G36" s="2">
        <v>10.4</v>
      </c>
      <c r="J36" s="1">
        <v>90</v>
      </c>
      <c r="K36" s="1">
        <f t="shared" si="3"/>
        <v>2.439024390243905E-2</v>
      </c>
    </row>
    <row r="37" spans="3:11" x14ac:dyDescent="0.2">
      <c r="C37" s="1">
        <v>7.5961234938959638E-3</v>
      </c>
      <c r="E37" s="2">
        <v>-40</v>
      </c>
      <c r="G37" s="2">
        <v>12.8</v>
      </c>
    </row>
    <row r="38" spans="3:11" x14ac:dyDescent="0.2">
      <c r="C38" s="1">
        <v>7.5961234938959812E-3</v>
      </c>
      <c r="E38" s="2">
        <v>-50</v>
      </c>
      <c r="G38" s="2">
        <v>16.8</v>
      </c>
    </row>
    <row r="39" spans="3:11" x14ac:dyDescent="0.2">
      <c r="C39" s="1">
        <v>6.6987298107780716E-2</v>
      </c>
      <c r="E39" s="2">
        <v>-60</v>
      </c>
      <c r="G39" s="2">
        <v>22.4</v>
      </c>
    </row>
    <row r="40" spans="3:11" x14ac:dyDescent="0.2">
      <c r="C40" s="1">
        <v>0.17860619515673024</v>
      </c>
      <c r="E40" s="2">
        <v>-70</v>
      </c>
      <c r="G40" s="2">
        <v>28</v>
      </c>
    </row>
    <row r="41" spans="3:11" x14ac:dyDescent="0.2">
      <c r="C41" s="1">
        <v>0.32898992833716573</v>
      </c>
      <c r="E41" s="2">
        <v>-80</v>
      </c>
      <c r="G41" s="2">
        <v>33.6</v>
      </c>
    </row>
    <row r="42" spans="3:11" x14ac:dyDescent="0.2">
      <c r="C42" s="1">
        <v>0.49999999999999989</v>
      </c>
      <c r="E42" s="2">
        <v>-90</v>
      </c>
      <c r="G42" s="2">
        <v>38.4</v>
      </c>
    </row>
  </sheetData>
  <mergeCells count="3">
    <mergeCell ref="U6:W10"/>
    <mergeCell ref="B2:F2"/>
    <mergeCell ref="AC16:AK2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0DFD-D638-43EC-8030-F74C3758638B}">
  <dimension ref="B1:AE32"/>
  <sheetViews>
    <sheetView zoomScale="140" zoomScaleNormal="140" workbookViewId="0">
      <selection activeCell="G16" sqref="G16"/>
    </sheetView>
  </sheetViews>
  <sheetFormatPr baseColWidth="10" defaultColWidth="8.83203125" defaultRowHeight="15" x14ac:dyDescent="0.2"/>
  <cols>
    <col min="1" max="2" width="8.83203125" style="1"/>
    <col min="3" max="3" width="10" style="1" bestFit="1" customWidth="1"/>
    <col min="4" max="4" width="12" style="1" bestFit="1" customWidth="1"/>
    <col min="5" max="5" width="12" style="1" customWidth="1"/>
    <col min="6" max="9" width="8.83203125" style="1"/>
    <col min="10" max="11" width="10.5" style="1" bestFit="1" customWidth="1"/>
    <col min="12" max="13" width="8.83203125" style="1"/>
    <col min="14" max="15" width="10" style="1" bestFit="1" customWidth="1"/>
    <col min="16" max="19" width="8.83203125" style="1"/>
    <col min="20" max="20" width="11" style="1" bestFit="1" customWidth="1"/>
    <col min="21" max="21" width="8.83203125" style="1"/>
    <col min="22" max="22" width="11.5" style="1" customWidth="1"/>
    <col min="23" max="27" width="8.83203125" style="1"/>
    <col min="28" max="28" width="10" style="1" customWidth="1"/>
    <col min="29" max="29" width="11.1640625" style="1" customWidth="1"/>
    <col min="30" max="16384" width="8.83203125" style="1"/>
  </cols>
  <sheetData>
    <row r="1" spans="2:31" ht="16" thickBot="1" x14ac:dyDescent="0.25"/>
    <row r="2" spans="2:31" x14ac:dyDescent="0.2">
      <c r="B2" s="26" t="s">
        <v>60</v>
      </c>
      <c r="C2" s="27" t="s">
        <v>61</v>
      </c>
      <c r="D2" s="27" t="s">
        <v>62</v>
      </c>
      <c r="E2" s="27" t="s">
        <v>63</v>
      </c>
      <c r="F2" s="27" t="s">
        <v>64</v>
      </c>
      <c r="G2" s="28" t="s">
        <v>8</v>
      </c>
      <c r="H2" s="1" t="s">
        <v>34</v>
      </c>
      <c r="S2" s="30" t="s">
        <v>28</v>
      </c>
      <c r="T2" s="5">
        <v>299702547</v>
      </c>
    </row>
    <row r="3" spans="2:31" x14ac:dyDescent="0.2">
      <c r="B3" s="6">
        <v>0.08</v>
      </c>
      <c r="C3" s="3">
        <f>0.00000006</f>
        <v>5.9999999999999995E-8</v>
      </c>
      <c r="D3" s="2">
        <v>2.17</v>
      </c>
      <c r="E3" s="2">
        <f>RADIANS(D3)</f>
        <v>3.7873644768276947E-2</v>
      </c>
      <c r="F3" s="2">
        <f>B3*$J$4+$K$4</f>
        <v>3.5015524091894996E-8</v>
      </c>
      <c r="G3" s="20">
        <f>C3-F3</f>
        <v>2.4984475908104999E-8</v>
      </c>
      <c r="H3" s="1">
        <f>D3-D24</f>
        <v>-3.4951752280364872</v>
      </c>
      <c r="I3" s="29" t="s">
        <v>15</v>
      </c>
      <c r="J3" s="29"/>
      <c r="K3" s="29"/>
      <c r="L3" s="29"/>
      <c r="N3" s="30" t="s">
        <v>17</v>
      </c>
      <c r="O3" s="2">
        <f>60*10^6</f>
        <v>60000000</v>
      </c>
      <c r="P3" s="30" t="s">
        <v>21</v>
      </c>
      <c r="Q3" s="2">
        <v>5000</v>
      </c>
      <c r="S3" s="30" t="s">
        <v>16</v>
      </c>
      <c r="T3" s="3">
        <f>O3*O5/J4</f>
        <v>307467937.86113948</v>
      </c>
    </row>
    <row r="4" spans="2:31" x14ac:dyDescent="0.2">
      <c r="B4" s="6">
        <v>0.28000000000000003</v>
      </c>
      <c r="C4" s="3">
        <v>4.7999999999999996E-7</v>
      </c>
      <c r="D4" s="2">
        <v>16.7</v>
      </c>
      <c r="E4" s="2">
        <f t="shared" ref="E4:E11" si="0">RADIANS(D4)</f>
        <v>0.291469985083053</v>
      </c>
      <c r="F4" s="2">
        <f>B4*$J$4+$K$4</f>
        <v>4.2530012038107016E-7</v>
      </c>
      <c r="G4" s="21">
        <f t="shared" ref="G4:G11" si="1">C4-F4</f>
        <v>5.4699879618929798E-8</v>
      </c>
      <c r="H4" s="1">
        <f>D4-D25</f>
        <v>-3.1281132981277082</v>
      </c>
      <c r="I4" s="30" t="s">
        <v>9</v>
      </c>
      <c r="J4" s="3">
        <f t="array" ref="J4:K6">LINEST(C3:C11,B3:B11,1,1)</f>
        <v>1.9514229814458755E-6</v>
      </c>
      <c r="K4" s="10">
        <v>-1.2109831442377505E-7</v>
      </c>
      <c r="L4" s="30" t="s">
        <v>12</v>
      </c>
      <c r="N4" s="30" t="s">
        <v>19</v>
      </c>
      <c r="O4" s="3">
        <f>O3-O6</f>
        <v>100000</v>
      </c>
      <c r="P4" s="30" t="s">
        <v>22</v>
      </c>
      <c r="Q4" s="2">
        <v>5000</v>
      </c>
      <c r="S4" s="30" t="s">
        <v>25</v>
      </c>
      <c r="T4" s="3">
        <f>SQRT((O5/J4*Q3)^2+(O3/J4*Q5)^2+(O3*O5/(J4^2)*J5)^2)</f>
        <v>16380537.397766251</v>
      </c>
      <c r="AB4" s="30" t="s">
        <v>47</v>
      </c>
      <c r="AC4" s="2">
        <v>0.05</v>
      </c>
    </row>
    <row r="5" spans="2:31" x14ac:dyDescent="0.2">
      <c r="B5" s="6">
        <v>0.47</v>
      </c>
      <c r="C5" s="3">
        <v>7.1999999999999999E-7</v>
      </c>
      <c r="D5" s="2">
        <v>27</v>
      </c>
      <c r="E5" s="2">
        <f t="shared" si="0"/>
        <v>0.47123889803846897</v>
      </c>
      <c r="F5" s="2">
        <f>B5*$J$4+$K$4</f>
        <v>7.9607048685578637E-7</v>
      </c>
      <c r="G5" s="21">
        <f t="shared" si="1"/>
        <v>-7.6070486855786379E-8</v>
      </c>
      <c r="H5" s="1">
        <f>D5-D26</f>
        <v>-6.2829044647143633</v>
      </c>
      <c r="I5" s="30" t="s">
        <v>10</v>
      </c>
      <c r="J5" s="31">
        <v>3.5891443440655907E-8</v>
      </c>
      <c r="K5" s="31">
        <v>3.6102730597873966E-8</v>
      </c>
      <c r="L5" s="30" t="s">
        <v>13</v>
      </c>
      <c r="N5" s="30" t="s">
        <v>18</v>
      </c>
      <c r="O5" s="2">
        <f>1/O4</f>
        <v>1.0000000000000001E-5</v>
      </c>
      <c r="P5" s="30" t="s">
        <v>23</v>
      </c>
      <c r="Q5" s="2">
        <f>ABS(1/(O4^2)*Q4)</f>
        <v>4.9999999999999998E-7</v>
      </c>
      <c r="S5" s="30" t="s">
        <v>26</v>
      </c>
      <c r="T5" s="4">
        <f>T4/T3</f>
        <v>5.3275595210724468E-2</v>
      </c>
      <c r="V5" s="1" t="s">
        <v>43</v>
      </c>
      <c r="AB5" s="30" t="s">
        <v>48</v>
      </c>
      <c r="AC5" s="3">
        <v>2.5399999999999998E-6</v>
      </c>
    </row>
    <row r="6" spans="2:31" x14ac:dyDescent="0.2">
      <c r="B6" s="6">
        <v>0.68</v>
      </c>
      <c r="C6" s="3">
        <v>1.1599999999999999E-6</v>
      </c>
      <c r="D6" s="2">
        <v>44.5</v>
      </c>
      <c r="E6" s="2">
        <f t="shared" si="0"/>
        <v>0.77667151713747662</v>
      </c>
      <c r="F6" s="2">
        <f>B6*$J$4+$K$4</f>
        <v>1.2058693129594205E-6</v>
      </c>
      <c r="G6" s="21">
        <f t="shared" si="1"/>
        <v>-4.586931295942058E-8</v>
      </c>
      <c r="H6" s="1">
        <f>D6-D27</f>
        <v>-3.6539894383101412</v>
      </c>
      <c r="I6" s="30" t="s">
        <v>11</v>
      </c>
      <c r="J6" s="8">
        <v>0.99763761935332551</v>
      </c>
      <c r="K6" s="10">
        <v>5.4466045592965994E-8</v>
      </c>
      <c r="L6" s="30" t="s">
        <v>14</v>
      </c>
      <c r="N6" s="30" t="s">
        <v>20</v>
      </c>
      <c r="O6" s="2">
        <f>59.9*10^6</f>
        <v>59900000</v>
      </c>
      <c r="P6" s="30" t="s">
        <v>24</v>
      </c>
      <c r="Q6" s="2">
        <v>5000</v>
      </c>
      <c r="S6" s="30" t="s">
        <v>27</v>
      </c>
      <c r="T6" s="4">
        <f>ABS(T3-T2)/T2</f>
        <v>2.5910326551677507E-2</v>
      </c>
      <c r="AB6" s="30" t="s">
        <v>49</v>
      </c>
      <c r="AC6" s="3">
        <v>2.61E-6</v>
      </c>
    </row>
    <row r="7" spans="2:31" x14ac:dyDescent="0.2">
      <c r="B7" s="6">
        <v>0.87</v>
      </c>
      <c r="C7" s="3">
        <v>1.5400000000000001E-6</v>
      </c>
      <c r="D7" s="2">
        <v>56.7</v>
      </c>
      <c r="E7" s="2">
        <f t="shared" si="0"/>
        <v>0.9896016858807849</v>
      </c>
      <c r="F7" s="2">
        <f>B7*$J$4+$K$4</f>
        <v>1.5766396794341367E-6</v>
      </c>
      <c r="G7" s="21">
        <f t="shared" si="1"/>
        <v>-3.6639679434136615E-8</v>
      </c>
      <c r="H7" s="1">
        <f>D7-D28</f>
        <v>-4.9087806048967977</v>
      </c>
      <c r="AB7" s="30" t="s">
        <v>28</v>
      </c>
      <c r="AC7" s="3">
        <v>299702547</v>
      </c>
    </row>
    <row r="8" spans="2:31" x14ac:dyDescent="0.2">
      <c r="B8" s="6">
        <v>1.075</v>
      </c>
      <c r="C8" s="3">
        <v>2.0600000000000002E-6</v>
      </c>
      <c r="D8" s="2">
        <v>70.099999999999994</v>
      </c>
      <c r="E8" s="2">
        <f t="shared" si="0"/>
        <v>1.2234758056480248</v>
      </c>
      <c r="F8" s="2">
        <f>B8*$J$4+$K$4</f>
        <v>1.9766813906305412E-6</v>
      </c>
      <c r="G8" s="21">
        <f t="shared" si="1"/>
        <v>8.3318609369459007E-8</v>
      </c>
      <c r="H8" s="1">
        <f>D8-D29</f>
        <v>-6.0257921267402992</v>
      </c>
      <c r="AB8" s="30" t="s">
        <v>44</v>
      </c>
      <c r="AC8" s="8">
        <f>1 + (AC7*(AC6-AC5))/(O3*O5*AC4)</f>
        <v>1.6993059430000019</v>
      </c>
    </row>
    <row r="9" spans="2:31" x14ac:dyDescent="0.2">
      <c r="B9" s="6">
        <v>1.2749999999999999</v>
      </c>
      <c r="C9" s="3">
        <v>2.3599999999999999E-6</v>
      </c>
      <c r="D9" s="2">
        <v>86.5</v>
      </c>
      <c r="E9" s="2">
        <f t="shared" si="0"/>
        <v>1.509709802975095</v>
      </c>
      <c r="F9" s="2">
        <f>B9*$J$4+$K$4</f>
        <v>2.3669659869197164E-6</v>
      </c>
      <c r="G9" s="21">
        <f t="shared" si="1"/>
        <v>-6.9659869197165928E-9</v>
      </c>
      <c r="H9" s="1">
        <f>D9-D30</f>
        <v>-3.7887301968315086</v>
      </c>
      <c r="AB9" s="30" t="s">
        <v>45</v>
      </c>
      <c r="AC9" s="8">
        <v>0.14571000000000001</v>
      </c>
    </row>
    <row r="10" spans="2:31" x14ac:dyDescent="0.2">
      <c r="B10" s="6">
        <v>1.4750000000000001</v>
      </c>
      <c r="C10" s="3">
        <v>2.7800000000000001E-6</v>
      </c>
      <c r="D10" s="2">
        <v>102</v>
      </c>
      <c r="E10" s="2">
        <f t="shared" si="0"/>
        <v>1.7802358370342162</v>
      </c>
      <c r="F10" s="2">
        <f>B10*$J$4+$K$4</f>
        <v>2.7572505832088917E-6</v>
      </c>
      <c r="G10" s="21">
        <f t="shared" si="1"/>
        <v>2.2749416791108352E-8</v>
      </c>
      <c r="H10" s="1">
        <f>D10-D31</f>
        <v>-2.4516682669227379</v>
      </c>
      <c r="AB10" s="30" t="s">
        <v>51</v>
      </c>
      <c r="AC10" s="12">
        <f>AC9/AC8</f>
        <v>8.5746772439787691E-2</v>
      </c>
    </row>
    <row r="11" spans="2:31" ht="16" thickBot="1" x14ac:dyDescent="0.25">
      <c r="B11" s="22">
        <v>1.62</v>
      </c>
      <c r="C11" s="23">
        <v>3.0199999999999999E-6</v>
      </c>
      <c r="D11" s="24">
        <v>110</v>
      </c>
      <c r="E11" s="24">
        <f t="shared" si="0"/>
        <v>1.9198621771937625</v>
      </c>
      <c r="F11" s="24">
        <f>B11*$J$4+$K$4</f>
        <v>3.0402069155185433E-6</v>
      </c>
      <c r="G11" s="25">
        <f t="shared" si="1"/>
        <v>-2.0206915518543432E-8</v>
      </c>
      <c r="H11" s="1">
        <f>D11-D32</f>
        <v>-4.7197983677388748</v>
      </c>
      <c r="AB11" s="30" t="s">
        <v>27</v>
      </c>
      <c r="AC11" s="13">
        <f>(AC8-AE11)/AE11</f>
        <v>0.14047378724832346</v>
      </c>
      <c r="AD11" s="30" t="s">
        <v>53</v>
      </c>
      <c r="AE11" s="2">
        <v>1.49</v>
      </c>
    </row>
    <row r="13" spans="2:31" x14ac:dyDescent="0.2">
      <c r="C13" s="1">
        <f t="array" ref="C13">LINEST(C3:C5,B3:B5,1,1)</f>
        <v>1.6958808063102542E-6</v>
      </c>
      <c r="D13" s="1" cm="1">
        <f t="array" ref="D13:D21">B3:B11*C13</f>
        <v>1.3567046450482035E-7</v>
      </c>
      <c r="AB13" s="30" t="s">
        <v>46</v>
      </c>
      <c r="AC13" s="3">
        <f>AC7/AC8</f>
        <v>176367621.28360289</v>
      </c>
    </row>
    <row r="14" spans="2:31" x14ac:dyDescent="0.2">
      <c r="D14" s="1">
        <v>4.7484662576687121E-7</v>
      </c>
      <c r="AB14" s="30" t="s">
        <v>50</v>
      </c>
      <c r="AC14" s="3">
        <f>SQRT((0)^2+(AC7/(AC8^2)*AC9)^2)</f>
        <v>15122954.287951753</v>
      </c>
    </row>
    <row r="15" spans="2:31" x14ac:dyDescent="0.2">
      <c r="D15" s="1">
        <v>7.9706397896581941E-7</v>
      </c>
      <c r="AB15" s="30" t="s">
        <v>52</v>
      </c>
      <c r="AC15" s="12">
        <f>AC14/AC13</f>
        <v>8.5746772439787691E-2</v>
      </c>
    </row>
    <row r="16" spans="2:31" x14ac:dyDescent="0.2">
      <c r="D16" s="1">
        <v>1.153198948290973E-6</v>
      </c>
      <c r="AB16" s="30" t="s">
        <v>27</v>
      </c>
      <c r="AC16" s="13">
        <f>ABS(AC13-AE16)/AE16</f>
        <v>0.12317142999599436</v>
      </c>
      <c r="AD16" s="30" t="s">
        <v>53</v>
      </c>
      <c r="AE16" s="3">
        <f>AC7/AE11</f>
        <v>201142648.99328861</v>
      </c>
    </row>
    <row r="17" spans="3:15" x14ac:dyDescent="0.2">
      <c r="D17" s="1">
        <v>1.4754163014899211E-6</v>
      </c>
    </row>
    <row r="18" spans="3:15" x14ac:dyDescent="0.2">
      <c r="D18" s="1">
        <v>1.8230718667835232E-6</v>
      </c>
    </row>
    <row r="19" spans="3:15" x14ac:dyDescent="0.2">
      <c r="D19" s="1">
        <v>2.1622480280455737E-6</v>
      </c>
    </row>
    <row r="20" spans="3:15" x14ac:dyDescent="0.2">
      <c r="D20" s="1">
        <v>2.5014241893076249E-6</v>
      </c>
    </row>
    <row r="21" spans="3:15" x14ac:dyDescent="0.2">
      <c r="D21" s="1">
        <v>2.747326906222612E-6</v>
      </c>
    </row>
    <row r="24" spans="3:15" x14ac:dyDescent="0.2">
      <c r="C24" s="1">
        <f t="array" ref="C24">LINEST(D3:D11,B3:B11,1,1)</f>
        <v>70.81469035045609</v>
      </c>
      <c r="D24" s="1" cm="1">
        <f t="array" ref="D24:D32">B3:B11*C24</f>
        <v>5.6651752280364871</v>
      </c>
      <c r="I24" s="29" t="s">
        <v>15</v>
      </c>
      <c r="J24" s="29"/>
      <c r="K24" s="29"/>
      <c r="L24" s="29"/>
      <c r="N24" s="30" t="s">
        <v>16</v>
      </c>
      <c r="O24" s="10">
        <f>2*PI()*O3/J25</f>
        <v>305021456.60883886</v>
      </c>
    </row>
    <row r="25" spans="3:15" x14ac:dyDescent="0.2">
      <c r="D25" s="1">
        <v>19.828113298127708</v>
      </c>
      <c r="I25" s="30" t="s">
        <v>9</v>
      </c>
      <c r="J25" s="19">
        <f t="array" ref="J25:K27">LINEST(E3:E11,B3:B11,1,1)</f>
        <v>1.2359495053957157</v>
      </c>
      <c r="K25" s="19">
        <v>-7.457394732914624E-2</v>
      </c>
      <c r="L25" s="30" t="s">
        <v>12</v>
      </c>
      <c r="N25" s="30" t="s">
        <v>25</v>
      </c>
      <c r="O25" s="11">
        <f>SQRT((2*PI()/J25*Q3)^2+(2*PI()/(J25^2)*O3*J26)^2)</f>
        <v>3951544.9737040373</v>
      </c>
    </row>
    <row r="26" spans="3:15" x14ac:dyDescent="0.2">
      <c r="D26" s="1">
        <v>33.282904464714363</v>
      </c>
      <c r="I26" s="30" t="s">
        <v>10</v>
      </c>
      <c r="J26" s="8">
        <v>1.6011362174364403E-2</v>
      </c>
      <c r="K26" s="8">
        <v>1.610561848931601E-2</v>
      </c>
      <c r="L26" s="30" t="s">
        <v>13</v>
      </c>
      <c r="N26" s="30" t="s">
        <v>26</v>
      </c>
      <c r="O26" s="4">
        <f>O25/O24</f>
        <v>1.295497378327558E-2</v>
      </c>
    </row>
    <row r="27" spans="3:15" x14ac:dyDescent="0.2">
      <c r="D27" s="1">
        <v>48.153989438310141</v>
      </c>
      <c r="I27" s="30" t="s">
        <v>11</v>
      </c>
      <c r="J27" s="8">
        <v>0.99882660765810438</v>
      </c>
      <c r="K27" s="8">
        <v>2.4297590138338716E-2</v>
      </c>
      <c r="L27" s="30" t="s">
        <v>14</v>
      </c>
      <c r="N27" s="30" t="s">
        <v>27</v>
      </c>
      <c r="O27" s="4">
        <f>ABS(O24-T2)/T2</f>
        <v>1.774729531690919E-2</v>
      </c>
    </row>
    <row r="28" spans="3:15" x14ac:dyDescent="0.2">
      <c r="D28" s="1">
        <v>61.608780604896801</v>
      </c>
    </row>
    <row r="29" spans="3:15" x14ac:dyDescent="0.2">
      <c r="D29" s="1">
        <v>76.125792126740293</v>
      </c>
    </row>
    <row r="30" spans="3:15" x14ac:dyDescent="0.2">
      <c r="D30" s="1">
        <v>90.288730196831509</v>
      </c>
    </row>
    <row r="31" spans="3:15" x14ac:dyDescent="0.2">
      <c r="D31" s="1">
        <v>104.45166826692274</v>
      </c>
    </row>
    <row r="32" spans="3:15" x14ac:dyDescent="0.2">
      <c r="D32" s="1">
        <v>114.71979836773887</v>
      </c>
    </row>
  </sheetData>
  <mergeCells count="2">
    <mergeCell ref="I3:L3"/>
    <mergeCell ref="I24:L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Polarização</vt:lpstr>
      <vt:lpstr>Lâmina - 83</vt:lpstr>
      <vt:lpstr>Luz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Juliana Marília da Silva Machado</cp:lastModifiedBy>
  <dcterms:created xsi:type="dcterms:W3CDTF">2023-09-24T21:28:11Z</dcterms:created>
  <dcterms:modified xsi:type="dcterms:W3CDTF">2024-11-04T22:08:52Z</dcterms:modified>
</cp:coreProperties>
</file>