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etti\Formula 1000\"/>
    </mc:Choice>
  </mc:AlternateContent>
  <xr:revisionPtr revIDLastSave="0" documentId="13_ncr:1_{D59338C7-386D-4681-AB28-2CDC70AFAE21}" xr6:coauthVersionLast="45" xr6:coauthVersionMax="45" xr10:uidLastSave="{00000000-0000-0000-0000-000000000000}"/>
  <bookViews>
    <workbookView xWindow="-108" yWindow="-108" windowWidth="23256" windowHeight="12576" activeTab="1" xr2:uid="{BC5AFE34-4024-4D0A-8AC1-E2E766C0613E}"/>
  </bookViews>
  <sheets>
    <sheet name="Engine" sheetId="1" r:id="rId1"/>
    <sheet name="Gear Ratio" sheetId="2" r:id="rId2"/>
    <sheet name="Foglio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J15" i="4" l="1"/>
  <c r="K8" i="4"/>
  <c r="J8" i="4"/>
  <c r="C2" i="2"/>
  <c r="G10" i="4" l="1"/>
  <c r="G11" i="4"/>
  <c r="G12" i="4"/>
  <c r="G13" i="4"/>
  <c r="G14" i="4"/>
  <c r="G9" i="4"/>
  <c r="K10" i="4"/>
  <c r="K11" i="4"/>
  <c r="K12" i="4"/>
  <c r="K13" i="4"/>
  <c r="K14" i="4"/>
  <c r="K9" i="4"/>
  <c r="J14" i="4"/>
  <c r="J13" i="4"/>
  <c r="J12" i="4"/>
  <c r="J11" i="4"/>
  <c r="J10" i="4"/>
  <c r="J9" i="4"/>
  <c r="C4" i="2"/>
  <c r="C5" i="2"/>
  <c r="C6" i="2"/>
  <c r="C7" i="2"/>
  <c r="C8" i="2"/>
  <c r="C3" i="2"/>
  <c r="K5" i="1" l="1"/>
  <c r="K4" i="1"/>
  <c r="K8" i="1" s="1"/>
  <c r="K2" i="1"/>
  <c r="K9" i="1" l="1"/>
  <c r="K11" i="1" s="1"/>
  <c r="I18" i="2"/>
  <c r="K10" i="1" l="1"/>
  <c r="K13" i="1"/>
  <c r="E12" i="2" s="1"/>
  <c r="E19" i="2" s="1"/>
  <c r="L12" i="2" l="1"/>
  <c r="E13" i="2" l="1"/>
  <c r="D7" i="2" l="1"/>
  <c r="L7" i="2" s="1"/>
  <c r="D5" i="2"/>
  <c r="L5" i="2" s="1"/>
  <c r="J13" i="2"/>
  <c r="K13" i="2" s="1"/>
  <c r="J15" i="2"/>
  <c r="K15" i="2" s="1"/>
  <c r="J17" i="2"/>
  <c r="K17" i="2" s="1"/>
  <c r="D6" i="2"/>
  <c r="L6" i="2" s="1"/>
  <c r="D8" i="2"/>
  <c r="L8" i="2" s="1"/>
  <c r="E6" i="2"/>
  <c r="G6" i="2" s="1"/>
  <c r="E8" i="2"/>
  <c r="G8" i="2" s="1"/>
  <c r="E7" i="2" l="1"/>
  <c r="G7" i="2" s="1"/>
  <c r="J16" i="2"/>
  <c r="K16" i="2" s="1"/>
  <c r="E5" i="2"/>
  <c r="G5" i="2" s="1"/>
  <c r="J14" i="2"/>
  <c r="K14" i="2" s="1"/>
  <c r="E4" i="2"/>
  <c r="G4" i="2" s="1"/>
  <c r="D4" i="2"/>
  <c r="L4" i="2" s="1"/>
  <c r="F8" i="2" l="1"/>
  <c r="F4" i="2"/>
  <c r="F5" i="2"/>
  <c r="F6" i="2"/>
  <c r="F7" i="2"/>
  <c r="E3" i="2"/>
  <c r="G3" i="2" s="1"/>
  <c r="D3" i="2"/>
  <c r="L3" i="2" s="1"/>
  <c r="J12" i="2"/>
  <c r="K12" i="2" s="1"/>
  <c r="F3" i="2" l="1"/>
  <c r="E20" i="2"/>
</calcChain>
</file>

<file path=xl/sharedStrings.xml><?xml version="1.0" encoding="utf-8"?>
<sst xmlns="http://schemas.openxmlformats.org/spreadsheetml/2006/main" count="103" uniqueCount="64">
  <si>
    <t>Type</t>
  </si>
  <si>
    <t>Liquid-cooled 4-stroke 16-valve DOHC Inline-4</t>
  </si>
  <si>
    <t>No. of Valves per Cylinder</t>
  </si>
  <si>
    <t>Bore Stroke (mm)</t>
  </si>
  <si>
    <t>Compression Ratio</t>
  </si>
  <si>
    <t>Engine Displacement (cc)</t>
  </si>
  <si>
    <t>Max. Torque (Nm)</t>
  </si>
  <si>
    <t>Max. Power Output (kW)</t>
  </si>
  <si>
    <t>Oil Capacity (L)</t>
  </si>
  <si>
    <t>Engine</t>
  </si>
  <si>
    <t>CBR1000RR</t>
  </si>
  <si>
    <t>https://www.hondabigwing.in/cbr1000rr</t>
  </si>
  <si>
    <t>±0.2:01</t>
  </si>
  <si>
    <t>Primary reduction</t>
  </si>
  <si>
    <t>1st</t>
  </si>
  <si>
    <t>2nd</t>
  </si>
  <si>
    <t>3rd</t>
  </si>
  <si>
    <t>4th</t>
  </si>
  <si>
    <t>5th</t>
  </si>
  <si>
    <t>6th</t>
  </si>
  <si>
    <t>-</t>
  </si>
  <si>
    <t>at 11000 rpm</t>
  </si>
  <si>
    <t>at 13000 rpm</t>
  </si>
  <si>
    <t>Min 1st</t>
  </si>
  <si>
    <t>https://www.tremec.com/calculadora.php</t>
  </si>
  <si>
    <t>diameter wheel (m)</t>
  </si>
  <si>
    <t>Speed (km/h)</t>
  </si>
  <si>
    <t>Differential</t>
  </si>
  <si>
    <t>Gear ratio</t>
  </si>
  <si>
    <t>z1</t>
  </si>
  <si>
    <t>z2</t>
  </si>
  <si>
    <t>z1+z2</t>
  </si>
  <si>
    <t>wheelbase (mm)</t>
  </si>
  <si>
    <t>Twheels (Nm)</t>
  </si>
  <si>
    <t>Max power at rpm</t>
  </si>
  <si>
    <t>Max torque (Nm)</t>
  </si>
  <si>
    <t>Peak torque rear wheel ---&gt;</t>
  </si>
  <si>
    <t>At this point max speed ---&gt;</t>
  </si>
  <si>
    <t>max deceleration (g)</t>
  </si>
  <si>
    <t>&lt;--- max 273</t>
  </si>
  <si>
    <t>Tengine [Nm]</t>
  </si>
  <si>
    <t>G. r. shafts</t>
  </si>
  <si>
    <t>G. r. shafts + differential</t>
  </si>
  <si>
    <t>Max torque 1st</t>
  </si>
  <si>
    <t>Check</t>
  </si>
  <si>
    <t>Speed_main_shaft [rpm]</t>
  </si>
  <si>
    <t>Speed_lay_shaft [rpm]</t>
  </si>
  <si>
    <t>Weight Car</t>
  </si>
  <si>
    <t>N</t>
  </si>
  <si>
    <t>Static rear axle load</t>
  </si>
  <si>
    <t>wheelbase</t>
  </si>
  <si>
    <t>mm</t>
  </si>
  <si>
    <t>Static front axle load</t>
  </si>
  <si>
    <t>height center mass</t>
  </si>
  <si>
    <t>Traction force</t>
  </si>
  <si>
    <t>Longitudinal load transfer</t>
  </si>
  <si>
    <t>Rear wheel loads</t>
  </si>
  <si>
    <t>Front wheel loads</t>
  </si>
  <si>
    <t>m</t>
  </si>
  <si>
    <t>Peak torque rear wheels</t>
  </si>
  <si>
    <t>Nm</t>
  </si>
  <si>
    <t>Done in python</t>
  </si>
  <si>
    <t>average coefficient of friction</t>
  </si>
  <si>
    <t>Speed_wheel_shaft [rpm]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</si>
</sst>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164" fontId="0" fillId="0" borderId="0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5" borderId="0" xfId="1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ndabigwing.in/cbr1000r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emec.com/calculador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218D-C6E8-4EBB-9946-9CEF0DD77B72}">
  <dimension ref="C2:N15"/>
  <sheetViews>
    <sheetView workbookViewId="0">
      <selection activeCell="I19" sqref="I19"/>
    </sheetView>
  </sheetViews>
  <sheetFormatPr defaultRowHeight="14.4" x14ac:dyDescent="0.3"/>
  <cols>
    <col min="3" max="3" width="31" bestFit="1" customWidth="1"/>
    <col min="4" max="4" width="23" customWidth="1"/>
    <col min="5" max="5" width="15.88671875" bestFit="1" customWidth="1"/>
    <col min="7" max="7" width="13.44140625" bestFit="1" customWidth="1"/>
    <col min="10" max="10" width="31.77734375" bestFit="1" customWidth="1"/>
    <col min="11" max="11" width="9.6640625" bestFit="1" customWidth="1"/>
    <col min="12" max="12" width="8.77734375" customWidth="1"/>
  </cols>
  <sheetData>
    <row r="2" spans="3:14" ht="18" x14ac:dyDescent="0.3">
      <c r="C2" s="4" t="s">
        <v>9</v>
      </c>
      <c r="D2" s="2" t="s">
        <v>10</v>
      </c>
      <c r="E2" s="2">
        <v>2018</v>
      </c>
      <c r="F2" s="3" t="s">
        <v>11</v>
      </c>
      <c r="J2" s="2" t="s">
        <v>47</v>
      </c>
      <c r="K2" s="2">
        <f xml:space="preserve"> 490 * 9.81</f>
        <v>4806.9000000000005</v>
      </c>
      <c r="L2" s="2" t="s">
        <v>48</v>
      </c>
      <c r="N2" s="35" t="s">
        <v>61</v>
      </c>
    </row>
    <row r="3" spans="3:14" ht="18" x14ac:dyDescent="0.3">
      <c r="J3" s="2" t="s">
        <v>50</v>
      </c>
      <c r="K3" s="2">
        <v>2000</v>
      </c>
      <c r="L3" s="2" t="s">
        <v>51</v>
      </c>
    </row>
    <row r="4" spans="3:14" ht="52.2" x14ac:dyDescent="0.3">
      <c r="C4" s="1" t="s">
        <v>0</v>
      </c>
      <c r="D4" s="1" t="s">
        <v>1</v>
      </c>
      <c r="E4" s="2"/>
      <c r="J4" s="2" t="s">
        <v>49</v>
      </c>
      <c r="K4" s="33">
        <f>(K2*K3*0.55)/K3</f>
        <v>2643.795000000001</v>
      </c>
      <c r="L4" s="2" t="s">
        <v>48</v>
      </c>
    </row>
    <row r="5" spans="3:14" ht="18" x14ac:dyDescent="0.3">
      <c r="C5" s="1" t="s">
        <v>5</v>
      </c>
      <c r="D5" s="1">
        <v>999</v>
      </c>
      <c r="E5" s="2"/>
      <c r="J5" s="2" t="s">
        <v>52</v>
      </c>
      <c r="K5" s="33">
        <f>(K2*K3*0.45)/K3</f>
        <v>2163.1050000000005</v>
      </c>
      <c r="L5" s="2" t="s">
        <v>48</v>
      </c>
    </row>
    <row r="6" spans="3:14" ht="18" x14ac:dyDescent="0.3">
      <c r="C6" s="1" t="s">
        <v>2</v>
      </c>
      <c r="D6" s="1">
        <v>4</v>
      </c>
      <c r="E6" s="2"/>
      <c r="J6" s="2" t="s">
        <v>53</v>
      </c>
      <c r="K6" s="2">
        <v>200</v>
      </c>
      <c r="L6" s="2" t="s">
        <v>51</v>
      </c>
    </row>
    <row r="7" spans="3:14" ht="18" x14ac:dyDescent="0.3">
      <c r="C7" s="1" t="s">
        <v>3</v>
      </c>
      <c r="D7" s="1">
        <v>76</v>
      </c>
      <c r="E7" s="2">
        <v>55.1</v>
      </c>
      <c r="J7" s="2" t="s">
        <v>62</v>
      </c>
      <c r="K7" s="2">
        <v>1.5</v>
      </c>
      <c r="L7" s="2"/>
    </row>
    <row r="8" spans="3:14" ht="18" x14ac:dyDescent="0.3">
      <c r="C8" s="1" t="s">
        <v>4</v>
      </c>
      <c r="D8" s="1">
        <v>13</v>
      </c>
      <c r="E8" s="2" t="s">
        <v>12</v>
      </c>
      <c r="J8" s="2" t="s">
        <v>54</v>
      </c>
      <c r="K8" s="33">
        <f>(K4*K7)/(1-((K6*K7)/K3))</f>
        <v>4665.5205882352957</v>
      </c>
      <c r="L8" s="2" t="s">
        <v>48</v>
      </c>
    </row>
    <row r="9" spans="3:14" ht="18" x14ac:dyDescent="0.3">
      <c r="C9" s="1" t="s">
        <v>7</v>
      </c>
      <c r="D9" s="1">
        <v>141</v>
      </c>
      <c r="E9" s="2" t="s">
        <v>22</v>
      </c>
      <c r="J9" s="2" t="s">
        <v>55</v>
      </c>
      <c r="K9" s="33">
        <f>K8*K6/K3</f>
        <v>466.55205882352959</v>
      </c>
      <c r="L9" s="2" t="s">
        <v>48</v>
      </c>
    </row>
    <row r="10" spans="3:14" ht="18" x14ac:dyDescent="0.3">
      <c r="C10" s="1" t="s">
        <v>6</v>
      </c>
      <c r="D10" s="1">
        <v>114</v>
      </c>
      <c r="E10" s="2" t="s">
        <v>21</v>
      </c>
      <c r="J10" s="2" t="s">
        <v>56</v>
      </c>
      <c r="K10" s="33">
        <f>(K4+K9)/2</f>
        <v>1555.1735294117652</v>
      </c>
      <c r="L10" s="2" t="s">
        <v>48</v>
      </c>
    </row>
    <row r="11" spans="3:14" ht="18" x14ac:dyDescent="0.3">
      <c r="C11" s="1" t="s">
        <v>8</v>
      </c>
      <c r="D11" s="1">
        <v>3.4</v>
      </c>
      <c r="E11" s="2"/>
      <c r="J11" s="2" t="s">
        <v>57</v>
      </c>
      <c r="K11" s="33">
        <f>(K5-K9)/2</f>
        <v>848.2764705882355</v>
      </c>
      <c r="L11" s="2" t="s">
        <v>48</v>
      </c>
    </row>
    <row r="12" spans="3:14" ht="18" x14ac:dyDescent="0.35">
      <c r="J12" s="30" t="s">
        <v>25</v>
      </c>
      <c r="K12" s="31">
        <v>0.33019999999999999</v>
      </c>
      <c r="L12" s="32" t="s">
        <v>58</v>
      </c>
    </row>
    <row r="13" spans="3:14" ht="18" x14ac:dyDescent="0.35">
      <c r="J13" s="32" t="s">
        <v>59</v>
      </c>
      <c r="K13" s="34">
        <f>2*K10*K12*1.5</f>
        <v>1540.5548982352943</v>
      </c>
      <c r="L13" s="32" t="s">
        <v>60</v>
      </c>
    </row>
    <row r="15" spans="3:14" ht="18" x14ac:dyDescent="0.3">
      <c r="C15" s="29"/>
      <c r="D15" s="29"/>
      <c r="E15" s="29"/>
    </row>
  </sheetData>
  <hyperlinks>
    <hyperlink ref="F2" r:id="rId1" xr:uid="{446D11D2-ACDA-4542-BD48-8689AC5C5CDA}"/>
  </hyperlink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DDE-716A-454C-B0BE-26BD4F945DE3}">
  <dimension ref="B1:L28"/>
  <sheetViews>
    <sheetView tabSelected="1" zoomScale="115" zoomScaleNormal="115" workbookViewId="0">
      <selection activeCell="M22" sqref="M22"/>
    </sheetView>
  </sheetViews>
  <sheetFormatPr defaultRowHeight="14.4" x14ac:dyDescent="0.3"/>
  <cols>
    <col min="2" max="2" width="15.88671875" bestFit="1" customWidth="1"/>
    <col min="3" max="3" width="9.21875" bestFit="1" customWidth="1"/>
    <col min="4" max="4" width="17.77734375" bestFit="1" customWidth="1"/>
    <col min="5" max="5" width="20.88671875" bestFit="1" customWidth="1"/>
    <col min="6" max="7" width="12" bestFit="1" customWidth="1"/>
    <col min="8" max="9" width="8.88671875" customWidth="1"/>
    <col min="10" max="10" width="7.33203125" bestFit="1" customWidth="1"/>
    <col min="11" max="11" width="14.5546875" bestFit="1" customWidth="1"/>
    <col min="12" max="12" width="22.21875" bestFit="1" customWidth="1"/>
    <col min="13" max="13" width="22.5546875" bestFit="1" customWidth="1"/>
  </cols>
  <sheetData>
    <row r="1" spans="2:12" x14ac:dyDescent="0.3">
      <c r="B1" s="39"/>
      <c r="C1" s="10" t="s">
        <v>28</v>
      </c>
      <c r="D1" s="8" t="s">
        <v>41</v>
      </c>
      <c r="E1" s="8" t="s">
        <v>42</v>
      </c>
      <c r="F1" s="17" t="s">
        <v>40</v>
      </c>
      <c r="G1" s="8" t="s">
        <v>26</v>
      </c>
      <c r="I1" s="42" t="s">
        <v>24</v>
      </c>
      <c r="J1" s="42"/>
      <c r="K1" s="42"/>
      <c r="L1" s="42"/>
    </row>
    <row r="2" spans="2:12" x14ac:dyDescent="0.3">
      <c r="B2" s="5" t="s">
        <v>13</v>
      </c>
      <c r="C2" s="9">
        <f>29/16</f>
        <v>1.8125</v>
      </c>
      <c r="D2" s="5" t="s">
        <v>20</v>
      </c>
      <c r="E2" s="13" t="s">
        <v>20</v>
      </c>
      <c r="F2" s="14" t="s">
        <v>20</v>
      </c>
      <c r="G2" s="16" t="s">
        <v>20</v>
      </c>
      <c r="K2" s="12"/>
      <c r="L2" s="5" t="s">
        <v>45</v>
      </c>
    </row>
    <row r="3" spans="2:12" x14ac:dyDescent="0.3">
      <c r="B3" s="5" t="s">
        <v>14</v>
      </c>
      <c r="C3" s="9">
        <f>I12/H12</f>
        <v>2.4</v>
      </c>
      <c r="D3" s="9">
        <f t="shared" ref="D3:D8" si="0">C3*$C$2</f>
        <v>4.3499999999999996</v>
      </c>
      <c r="E3" s="9">
        <f t="shared" ref="E3:E8" si="1">C3*$C$2*($C$9)</f>
        <v>15.496874999999999</v>
      </c>
      <c r="F3" s="15">
        <f t="shared" ref="F3:F8" si="2">$E$12/E3</f>
        <v>99.410681071847989</v>
      </c>
      <c r="G3" s="7">
        <f>(($E$14*PI()*$E$15*60)/1000)/E3</f>
        <v>52.212851783857893</v>
      </c>
      <c r="K3" s="5" t="s">
        <v>14</v>
      </c>
      <c r="L3" s="11">
        <f t="shared" ref="L3:L8" si="3">$E$14/D3</f>
        <v>2988.5057471264372</v>
      </c>
    </row>
    <row r="4" spans="2:12" x14ac:dyDescent="0.3">
      <c r="B4" s="5" t="s">
        <v>15</v>
      </c>
      <c r="C4" s="9">
        <f t="shared" ref="C4:C8" si="4">I13/H13</f>
        <v>1.55</v>
      </c>
      <c r="D4" s="9">
        <f t="shared" si="0"/>
        <v>2.8093750000000002</v>
      </c>
      <c r="E4" s="9">
        <f t="shared" si="1"/>
        <v>10.0083984375</v>
      </c>
      <c r="F4" s="15">
        <f t="shared" si="2"/>
        <v>153.92621585318398</v>
      </c>
      <c r="G4" s="7">
        <f t="shared" ref="G4:G8" si="5">(($E$14*PI()*$E$15*60)/1000)/E4</f>
        <v>80.845705987908985</v>
      </c>
      <c r="H4" s="37"/>
      <c r="K4" s="5" t="s">
        <v>15</v>
      </c>
      <c r="L4" s="11">
        <f t="shared" si="3"/>
        <v>4627.3637374860955</v>
      </c>
    </row>
    <row r="5" spans="2:12" x14ac:dyDescent="0.3">
      <c r="B5" s="5" t="s">
        <v>16</v>
      </c>
      <c r="C5" s="9">
        <f t="shared" si="4"/>
        <v>0.88888888888888884</v>
      </c>
      <c r="D5" s="9">
        <f t="shared" si="0"/>
        <v>1.6111111111111109</v>
      </c>
      <c r="E5" s="9">
        <f t="shared" si="1"/>
        <v>5.739583333333333</v>
      </c>
      <c r="F5" s="15">
        <f t="shared" si="2"/>
        <v>268.40883889398958</v>
      </c>
      <c r="G5" s="7">
        <f t="shared" si="5"/>
        <v>140.97469981641632</v>
      </c>
      <c r="H5" s="37"/>
      <c r="K5" s="5" t="s">
        <v>16</v>
      </c>
      <c r="L5" s="11">
        <f t="shared" si="3"/>
        <v>8068.9655172413804</v>
      </c>
    </row>
    <row r="6" spans="2:12" x14ac:dyDescent="0.3">
      <c r="B6" s="5" t="s">
        <v>17</v>
      </c>
      <c r="C6" s="9">
        <f t="shared" si="4"/>
        <v>0.7</v>
      </c>
      <c r="D6" s="9">
        <f t="shared" si="0"/>
        <v>1.2687499999999998</v>
      </c>
      <c r="E6" s="9">
        <f t="shared" si="1"/>
        <v>4.5199218749999996</v>
      </c>
      <c r="F6" s="15">
        <f t="shared" si="2"/>
        <v>340.83662081776458</v>
      </c>
      <c r="G6" s="7">
        <f t="shared" si="5"/>
        <v>179.01549183036994</v>
      </c>
      <c r="H6" s="37"/>
      <c r="K6" s="5" t="s">
        <v>17</v>
      </c>
      <c r="L6" s="11">
        <f t="shared" si="3"/>
        <v>10246.305418719214</v>
      </c>
    </row>
    <row r="7" spans="2:12" x14ac:dyDescent="0.3">
      <c r="B7" s="5" t="s">
        <v>18</v>
      </c>
      <c r="C7" s="9">
        <f t="shared" si="4"/>
        <v>0.59375</v>
      </c>
      <c r="D7" s="9">
        <f t="shared" si="0"/>
        <v>1.076171875</v>
      </c>
      <c r="E7" s="9">
        <f t="shared" si="1"/>
        <v>3.8338623046875</v>
      </c>
      <c r="F7" s="15">
        <f t="shared" si="2"/>
        <v>401.82843717462765</v>
      </c>
      <c r="G7" s="7">
        <f t="shared" si="5"/>
        <v>211.04984300001504</v>
      </c>
      <c r="H7" s="37"/>
      <c r="K7" s="5" t="s">
        <v>18</v>
      </c>
      <c r="L7" s="11">
        <f t="shared" si="3"/>
        <v>12079.854809437387</v>
      </c>
    </row>
    <row r="8" spans="2:12" x14ac:dyDescent="0.3">
      <c r="B8" s="5" t="s">
        <v>19</v>
      </c>
      <c r="C8" s="9">
        <f t="shared" si="4"/>
        <v>0.5</v>
      </c>
      <c r="D8" s="18">
        <f t="shared" si="0"/>
        <v>0.90625</v>
      </c>
      <c r="E8" s="18">
        <f t="shared" si="1"/>
        <v>3.228515625</v>
      </c>
      <c r="F8" s="15">
        <f t="shared" si="2"/>
        <v>477.17126914487034</v>
      </c>
      <c r="G8" s="7">
        <f t="shared" si="5"/>
        <v>250.62168856251787</v>
      </c>
      <c r="H8" s="47" t="s">
        <v>39</v>
      </c>
      <c r="I8" s="45"/>
      <c r="K8" s="5" t="s">
        <v>19</v>
      </c>
      <c r="L8" s="11">
        <f t="shared" si="3"/>
        <v>14344.827586206897</v>
      </c>
    </row>
    <row r="9" spans="2:12" x14ac:dyDescent="0.3">
      <c r="B9" s="5" t="s">
        <v>27</v>
      </c>
      <c r="C9" s="36">
        <v>3.5625</v>
      </c>
      <c r="D9" s="19"/>
      <c r="E9" s="20"/>
    </row>
    <row r="10" spans="2:12" x14ac:dyDescent="0.3">
      <c r="E10" s="21"/>
    </row>
    <row r="11" spans="2:12" x14ac:dyDescent="0.3">
      <c r="H11" s="5" t="s">
        <v>29</v>
      </c>
      <c r="I11" s="5" t="s">
        <v>30</v>
      </c>
      <c r="J11" s="5" t="s">
        <v>31</v>
      </c>
      <c r="K11" s="6" t="s">
        <v>32</v>
      </c>
      <c r="L11" s="5" t="s">
        <v>46</v>
      </c>
    </row>
    <row r="12" spans="2:12" x14ac:dyDescent="0.3">
      <c r="B12" s="43" t="s">
        <v>36</v>
      </c>
      <c r="C12" s="44"/>
      <c r="D12" s="5" t="s">
        <v>33</v>
      </c>
      <c r="E12" s="11">
        <f>Engine!K13</f>
        <v>1540.5548982352943</v>
      </c>
      <c r="G12" s="5" t="s">
        <v>14</v>
      </c>
      <c r="H12" s="5">
        <v>15</v>
      </c>
      <c r="I12" s="5">
        <v>36</v>
      </c>
      <c r="J12" s="5">
        <f>H12+I12</f>
        <v>51</v>
      </c>
      <c r="K12" s="7">
        <f>($E$16/2)*J12</f>
        <v>127.5</v>
      </c>
      <c r="L12" s="7">
        <f>E14/C2</f>
        <v>7172.4137931034484</v>
      </c>
    </row>
    <row r="13" spans="2:12" x14ac:dyDescent="0.3">
      <c r="D13" s="6" t="s">
        <v>35</v>
      </c>
      <c r="E13" s="5">
        <f>Engine!D10</f>
        <v>114</v>
      </c>
      <c r="G13" s="5" t="s">
        <v>15</v>
      </c>
      <c r="H13" s="5">
        <v>20</v>
      </c>
      <c r="I13" s="5">
        <v>31</v>
      </c>
      <c r="J13" s="5">
        <f t="shared" ref="J13:J17" si="6">H13+I13</f>
        <v>51</v>
      </c>
      <c r="K13" s="7">
        <f t="shared" ref="K13:K17" si="7">($E$16/2)*J13</f>
        <v>127.5</v>
      </c>
      <c r="L13" s="5" t="s">
        <v>63</v>
      </c>
    </row>
    <row r="14" spans="2:12" x14ac:dyDescent="0.3">
      <c r="B14" s="45" t="s">
        <v>37</v>
      </c>
      <c r="C14" s="46"/>
      <c r="D14" s="6" t="s">
        <v>34</v>
      </c>
      <c r="E14" s="6">
        <v>13000</v>
      </c>
      <c r="G14" s="5" t="s">
        <v>16</v>
      </c>
      <c r="H14" s="5">
        <v>27</v>
      </c>
      <c r="I14" s="5">
        <v>24</v>
      </c>
      <c r="J14" s="5">
        <f t="shared" si="6"/>
        <v>51</v>
      </c>
      <c r="K14" s="7">
        <f t="shared" si="7"/>
        <v>127.5</v>
      </c>
      <c r="L14" s="11">
        <f>E14/E8</f>
        <v>4026.6182698124621</v>
      </c>
    </row>
    <row r="15" spans="2:12" x14ac:dyDescent="0.3">
      <c r="D15" s="6" t="s">
        <v>25</v>
      </c>
      <c r="E15" s="36">
        <v>0.33019999999999999</v>
      </c>
      <c r="G15" s="5" t="s">
        <v>17</v>
      </c>
      <c r="H15" s="5">
        <v>30</v>
      </c>
      <c r="I15" s="5">
        <v>21</v>
      </c>
      <c r="J15" s="5">
        <f t="shared" si="6"/>
        <v>51</v>
      </c>
      <c r="K15" s="7">
        <f t="shared" si="7"/>
        <v>127.5</v>
      </c>
    </row>
    <row r="16" spans="2:12" x14ac:dyDescent="0.3">
      <c r="D16" s="38" t="s">
        <v>58</v>
      </c>
      <c r="E16" s="38">
        <v>5</v>
      </c>
      <c r="G16" s="5" t="s">
        <v>18</v>
      </c>
      <c r="H16" s="5">
        <v>32</v>
      </c>
      <c r="I16" s="5">
        <v>19</v>
      </c>
      <c r="J16" s="5">
        <f t="shared" si="6"/>
        <v>51</v>
      </c>
      <c r="K16" s="7">
        <f t="shared" si="7"/>
        <v>127.5</v>
      </c>
    </row>
    <row r="17" spans="4:12" x14ac:dyDescent="0.3">
      <c r="D17" s="6" t="s">
        <v>38</v>
      </c>
      <c r="E17" s="5">
        <v>3</v>
      </c>
      <c r="G17" s="5" t="s">
        <v>19</v>
      </c>
      <c r="H17" s="5">
        <v>34</v>
      </c>
      <c r="I17" s="5">
        <v>17</v>
      </c>
      <c r="J17" s="24">
        <f t="shared" si="6"/>
        <v>51</v>
      </c>
      <c r="K17" s="25">
        <f t="shared" si="7"/>
        <v>127.5</v>
      </c>
    </row>
    <row r="18" spans="4:12" x14ac:dyDescent="0.3">
      <c r="D18" s="6" t="s">
        <v>43</v>
      </c>
      <c r="E18" s="22">
        <v>100</v>
      </c>
      <c r="G18" s="5" t="s">
        <v>27</v>
      </c>
      <c r="H18" s="6">
        <v>16</v>
      </c>
      <c r="I18" s="23">
        <f t="shared" ref="I18" si="8">H18*C9</f>
        <v>57</v>
      </c>
      <c r="J18" s="26"/>
      <c r="K18" s="27"/>
    </row>
    <row r="19" spans="4:12" x14ac:dyDescent="0.3">
      <c r="D19" s="5" t="s">
        <v>23</v>
      </c>
      <c r="E19" s="9">
        <f>E12/E18</f>
        <v>15.405548982352943</v>
      </c>
      <c r="K19" s="28"/>
    </row>
    <row r="20" spans="4:12" x14ac:dyDescent="0.3">
      <c r="D20" s="6" t="s">
        <v>44</v>
      </c>
      <c r="E20" s="12" t="b">
        <f>E19&lt;E3</f>
        <v>1</v>
      </c>
    </row>
    <row r="21" spans="4:12" x14ac:dyDescent="0.3">
      <c r="G21" s="52"/>
      <c r="H21" s="52"/>
      <c r="I21" s="52"/>
      <c r="J21" s="52"/>
      <c r="K21" s="52"/>
      <c r="L21" s="48"/>
    </row>
    <row r="22" spans="4:12" x14ac:dyDescent="0.3">
      <c r="G22" s="49"/>
      <c r="H22" s="49"/>
      <c r="I22" s="49"/>
      <c r="J22" s="49"/>
      <c r="K22" s="49"/>
      <c r="L22" s="48"/>
    </row>
    <row r="23" spans="4:12" x14ac:dyDescent="0.3">
      <c r="G23" s="49"/>
      <c r="H23" s="50"/>
      <c r="I23" s="51"/>
      <c r="J23" s="50"/>
      <c r="K23" s="49"/>
      <c r="L23" s="48"/>
    </row>
    <row r="24" spans="4:12" x14ac:dyDescent="0.3">
      <c r="G24" s="49"/>
      <c r="H24" s="50"/>
      <c r="I24" s="51"/>
      <c r="J24" s="50"/>
      <c r="K24" s="49"/>
      <c r="L24" s="48"/>
    </row>
    <row r="25" spans="4:12" x14ac:dyDescent="0.3">
      <c r="G25" s="49"/>
      <c r="H25" s="50"/>
      <c r="I25" s="51"/>
      <c r="J25" s="50"/>
      <c r="K25" s="49"/>
      <c r="L25" s="48"/>
    </row>
    <row r="26" spans="4:12" x14ac:dyDescent="0.3">
      <c r="G26" s="49"/>
      <c r="H26" s="50"/>
      <c r="I26" s="51"/>
      <c r="J26" s="50"/>
      <c r="K26" s="49"/>
      <c r="L26" s="48"/>
    </row>
    <row r="27" spans="4:12" x14ac:dyDescent="0.3">
      <c r="G27" s="49"/>
      <c r="H27" s="50"/>
      <c r="I27" s="51"/>
      <c r="J27" s="50"/>
      <c r="K27" s="49"/>
      <c r="L27" s="48"/>
    </row>
    <row r="28" spans="4:12" x14ac:dyDescent="0.3">
      <c r="G28" s="48"/>
      <c r="H28" s="48"/>
      <c r="I28" s="48"/>
      <c r="J28" s="48"/>
      <c r="K28" s="48"/>
      <c r="L28" s="48"/>
    </row>
  </sheetData>
  <mergeCells count="4">
    <mergeCell ref="I1:L1"/>
    <mergeCell ref="B12:C12"/>
    <mergeCell ref="B14:C14"/>
    <mergeCell ref="H8:I8"/>
  </mergeCells>
  <hyperlinks>
    <hyperlink ref="I1" r:id="rId1" xr:uid="{45125622-08ED-41EE-99BC-62ADF09D5991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CE86-88A4-41B8-8A90-A42B23D53336}">
  <dimension ref="F7:K15"/>
  <sheetViews>
    <sheetView workbookViewId="0">
      <selection activeCell="K15" sqref="K15"/>
    </sheetView>
  </sheetViews>
  <sheetFormatPr defaultRowHeight="14.4" x14ac:dyDescent="0.3"/>
  <cols>
    <col min="6" max="6" width="15.5546875" bestFit="1" customWidth="1"/>
    <col min="7" max="7" width="9.21875" bestFit="1" customWidth="1"/>
    <col min="11" max="11" width="14.44140625" bestFit="1" customWidth="1"/>
  </cols>
  <sheetData>
    <row r="7" spans="6:11" x14ac:dyDescent="0.3">
      <c r="F7" s="41"/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</row>
    <row r="8" spans="6:11" x14ac:dyDescent="0.3">
      <c r="F8" s="5" t="s">
        <v>13</v>
      </c>
      <c r="G8" s="9">
        <v>1.8125</v>
      </c>
      <c r="H8" s="5">
        <v>16</v>
      </c>
      <c r="I8" s="5">
        <v>29</v>
      </c>
      <c r="J8" s="5">
        <f>I8+H8</f>
        <v>45</v>
      </c>
      <c r="K8" s="11">
        <f>(5/2)*J8</f>
        <v>112.5</v>
      </c>
    </row>
    <row r="9" spans="6:11" x14ac:dyDescent="0.3">
      <c r="F9" s="5" t="s">
        <v>14</v>
      </c>
      <c r="G9" s="9">
        <f>I9/H9</f>
        <v>2.4</v>
      </c>
      <c r="H9" s="5">
        <v>15</v>
      </c>
      <c r="I9" s="5">
        <v>36</v>
      </c>
      <c r="J9" s="5">
        <f>H9+I9</f>
        <v>51</v>
      </c>
      <c r="K9" s="11">
        <f>(5/2)*J9</f>
        <v>127.5</v>
      </c>
    </row>
    <row r="10" spans="6:11" x14ac:dyDescent="0.3">
      <c r="F10" s="5" t="s">
        <v>15</v>
      </c>
      <c r="G10" s="9">
        <f t="shared" ref="G10:G14" si="0">I10/H10</f>
        <v>1.55</v>
      </c>
      <c r="H10" s="5">
        <v>20</v>
      </c>
      <c r="I10" s="5">
        <v>31</v>
      </c>
      <c r="J10" s="5">
        <f t="shared" ref="J10:J15" si="1">H10+I10</f>
        <v>51</v>
      </c>
      <c r="K10" s="11">
        <f t="shared" ref="K10:K14" si="2">(5/2)*J10</f>
        <v>127.5</v>
      </c>
    </row>
    <row r="11" spans="6:11" x14ac:dyDescent="0.3">
      <c r="F11" s="5" t="s">
        <v>16</v>
      </c>
      <c r="G11" s="9">
        <f t="shared" si="0"/>
        <v>0.88888888888888884</v>
      </c>
      <c r="H11" s="5">
        <v>27</v>
      </c>
      <c r="I11" s="5">
        <v>24</v>
      </c>
      <c r="J11" s="5">
        <f t="shared" si="1"/>
        <v>51</v>
      </c>
      <c r="K11" s="11">
        <f t="shared" si="2"/>
        <v>127.5</v>
      </c>
    </row>
    <row r="12" spans="6:11" x14ac:dyDescent="0.3">
      <c r="F12" s="5" t="s">
        <v>17</v>
      </c>
      <c r="G12" s="9">
        <f t="shared" si="0"/>
        <v>0.7</v>
      </c>
      <c r="H12" s="5">
        <v>30</v>
      </c>
      <c r="I12" s="5">
        <v>21</v>
      </c>
      <c r="J12" s="5">
        <f t="shared" si="1"/>
        <v>51</v>
      </c>
      <c r="K12" s="11">
        <f t="shared" si="2"/>
        <v>127.5</v>
      </c>
    </row>
    <row r="13" spans="6:11" x14ac:dyDescent="0.3">
      <c r="F13" s="5" t="s">
        <v>18</v>
      </c>
      <c r="G13" s="9">
        <f t="shared" si="0"/>
        <v>0.59375</v>
      </c>
      <c r="H13" s="5">
        <v>32</v>
      </c>
      <c r="I13" s="5">
        <v>19</v>
      </c>
      <c r="J13" s="5">
        <f t="shared" si="1"/>
        <v>51</v>
      </c>
      <c r="K13" s="11">
        <f t="shared" si="2"/>
        <v>127.5</v>
      </c>
    </row>
    <row r="14" spans="6:11" x14ac:dyDescent="0.3">
      <c r="F14" s="5" t="s">
        <v>19</v>
      </c>
      <c r="G14" s="9">
        <f t="shared" si="0"/>
        <v>0.5</v>
      </c>
      <c r="H14" s="5">
        <v>34</v>
      </c>
      <c r="I14" s="5">
        <v>17</v>
      </c>
      <c r="J14" s="5">
        <f t="shared" si="1"/>
        <v>51</v>
      </c>
      <c r="K14" s="11">
        <f t="shared" si="2"/>
        <v>127.5</v>
      </c>
    </row>
    <row r="15" spans="6:11" x14ac:dyDescent="0.3">
      <c r="F15" s="5" t="s">
        <v>27</v>
      </c>
      <c r="G15" s="36">
        <v>3.5625</v>
      </c>
      <c r="H15" s="40">
        <v>16</v>
      </c>
      <c r="I15" s="40">
        <v>57</v>
      </c>
      <c r="J15" s="40">
        <f t="shared" si="1"/>
        <v>73</v>
      </c>
      <c r="K15" s="4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Engine</vt:lpstr>
      <vt:lpstr>Gear Ratio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Mariniello</dc:creator>
  <cp:lastModifiedBy>Emanuele Mariniello</cp:lastModifiedBy>
  <dcterms:created xsi:type="dcterms:W3CDTF">2020-06-13T12:15:02Z</dcterms:created>
  <dcterms:modified xsi:type="dcterms:W3CDTF">2020-07-09T08:44:50Z</dcterms:modified>
</cp:coreProperties>
</file>