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435" activeTab="8"/>
  </bookViews>
  <sheets>
    <sheet name="Business Drivers" sheetId="20" r:id="rId1"/>
    <sheet name="Revenues" sheetId="21" r:id="rId2"/>
    <sheet name="Opex" sheetId="22" r:id="rId3"/>
    <sheet name="Fixed Assets" sheetId="23" r:id="rId4"/>
    <sheet name="Financing" sheetId="24" r:id="rId5"/>
    <sheet name="Profit &amp; Loss" sheetId="25" r:id="rId6"/>
    <sheet name="Cash Flow" sheetId="26" r:id="rId7"/>
    <sheet name="WACC" sheetId="27" r:id="rId8"/>
    <sheet name="Discounted Cash Flow" sheetId="28" r:id="rId9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28" l="1"/>
  <c r="G10" i="28"/>
  <c r="H10" i="28"/>
  <c r="J10" i="28"/>
  <c r="C10" i="28"/>
  <c r="M9" i="28"/>
  <c r="N5" i="28"/>
  <c r="E8" i="28"/>
  <c r="E10" i="28" s="1"/>
  <c r="F8" i="28"/>
  <c r="F10" i="28" s="1"/>
  <c r="G8" i="28"/>
  <c r="H8" i="28"/>
  <c r="I8" i="28"/>
  <c r="I10" i="28" s="1"/>
  <c r="J8" i="28"/>
  <c r="K8" i="28"/>
  <c r="K10" i="28" s="1"/>
  <c r="L8" i="28"/>
  <c r="L10" i="28" s="1"/>
  <c r="M8" i="28"/>
  <c r="M10" i="28" s="1"/>
  <c r="D8" i="28"/>
  <c r="D10" i="28" s="1"/>
  <c r="D7" i="28"/>
  <c r="E7" i="28"/>
  <c r="F7" i="28"/>
  <c r="G7" i="28"/>
  <c r="H7" i="28"/>
  <c r="I7" i="28"/>
  <c r="J7" i="28"/>
  <c r="K7" i="28"/>
  <c r="L7" i="28"/>
  <c r="M7" i="28"/>
  <c r="C7" i="28"/>
  <c r="D5" i="28"/>
  <c r="E5" i="28"/>
  <c r="F5" i="28"/>
  <c r="G5" i="28"/>
  <c r="H5" i="28"/>
  <c r="I5" i="28"/>
  <c r="J5" i="28"/>
  <c r="K5" i="28"/>
  <c r="L5" i="28"/>
  <c r="M5" i="28"/>
  <c r="D36" i="27"/>
  <c r="E36" i="27"/>
  <c r="F36" i="27"/>
  <c r="G36" i="27"/>
  <c r="H36" i="27"/>
  <c r="I36" i="27"/>
  <c r="J36" i="27"/>
  <c r="K36" i="27"/>
  <c r="L36" i="27"/>
  <c r="M36" i="27"/>
  <c r="C36" i="27"/>
  <c r="C12" i="28" l="1"/>
  <c r="D34" i="27" l="1"/>
  <c r="E34" i="27"/>
  <c r="F34" i="27"/>
  <c r="G34" i="27"/>
  <c r="H34" i="27"/>
  <c r="I34" i="27"/>
  <c r="J34" i="27"/>
  <c r="K34" i="27"/>
  <c r="L34" i="27"/>
  <c r="M34" i="27"/>
  <c r="C34" i="27"/>
  <c r="D17" i="27"/>
  <c r="E17" i="27"/>
  <c r="F17" i="27"/>
  <c r="G17" i="27"/>
  <c r="H17" i="27"/>
  <c r="H19" i="27" s="1"/>
  <c r="H22" i="27" s="1"/>
  <c r="I17" i="27"/>
  <c r="I19" i="27" s="1"/>
  <c r="I22" i="27" s="1"/>
  <c r="J17" i="27"/>
  <c r="K17" i="27"/>
  <c r="L17" i="27"/>
  <c r="M17" i="27"/>
  <c r="C17" i="27"/>
  <c r="J19" i="27"/>
  <c r="J22" i="27" s="1"/>
  <c r="L19" i="27"/>
  <c r="L22" i="27" s="1"/>
  <c r="D31" i="27"/>
  <c r="E31" i="27"/>
  <c r="F31" i="27"/>
  <c r="G31" i="27"/>
  <c r="H31" i="27"/>
  <c r="I31" i="27"/>
  <c r="J31" i="27"/>
  <c r="K31" i="27"/>
  <c r="L31" i="27"/>
  <c r="M31" i="27"/>
  <c r="C31" i="27"/>
  <c r="C27" i="27"/>
  <c r="C26" i="27"/>
  <c r="G22" i="27"/>
  <c r="D19" i="27"/>
  <c r="D22" i="27" s="1"/>
  <c r="E19" i="27"/>
  <c r="E21" i="27" s="1"/>
  <c r="F19" i="27"/>
  <c r="F21" i="27" s="1"/>
  <c r="G19" i="27"/>
  <c r="G21" i="27" s="1"/>
  <c r="G30" i="27" s="1"/>
  <c r="G32" i="27" s="1"/>
  <c r="C19" i="27"/>
  <c r="C22" i="27" s="1"/>
  <c r="C26" i="21"/>
  <c r="E16" i="24"/>
  <c r="F16" i="24"/>
  <c r="G16" i="24"/>
  <c r="H16" i="24"/>
  <c r="I16" i="24"/>
  <c r="J16" i="24"/>
  <c r="J11" i="26" s="1"/>
  <c r="K16" i="24"/>
  <c r="J10" i="25" s="1"/>
  <c r="L16" i="24"/>
  <c r="K10" i="25" s="1"/>
  <c r="M16" i="24"/>
  <c r="L10" i="25" s="1"/>
  <c r="D16" i="24"/>
  <c r="E11" i="26"/>
  <c r="F11" i="26"/>
  <c r="G11" i="26"/>
  <c r="H11" i="26"/>
  <c r="I11" i="26"/>
  <c r="K11" i="26"/>
  <c r="D11" i="26"/>
  <c r="E10" i="26"/>
  <c r="F10" i="26"/>
  <c r="G10" i="26"/>
  <c r="H10" i="26"/>
  <c r="I10" i="26"/>
  <c r="J10" i="26"/>
  <c r="K10" i="26"/>
  <c r="L10" i="26"/>
  <c r="M10" i="26"/>
  <c r="D10" i="26"/>
  <c r="D10" i="25"/>
  <c r="E10" i="25"/>
  <c r="F10" i="25"/>
  <c r="G10" i="25"/>
  <c r="H10" i="25"/>
  <c r="I10" i="25"/>
  <c r="C10" i="25"/>
  <c r="D8" i="25"/>
  <c r="E8" i="25"/>
  <c r="F8" i="25"/>
  <c r="G8" i="25"/>
  <c r="H8" i="25"/>
  <c r="I8" i="25"/>
  <c r="J8" i="25"/>
  <c r="K8" i="25"/>
  <c r="L8" i="25"/>
  <c r="C8" i="25"/>
  <c r="D14" i="24"/>
  <c r="E14" i="24"/>
  <c r="F14" i="24"/>
  <c r="G14" i="24"/>
  <c r="H14" i="24"/>
  <c r="I14" i="24"/>
  <c r="J14" i="24"/>
  <c r="K14" i="24"/>
  <c r="L14" i="24"/>
  <c r="M14" i="24"/>
  <c r="C14" i="24"/>
  <c r="C15" i="24" s="1"/>
  <c r="D13" i="24"/>
  <c r="D15" i="24" s="1"/>
  <c r="E22" i="27" l="1"/>
  <c r="E30" i="27" s="1"/>
  <c r="E32" i="27" s="1"/>
  <c r="D21" i="27"/>
  <c r="D30" i="27" s="1"/>
  <c r="D32" i="27" s="1"/>
  <c r="F22" i="27"/>
  <c r="F23" i="27" s="1"/>
  <c r="F30" i="27"/>
  <c r="F32" i="27" s="1"/>
  <c r="G23" i="27"/>
  <c r="E23" i="27"/>
  <c r="L21" i="27"/>
  <c r="M19" i="27"/>
  <c r="M22" i="27" s="1"/>
  <c r="I21" i="27"/>
  <c r="H21" i="27"/>
  <c r="D23" i="27"/>
  <c r="M21" i="27"/>
  <c r="J21" i="27"/>
  <c r="K19" i="27"/>
  <c r="K22" i="27" s="1"/>
  <c r="C21" i="27"/>
  <c r="M11" i="26"/>
  <c r="L11" i="26"/>
  <c r="E13" i="24"/>
  <c r="D17" i="23"/>
  <c r="E17" i="23"/>
  <c r="F17" i="23"/>
  <c r="G17" i="23"/>
  <c r="H17" i="23"/>
  <c r="I17" i="23"/>
  <c r="J17" i="23"/>
  <c r="K17" i="23"/>
  <c r="L17" i="23"/>
  <c r="C17" i="23"/>
  <c r="C8" i="26" s="1"/>
  <c r="C9" i="26" s="1"/>
  <c r="C13" i="26" s="1"/>
  <c r="C15" i="23"/>
  <c r="C30" i="21"/>
  <c r="C11" i="22" s="1"/>
  <c r="C31" i="21"/>
  <c r="C12" i="22" s="1"/>
  <c r="C29" i="21"/>
  <c r="C10" i="22" s="1"/>
  <c r="D24" i="21"/>
  <c r="E24" i="21" s="1"/>
  <c r="F24" i="21" s="1"/>
  <c r="G24" i="21" s="1"/>
  <c r="H24" i="21" s="1"/>
  <c r="I24" i="21" s="1"/>
  <c r="J24" i="21" s="1"/>
  <c r="K24" i="21" s="1"/>
  <c r="L24" i="21" s="1"/>
  <c r="L30" i="21" s="1"/>
  <c r="L11" i="22" s="1"/>
  <c r="D25" i="21"/>
  <c r="E25" i="21" s="1"/>
  <c r="F25" i="21" s="1"/>
  <c r="G25" i="21" s="1"/>
  <c r="H25" i="21" s="1"/>
  <c r="I25" i="21" s="1"/>
  <c r="J25" i="21" s="1"/>
  <c r="K25" i="21" s="1"/>
  <c r="L25" i="21" s="1"/>
  <c r="L31" i="21" s="1"/>
  <c r="L12" i="22" s="1"/>
  <c r="D23" i="21"/>
  <c r="D26" i="21" s="1"/>
  <c r="F17" i="21"/>
  <c r="G17" i="21"/>
  <c r="H17" i="21"/>
  <c r="I17" i="21"/>
  <c r="J17" i="21"/>
  <c r="K17" i="21"/>
  <c r="L15" i="21"/>
  <c r="L16" i="21"/>
  <c r="D15" i="21"/>
  <c r="E15" i="21"/>
  <c r="F15" i="21"/>
  <c r="G15" i="21"/>
  <c r="H15" i="21"/>
  <c r="I15" i="21"/>
  <c r="J15" i="21"/>
  <c r="K15" i="21"/>
  <c r="D16" i="21"/>
  <c r="E16" i="21"/>
  <c r="F16" i="21"/>
  <c r="G16" i="21"/>
  <c r="H16" i="21"/>
  <c r="I16" i="21"/>
  <c r="J16" i="21"/>
  <c r="K16" i="21"/>
  <c r="C16" i="21"/>
  <c r="C15" i="21"/>
  <c r="D14" i="21"/>
  <c r="D17" i="21" s="1"/>
  <c r="E14" i="21"/>
  <c r="E17" i="21" s="1"/>
  <c r="F14" i="21"/>
  <c r="G14" i="21"/>
  <c r="H14" i="21"/>
  <c r="I14" i="21"/>
  <c r="J14" i="21"/>
  <c r="K14" i="21"/>
  <c r="L14" i="21"/>
  <c r="L17" i="21" s="1"/>
  <c r="C14" i="21"/>
  <c r="C17" i="21" s="1"/>
  <c r="J23" i="27" l="1"/>
  <c r="J30" i="27"/>
  <c r="J32" i="27" s="1"/>
  <c r="M23" i="27"/>
  <c r="M30" i="27"/>
  <c r="M32" i="27" s="1"/>
  <c r="I23" i="27"/>
  <c r="I30" i="27"/>
  <c r="I32" i="27" s="1"/>
  <c r="H23" i="27"/>
  <c r="H30" i="27"/>
  <c r="H32" i="27" s="1"/>
  <c r="L23" i="27"/>
  <c r="L30" i="27"/>
  <c r="L32" i="27" s="1"/>
  <c r="C23" i="27"/>
  <c r="C30" i="27"/>
  <c r="C32" i="27" s="1"/>
  <c r="K21" i="27"/>
  <c r="D29" i="21"/>
  <c r="D10" i="22" s="1"/>
  <c r="D13" i="22" s="1"/>
  <c r="E23" i="21"/>
  <c r="E26" i="21" s="1"/>
  <c r="F31" i="21"/>
  <c r="F12" i="22" s="1"/>
  <c r="E31" i="21"/>
  <c r="E12" i="22" s="1"/>
  <c r="D31" i="21"/>
  <c r="D12" i="22" s="1"/>
  <c r="K31" i="21"/>
  <c r="K12" i="22" s="1"/>
  <c r="E29" i="21"/>
  <c r="E10" i="22" s="1"/>
  <c r="G30" i="21"/>
  <c r="G11" i="22" s="1"/>
  <c r="F30" i="21"/>
  <c r="F11" i="22" s="1"/>
  <c r="K30" i="21"/>
  <c r="K11" i="22" s="1"/>
  <c r="J30" i="21"/>
  <c r="J11" i="22" s="1"/>
  <c r="J31" i="21"/>
  <c r="J12" i="22" s="1"/>
  <c r="H31" i="21"/>
  <c r="H12" i="22" s="1"/>
  <c r="E30" i="21"/>
  <c r="E11" i="22" s="1"/>
  <c r="I30" i="21"/>
  <c r="I11" i="22" s="1"/>
  <c r="H30" i="21"/>
  <c r="H11" i="22" s="1"/>
  <c r="I31" i="21"/>
  <c r="I12" i="22" s="1"/>
  <c r="F23" i="21"/>
  <c r="G31" i="21"/>
  <c r="G12" i="22" s="1"/>
  <c r="D30" i="21"/>
  <c r="D11" i="22" s="1"/>
  <c r="D7" i="25"/>
  <c r="E6" i="26"/>
  <c r="G21" i="23"/>
  <c r="C18" i="24"/>
  <c r="F21" i="23"/>
  <c r="E15" i="24"/>
  <c r="C16" i="23"/>
  <c r="D8" i="26" s="1"/>
  <c r="L16" i="23"/>
  <c r="M8" i="26" s="1"/>
  <c r="H16" i="23"/>
  <c r="I8" i="26" s="1"/>
  <c r="L21" i="23"/>
  <c r="F16" i="23"/>
  <c r="G8" i="26" s="1"/>
  <c r="J21" i="23"/>
  <c r="E16" i="23"/>
  <c r="F8" i="26" s="1"/>
  <c r="E21" i="23"/>
  <c r="G16" i="23"/>
  <c r="H8" i="26" s="1"/>
  <c r="I21" i="23"/>
  <c r="D16" i="23"/>
  <c r="E8" i="26" s="1"/>
  <c r="J16" i="23"/>
  <c r="K8" i="26" s="1"/>
  <c r="H21" i="23"/>
  <c r="C18" i="23"/>
  <c r="D15" i="23" s="1"/>
  <c r="D21" i="23"/>
  <c r="K16" i="23"/>
  <c r="L8" i="26" s="1"/>
  <c r="I16" i="23"/>
  <c r="J8" i="26" s="1"/>
  <c r="C21" i="23"/>
  <c r="K21" i="23"/>
  <c r="E13" i="22"/>
  <c r="C13" i="22"/>
  <c r="D32" i="21"/>
  <c r="C32" i="21"/>
  <c r="K23" i="27" l="1"/>
  <c r="K30" i="27"/>
  <c r="K32" i="27" s="1"/>
  <c r="G23" i="21"/>
  <c r="F26" i="21"/>
  <c r="F29" i="21"/>
  <c r="E32" i="21"/>
  <c r="F6" i="26"/>
  <c r="E7" i="25"/>
  <c r="D5" i="26"/>
  <c r="C6" i="25"/>
  <c r="C7" i="25"/>
  <c r="D6" i="26"/>
  <c r="E6" i="25"/>
  <c r="E9" i="25" s="1"/>
  <c r="E11" i="25" s="1"/>
  <c r="F5" i="26"/>
  <c r="D6" i="25"/>
  <c r="D9" i="25" s="1"/>
  <c r="D11" i="25" s="1"/>
  <c r="E5" i="26"/>
  <c r="F13" i="24"/>
  <c r="E23" i="23"/>
  <c r="J24" i="23"/>
  <c r="K26" i="23"/>
  <c r="E22" i="23"/>
  <c r="I23" i="23"/>
  <c r="J23" i="23"/>
  <c r="J22" i="23"/>
  <c r="J28" i="23"/>
  <c r="L22" i="23"/>
  <c r="F24" i="23"/>
  <c r="K29" i="23"/>
  <c r="L29" i="23"/>
  <c r="F23" i="23"/>
  <c r="K24" i="23"/>
  <c r="L26" i="23"/>
  <c r="F22" i="23"/>
  <c r="H25" i="23"/>
  <c r="L27" i="23"/>
  <c r="J25" i="23"/>
  <c r="K25" i="23"/>
  <c r="D22" i="23"/>
  <c r="H26" i="23"/>
  <c r="H24" i="23"/>
  <c r="L30" i="23"/>
  <c r="G23" i="23"/>
  <c r="L24" i="23"/>
  <c r="I27" i="23"/>
  <c r="G22" i="23"/>
  <c r="K27" i="23"/>
  <c r="K23" i="23"/>
  <c r="K28" i="23"/>
  <c r="L25" i="23"/>
  <c r="G24" i="23"/>
  <c r="I26" i="23"/>
  <c r="I24" i="23"/>
  <c r="H23" i="23"/>
  <c r="G25" i="23"/>
  <c r="J27" i="23"/>
  <c r="H22" i="23"/>
  <c r="I22" i="23"/>
  <c r="I25" i="23"/>
  <c r="K22" i="23"/>
  <c r="L23" i="23"/>
  <c r="L28" i="23"/>
  <c r="J26" i="23"/>
  <c r="D18" i="23"/>
  <c r="E15" i="23" s="1"/>
  <c r="E18" i="23" s="1"/>
  <c r="F15" i="23" s="1"/>
  <c r="F18" i="23" s="1"/>
  <c r="G15" i="23" s="1"/>
  <c r="G18" i="23" s="1"/>
  <c r="H15" i="23" s="1"/>
  <c r="H18" i="23" s="1"/>
  <c r="I15" i="23" s="1"/>
  <c r="I18" i="23" s="1"/>
  <c r="J15" i="23" s="1"/>
  <c r="J18" i="23" s="1"/>
  <c r="K15" i="23" s="1"/>
  <c r="K18" i="23" s="1"/>
  <c r="L15" i="23" s="1"/>
  <c r="L18" i="23" s="1"/>
  <c r="C9" i="25" l="1"/>
  <c r="C11" i="25" s="1"/>
  <c r="F10" i="22"/>
  <c r="F13" i="22" s="1"/>
  <c r="F32" i="21"/>
  <c r="H23" i="21"/>
  <c r="G26" i="21"/>
  <c r="G29" i="21"/>
  <c r="E12" i="25"/>
  <c r="F7" i="26" s="1"/>
  <c r="F9" i="26" s="1"/>
  <c r="F13" i="26" s="1"/>
  <c r="D12" i="25"/>
  <c r="E7" i="26" s="1"/>
  <c r="E9" i="26" s="1"/>
  <c r="E13" i="26" s="1"/>
  <c r="C12" i="25"/>
  <c r="D7" i="26" s="1"/>
  <c r="D9" i="26" s="1"/>
  <c r="D13" i="26" s="1"/>
  <c r="F15" i="24"/>
  <c r="G13" i="24"/>
  <c r="G10" i="22" l="1"/>
  <c r="G13" i="22" s="1"/>
  <c r="G32" i="21"/>
  <c r="I23" i="21"/>
  <c r="H26" i="21"/>
  <c r="H29" i="21"/>
  <c r="F6" i="25"/>
  <c r="G5" i="26"/>
  <c r="G6" i="26"/>
  <c r="F7" i="25"/>
  <c r="F9" i="25" s="1"/>
  <c r="F11" i="25" s="1"/>
  <c r="F12" i="25" s="1"/>
  <c r="G7" i="26" s="1"/>
  <c r="G9" i="26" s="1"/>
  <c r="G13" i="26" s="1"/>
  <c r="E13" i="25"/>
  <c r="C13" i="25"/>
  <c r="D13" i="25"/>
  <c r="G15" i="24"/>
  <c r="H10" i="22" l="1"/>
  <c r="H13" i="22" s="1"/>
  <c r="H32" i="21"/>
  <c r="F13" i="25"/>
  <c r="H5" i="26"/>
  <c r="G6" i="25"/>
  <c r="J23" i="21"/>
  <c r="I26" i="21"/>
  <c r="I29" i="21"/>
  <c r="H6" i="26"/>
  <c r="G7" i="25"/>
  <c r="H13" i="24"/>
  <c r="I10" i="22" l="1"/>
  <c r="I13" i="22" s="1"/>
  <c r="I32" i="21"/>
  <c r="K23" i="21"/>
  <c r="J26" i="21"/>
  <c r="J29" i="21"/>
  <c r="G9" i="25"/>
  <c r="G11" i="25" s="1"/>
  <c r="I5" i="26"/>
  <c r="H6" i="25"/>
  <c r="I6" i="26"/>
  <c r="H7" i="25"/>
  <c r="H15" i="24"/>
  <c r="I13" i="24"/>
  <c r="H9" i="25" l="1"/>
  <c r="H11" i="25" s="1"/>
  <c r="H12" i="25"/>
  <c r="I7" i="26" s="1"/>
  <c r="I9" i="26" s="1"/>
  <c r="I13" i="26" s="1"/>
  <c r="H13" i="25"/>
  <c r="G12" i="25"/>
  <c r="H7" i="26" s="1"/>
  <c r="H9" i="26" s="1"/>
  <c r="H13" i="26" s="1"/>
  <c r="G13" i="25"/>
  <c r="J10" i="22"/>
  <c r="J13" i="22" s="1"/>
  <c r="J32" i="21"/>
  <c r="L23" i="21"/>
  <c r="K26" i="21"/>
  <c r="K29" i="21"/>
  <c r="I6" i="25"/>
  <c r="I9" i="25" s="1"/>
  <c r="I11" i="25" s="1"/>
  <c r="J5" i="26"/>
  <c r="J6" i="26"/>
  <c r="I7" i="25"/>
  <c r="I15" i="24"/>
  <c r="J13" i="24"/>
  <c r="I12" i="25" l="1"/>
  <c r="J7" i="26" s="1"/>
  <c r="I13" i="25"/>
  <c r="L26" i="21"/>
  <c r="L29" i="21"/>
  <c r="J9" i="26"/>
  <c r="J13" i="26" s="1"/>
  <c r="K6" i="26"/>
  <c r="J7" i="25"/>
  <c r="K10" i="22"/>
  <c r="K13" i="22" s="1"/>
  <c r="K32" i="21"/>
  <c r="J6" i="25"/>
  <c r="J9" i="25" s="1"/>
  <c r="J11" i="25" s="1"/>
  <c r="K5" i="26"/>
  <c r="J15" i="24"/>
  <c r="K13" i="24"/>
  <c r="J12" i="25" l="1"/>
  <c r="K7" i="26" s="1"/>
  <c r="K9" i="26" s="1"/>
  <c r="K13" i="26" s="1"/>
  <c r="J13" i="25"/>
  <c r="L6" i="26"/>
  <c r="K7" i="25"/>
  <c r="L5" i="26"/>
  <c r="K6" i="25"/>
  <c r="K9" i="25" s="1"/>
  <c r="K11" i="25" s="1"/>
  <c r="L10" i="22"/>
  <c r="L13" i="22" s="1"/>
  <c r="L32" i="21"/>
  <c r="K15" i="24"/>
  <c r="L13" i="24"/>
  <c r="L7" i="25" l="1"/>
  <c r="M6" i="26"/>
  <c r="M5" i="26"/>
  <c r="L6" i="25"/>
  <c r="L9" i="25" s="1"/>
  <c r="L11" i="25" s="1"/>
  <c r="K12" i="25"/>
  <c r="L7" i="26" s="1"/>
  <c r="L9" i="26" s="1"/>
  <c r="L13" i="26" s="1"/>
  <c r="K13" i="25"/>
  <c r="L15" i="24"/>
  <c r="M13" i="24"/>
  <c r="L12" i="25" l="1"/>
  <c r="M7" i="26" s="1"/>
  <c r="M9" i="26" s="1"/>
  <c r="M13" i="26" s="1"/>
  <c r="L13" i="25"/>
  <c r="M15" i="24"/>
</calcChain>
</file>

<file path=xl/comments1.xml><?xml version="1.0" encoding="utf-8"?>
<comments xmlns="http://schemas.openxmlformats.org/spreadsheetml/2006/main">
  <authors>
    <author>User</author>
  </authors>
  <commentList>
    <comment ref="B15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Property, Plant, and Equipment – PP&amp;E
</t>
        </r>
      </text>
    </comment>
  </commentList>
</comments>
</file>

<file path=xl/sharedStrings.xml><?xml version="1.0" encoding="utf-8"?>
<sst xmlns="http://schemas.openxmlformats.org/spreadsheetml/2006/main" count="179" uniqueCount="105">
  <si>
    <t>Base case</t>
  </si>
  <si>
    <t>Best case</t>
  </si>
  <si>
    <t>Worst case</t>
  </si>
  <si>
    <t>Expected long-term inflation Italy</t>
  </si>
  <si>
    <t>Estimated initial investment (in EUR)</t>
  </si>
  <si>
    <t>Useful life (years)</t>
  </si>
  <si>
    <t>Selected case</t>
  </si>
  <si>
    <t>Drivers</t>
  </si>
  <si>
    <t xml:space="preserve"> </t>
  </si>
  <si>
    <t>Financing facilities</t>
  </si>
  <si>
    <t>Inflation</t>
  </si>
  <si>
    <t>Interest rate Senior Facility</t>
  </si>
  <si>
    <t>Tax rate</t>
  </si>
  <si>
    <t>10 years</t>
  </si>
  <si>
    <t>Repay Senior Facility in</t>
  </si>
  <si>
    <t>Residual value of the project</t>
  </si>
  <si>
    <t>Repayment %</t>
  </si>
  <si>
    <t>Comparable companies</t>
  </si>
  <si>
    <t>Company A</t>
  </si>
  <si>
    <t>Beta</t>
  </si>
  <si>
    <t>Company B</t>
  </si>
  <si>
    <t>Company C</t>
  </si>
  <si>
    <t>Leverage (D/E)</t>
  </si>
  <si>
    <t>Price per MWh (EUR)</t>
  </si>
  <si>
    <t>Senior Facility (million EUR)</t>
  </si>
  <si>
    <t>Repayment schedule</t>
  </si>
  <si>
    <t>Company X beta</t>
  </si>
  <si>
    <t>Market risk premium</t>
  </si>
  <si>
    <t>Risk-free rate</t>
  </si>
  <si>
    <t>Installed capacity (MW)</t>
  </si>
  <si>
    <t>Capacity factor</t>
  </si>
  <si>
    <t>Hours per day</t>
  </si>
  <si>
    <t>Days in one year</t>
  </si>
  <si>
    <t>Capex after year 1</t>
  </si>
  <si>
    <t>Opex as a % of Revenue</t>
  </si>
  <si>
    <t>Create a capital budgeting model that uses the inputs listed below. Calculate the project's feasibility in terms of NPV, IRR, and perform a sensitivity analysis.</t>
  </si>
  <si>
    <t>Energy Output</t>
  </si>
  <si>
    <t>Revenues</t>
  </si>
  <si>
    <t>Select Case</t>
  </si>
  <si>
    <t>Opex as a % of revenue</t>
  </si>
  <si>
    <t>Capex</t>
  </si>
  <si>
    <t>in EUR</t>
  </si>
  <si>
    <t>Beginning PP&amp;E</t>
  </si>
  <si>
    <t>D&amp;A</t>
  </si>
  <si>
    <t>Ending PP&amp;E</t>
  </si>
  <si>
    <t>D&amp;A schedule (in EUR)</t>
  </si>
  <si>
    <t>D&amp;A Year 1</t>
  </si>
  <si>
    <t>D&amp;A Year 2</t>
  </si>
  <si>
    <t>D&amp;A Year 3</t>
  </si>
  <si>
    <t>D&amp;A Year 4</t>
  </si>
  <si>
    <t>D&amp;A Year 5</t>
  </si>
  <si>
    <t>D&amp;A Year 6</t>
  </si>
  <si>
    <t>D&amp;A Year 7</t>
  </si>
  <si>
    <t>D&amp;A Year 8</t>
  </si>
  <si>
    <t>D&amp;A Year 9</t>
  </si>
  <si>
    <t>D&amp;A Year 10</t>
  </si>
  <si>
    <t>Total D&amp;A</t>
  </si>
  <si>
    <t>Operational Expenditures</t>
  </si>
  <si>
    <t>Financing</t>
  </si>
  <si>
    <t>Fixed Assets Investments</t>
  </si>
  <si>
    <t>In Eur</t>
  </si>
  <si>
    <t>Beginning Debt</t>
  </si>
  <si>
    <t>Repayment</t>
  </si>
  <si>
    <t>Ending Debt</t>
  </si>
  <si>
    <t>Interest Expense</t>
  </si>
  <si>
    <t>Investiment in year 0</t>
  </si>
  <si>
    <t>Revenue</t>
  </si>
  <si>
    <t>Opex</t>
  </si>
  <si>
    <t>EBIT</t>
  </si>
  <si>
    <t>Interest expenses</t>
  </si>
  <si>
    <t>EBT</t>
  </si>
  <si>
    <t>Taxes</t>
  </si>
  <si>
    <t>Net Income</t>
  </si>
  <si>
    <t>Data is from Revenues Sheet</t>
  </si>
  <si>
    <t>We considered tax rate 30%</t>
  </si>
  <si>
    <t>Cash Flow</t>
  </si>
  <si>
    <t xml:space="preserve">Operating Cash Flow </t>
  </si>
  <si>
    <t>Debt repayment</t>
  </si>
  <si>
    <t>Increase of equity</t>
  </si>
  <si>
    <t>Net Cash Flow</t>
  </si>
  <si>
    <t>Profit &amp; Loss</t>
  </si>
  <si>
    <t xml:space="preserve"> Cost of debt </t>
  </si>
  <si>
    <t xml:space="preserve"> Risk-free </t>
  </si>
  <si>
    <t xml:space="preserve"> Tax rate </t>
  </si>
  <si>
    <t xml:space="preserve"> Market risk premium </t>
  </si>
  <si>
    <t>Debt financing</t>
  </si>
  <si>
    <t>Equity financing</t>
  </si>
  <si>
    <t>Total financing</t>
  </si>
  <si>
    <t>Debt financing %</t>
  </si>
  <si>
    <t>Equity financing %</t>
  </si>
  <si>
    <t>Total financing %</t>
  </si>
  <si>
    <t>Comparable companies:</t>
  </si>
  <si>
    <t>Average leverage</t>
  </si>
  <si>
    <t>Average beta</t>
  </si>
  <si>
    <t>Project beta:</t>
  </si>
  <si>
    <t>Debt / Equity</t>
  </si>
  <si>
    <t>Beta unlevered</t>
  </si>
  <si>
    <t>Cost of equity</t>
  </si>
  <si>
    <t>WACC</t>
  </si>
  <si>
    <t>Discounted Cash Flow</t>
  </si>
  <si>
    <t>Present Value Residual Value</t>
  </si>
  <si>
    <t>Discounted Cash Flow with Residual Value</t>
  </si>
  <si>
    <t>Discounted Cash Flows (NPV)</t>
  </si>
  <si>
    <t>IRR</t>
  </si>
  <si>
    <t>Residual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</si>
</sst>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9"/>
      <color theme="1"/>
      <name val="Arial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4" fillId="2" borderId="0" xfId="0" applyFont="1" applyFill="1"/>
    <xf numFmtId="165" fontId="3" fillId="2" borderId="0" xfId="1" applyNumberFormat="1" applyFont="1" applyFill="1"/>
    <xf numFmtId="0" fontId="7" fillId="3" borderId="0" xfId="0" applyFont="1" applyFill="1"/>
    <xf numFmtId="0" fontId="6" fillId="2" borderId="0" xfId="0" applyFont="1" applyFill="1" applyBorder="1"/>
    <xf numFmtId="165" fontId="3" fillId="2" borderId="0" xfId="1" applyNumberFormat="1" applyFont="1" applyFill="1" applyBorder="1"/>
    <xf numFmtId="9" fontId="3" fillId="2" borderId="0" xfId="0" applyNumberFormat="1" applyFont="1" applyFill="1" applyAlignment="1">
      <alignment horizontal="right"/>
    </xf>
    <xf numFmtId="9" fontId="3" fillId="2" borderId="0" xfId="2" applyFont="1" applyFill="1" applyBorder="1"/>
    <xf numFmtId="0" fontId="6" fillId="2" borderId="1" xfId="0" applyFont="1" applyFill="1" applyBorder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9" fontId="3" fillId="2" borderId="0" xfId="0" applyNumberFormat="1" applyFont="1" applyFill="1"/>
    <xf numFmtId="0" fontId="6" fillId="2" borderId="1" xfId="0" applyFont="1" applyFill="1" applyBorder="1"/>
    <xf numFmtId="0" fontId="3" fillId="2" borderId="0" xfId="0" applyFont="1" applyFill="1" applyBorder="1"/>
    <xf numFmtId="0" fontId="5" fillId="2" borderId="0" xfId="0" applyFont="1" applyFill="1" applyBorder="1"/>
    <xf numFmtId="0" fontId="2" fillId="2" borderId="0" xfId="0" applyFont="1" applyFill="1" applyBorder="1"/>
    <xf numFmtId="2" fontId="3" fillId="2" borderId="0" xfId="0" applyNumberFormat="1" applyFont="1" applyFill="1"/>
    <xf numFmtId="166" fontId="3" fillId="2" borderId="0" xfId="0" applyNumberFormat="1" applyFont="1" applyFill="1"/>
    <xf numFmtId="9" fontId="3" fillId="2" borderId="0" xfId="2" applyFont="1" applyFill="1"/>
    <xf numFmtId="0" fontId="0" fillId="0" borderId="0" xfId="0"/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6" fillId="2" borderId="1" xfId="0" applyFont="1" applyFill="1" applyBorder="1"/>
    <xf numFmtId="165" fontId="3" fillId="2" borderId="0" xfId="0" applyNumberFormat="1" applyFont="1" applyFill="1"/>
    <xf numFmtId="0" fontId="3" fillId="2" borderId="0" xfId="0" applyFont="1" applyFill="1" applyBorder="1"/>
    <xf numFmtId="0" fontId="6" fillId="0" borderId="1" xfId="0" applyFont="1" applyFill="1" applyBorder="1"/>
    <xf numFmtId="0" fontId="0" fillId="0" borderId="0" xfId="0" applyFill="1"/>
    <xf numFmtId="0" fontId="3" fillId="0" borderId="0" xfId="0" applyFont="1" applyFill="1"/>
    <xf numFmtId="9" fontId="3" fillId="0" borderId="0" xfId="2" applyFont="1" applyFill="1"/>
    <xf numFmtId="9" fontId="3" fillId="0" borderId="0" xfId="0" applyNumberFormat="1" applyFont="1" applyFill="1"/>
    <xf numFmtId="165" fontId="3" fillId="0" borderId="0" xfId="1" applyNumberFormat="1" applyFont="1" applyFill="1"/>
    <xf numFmtId="0" fontId="0" fillId="4" borderId="0" xfId="0" applyFill="1"/>
    <xf numFmtId="0" fontId="6" fillId="4" borderId="0" xfId="0" applyFont="1" applyFill="1" applyBorder="1"/>
    <xf numFmtId="0" fontId="5" fillId="0" borderId="4" xfId="0" applyFont="1" applyFill="1" applyBorder="1"/>
    <xf numFmtId="0" fontId="0" fillId="0" borderId="2" xfId="0" applyFill="1" applyBorder="1"/>
    <xf numFmtId="0" fontId="5" fillId="0" borderId="0" xfId="0" applyFont="1" applyFill="1" applyBorder="1"/>
    <xf numFmtId="0" fontId="3" fillId="0" borderId="2" xfId="0" applyFont="1" applyFill="1" applyBorder="1"/>
    <xf numFmtId="0" fontId="10" fillId="0" borderId="0" xfId="0" applyFont="1" applyFill="1"/>
    <xf numFmtId="0" fontId="6" fillId="0" borderId="3" xfId="0" applyFont="1" applyFill="1" applyBorder="1"/>
    <xf numFmtId="9" fontId="0" fillId="0" borderId="0" xfId="0" applyNumberFormat="1"/>
    <xf numFmtId="9" fontId="3" fillId="0" borderId="0" xfId="0" applyNumberFormat="1" applyFont="1" applyFill="1" applyAlignment="1">
      <alignment horizontal="right"/>
    </xf>
    <xf numFmtId="165" fontId="3" fillId="0" borderId="0" xfId="1" applyNumberFormat="1" applyFont="1" applyFill="1" applyBorder="1"/>
    <xf numFmtId="9" fontId="3" fillId="0" borderId="0" xfId="2" applyFont="1" applyFill="1" applyBorder="1"/>
    <xf numFmtId="0" fontId="6" fillId="0" borderId="0" xfId="0" applyFont="1" applyFill="1" applyBorder="1"/>
    <xf numFmtId="165" fontId="0" fillId="0" borderId="0" xfId="0" applyNumberFormat="1" applyFill="1"/>
    <xf numFmtId="165" fontId="3" fillId="0" borderId="0" xfId="3" applyNumberFormat="1" applyFont="1" applyFill="1" applyBorder="1"/>
    <xf numFmtId="165" fontId="5" fillId="0" borderId="4" xfId="3" applyNumberFormat="1" applyFont="1" applyFill="1" applyBorder="1"/>
    <xf numFmtId="0" fontId="3" fillId="0" borderId="0" xfId="0" applyFont="1" applyFill="1" applyBorder="1"/>
    <xf numFmtId="2" fontId="0" fillId="0" borderId="0" xfId="0" applyNumberFormat="1"/>
    <xf numFmtId="0" fontId="11" fillId="0" borderId="0" xfId="0" applyFont="1"/>
    <xf numFmtId="0" fontId="0" fillId="0" borderId="2" xfId="0" applyBorder="1"/>
    <xf numFmtId="0" fontId="0" fillId="0" borderId="0" xfId="0"/>
    <xf numFmtId="2" fontId="0" fillId="0" borderId="2" xfId="0" applyNumberFormat="1" applyBorder="1"/>
    <xf numFmtId="2" fontId="0" fillId="0" borderId="5" xfId="0" applyNumberFormat="1" applyBorder="1"/>
    <xf numFmtId="0" fontId="0" fillId="0" borderId="0" xfId="0"/>
    <xf numFmtId="9" fontId="3" fillId="5" borderId="0" xfId="0" applyNumberFormat="1" applyFont="1" applyFill="1"/>
    <xf numFmtId="0" fontId="0" fillId="0" borderId="0" xfId="0" applyFill="1" applyBorder="1"/>
    <xf numFmtId="165" fontId="0" fillId="0" borderId="2" xfId="0" applyNumberFormat="1" applyFill="1" applyBorder="1"/>
    <xf numFmtId="164" fontId="0" fillId="0" borderId="0" xfId="0" applyNumberFormat="1" applyFill="1"/>
    <xf numFmtId="0" fontId="6" fillId="0" borderId="5" xfId="0" applyFont="1" applyFill="1" applyBorder="1"/>
    <xf numFmtId="165" fontId="0" fillId="0" borderId="5" xfId="0" applyNumberFormat="1" applyFill="1" applyBorder="1"/>
    <xf numFmtId="2" fontId="3" fillId="0" borderId="0" xfId="0" applyNumberFormat="1" applyFont="1" applyFill="1"/>
    <xf numFmtId="10" fontId="0" fillId="0" borderId="0" xfId="0" applyNumberFormat="1"/>
    <xf numFmtId="0" fontId="6" fillId="0" borderId="1" xfId="0" applyFont="1" applyFill="1" applyBorder="1" applyAlignment="1">
      <alignment horizontal="right"/>
    </xf>
    <xf numFmtId="165" fontId="3" fillId="0" borderId="2" xfId="1" applyNumberFormat="1" applyFont="1" applyFill="1" applyBorder="1"/>
    <xf numFmtId="165" fontId="3" fillId="0" borderId="2" xfId="3" applyNumberFormat="1" applyFont="1" applyFill="1" applyBorder="1"/>
    <xf numFmtId="165" fontId="5" fillId="0" borderId="0" xfId="3" applyNumberFormat="1" applyFont="1" applyFill="1" applyBorder="1"/>
    <xf numFmtId="9" fontId="3" fillId="0" borderId="0" xfId="0" applyNumberFormat="1" applyFont="1" applyFill="1" applyBorder="1"/>
    <xf numFmtId="0" fontId="0" fillId="0" borderId="0" xfId="0" applyBorder="1"/>
    <xf numFmtId="0" fontId="0" fillId="0" borderId="0" xfId="0"/>
    <xf numFmtId="43" fontId="3" fillId="0" borderId="0" xfId="0" applyNumberFormat="1" applyFont="1" applyFill="1" applyBorder="1"/>
    <xf numFmtId="43" fontId="0" fillId="0" borderId="0" xfId="0" applyNumberFormat="1"/>
    <xf numFmtId="0" fontId="5" fillId="0" borderId="0" xfId="0" applyFont="1" applyFill="1"/>
    <xf numFmtId="166" fontId="0" fillId="0" borderId="0" xfId="0" applyNumberFormat="1"/>
    <xf numFmtId="0" fontId="6" fillId="2" borderId="3" xfId="0" applyFont="1" applyFill="1" applyBorder="1"/>
    <xf numFmtId="166" fontId="6" fillId="2" borderId="3" xfId="2" applyNumberFormat="1" applyFont="1" applyFill="1" applyBorder="1"/>
    <xf numFmtId="166" fontId="0" fillId="0" borderId="0" xfId="2" applyNumberFormat="1" applyFont="1"/>
    <xf numFmtId="166" fontId="0" fillId="0" borderId="2" xfId="2" applyNumberFormat="1" applyFont="1" applyBorder="1"/>
    <xf numFmtId="165" fontId="3" fillId="0" borderId="0" xfId="1" applyNumberFormat="1" applyFont="1" applyFill="1" applyBorder="1" applyAlignment="1">
      <alignment horizontal="left"/>
    </xf>
    <xf numFmtId="165" fontId="5" fillId="0" borderId="4" xfId="1" applyNumberFormat="1" applyFont="1" applyFill="1" applyBorder="1"/>
    <xf numFmtId="165" fontId="5" fillId="0" borderId="0" xfId="1" applyNumberFormat="1" applyFont="1" applyFill="1" applyBorder="1"/>
    <xf numFmtId="0" fontId="1" fillId="0" borderId="0" xfId="0" applyFont="1" applyFill="1" applyBorder="1"/>
    <xf numFmtId="165" fontId="5" fillId="0" borderId="2" xfId="1" applyNumberFormat="1" applyFont="1" applyFill="1" applyBorder="1"/>
  </cellXfs>
  <cellStyles count="4">
    <cellStyle name="Normal" xfId="0" builtinId="0"/>
    <cellStyle name="Porcentagem" xfId="2" builtinId="5"/>
    <cellStyle name="Vírgula" xfId="1" builtinId="3"/>
    <cellStyle name="Vírgula 2" xfId="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6</xdr:row>
      <xdr:rowOff>180975</xdr:rowOff>
    </xdr:from>
    <xdr:to>
      <xdr:col>13</xdr:col>
      <xdr:colOff>352426</xdr:colOff>
      <xdr:row>10</xdr:row>
      <xdr:rowOff>85726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245155CB-06A2-4496-A6E7-B2D8B0D1EA8A}"/>
            </a:ext>
          </a:extLst>
        </xdr:cNvPr>
        <xdr:cNvSpPr/>
      </xdr:nvSpPr>
      <xdr:spPr>
        <a:xfrm>
          <a:off x="3781425" y="1285875"/>
          <a:ext cx="6096001" cy="6381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/>
            <a:t>Installed capacity (MW) x Capacity factor x Days in the year x Hours per day = Energy output (MWh)</a:t>
          </a:r>
          <a:endParaRPr lang="en-US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542925</xdr:colOff>
      <xdr:row>28</xdr:row>
      <xdr:rowOff>123825</xdr:rowOff>
    </xdr:from>
    <xdr:to>
      <xdr:col>19</xdr:col>
      <xdr:colOff>0</xdr:colOff>
      <xdr:row>33</xdr:row>
      <xdr:rowOff>0</xdr:rowOff>
    </xdr:to>
    <xdr:pic>
      <xdr:nvPicPr>
        <xdr:cNvPr id="2" name="Imagem 1" descr="Cálculo do Custo de Capital Próprio (Utilizando o CAPM ..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72850" y="5476875"/>
          <a:ext cx="3114675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topLeftCell="A25" workbookViewId="0">
      <selection activeCell="C41" sqref="C41"/>
    </sheetView>
  </sheetViews>
  <sheetFormatPr defaultRowHeight="12" x14ac:dyDescent="0.2"/>
  <cols>
    <col min="1" max="1" width="2" style="10" customWidth="1"/>
    <col min="2" max="2" width="35.7109375" style="10" bestFit="1" customWidth="1"/>
    <col min="3" max="3" width="12" style="10" bestFit="1" customWidth="1"/>
    <col min="4" max="4" width="10.85546875" style="10" customWidth="1"/>
    <col min="5" max="16384" width="9.140625" style="10"/>
  </cols>
  <sheetData>
    <row r="1" spans="2:3" s="9" customFormat="1" ht="15.75" x14ac:dyDescent="0.25">
      <c r="B1" s="1" t="s">
        <v>7</v>
      </c>
    </row>
    <row r="2" spans="2:3" s="9" customFormat="1" ht="14.25" x14ac:dyDescent="0.2"/>
    <row r="3" spans="2:3" s="9" customFormat="1" ht="14.25" x14ac:dyDescent="0.2">
      <c r="B3" s="10" t="s">
        <v>35</v>
      </c>
    </row>
    <row r="4" spans="2:3" s="9" customFormat="1" ht="14.25" x14ac:dyDescent="0.2"/>
    <row r="5" spans="2:3" s="9" customFormat="1" ht="14.25" x14ac:dyDescent="0.2">
      <c r="B5" s="10" t="s">
        <v>6</v>
      </c>
      <c r="C5" s="3">
        <v>1</v>
      </c>
    </row>
    <row r="6" spans="2:3" s="9" customFormat="1" ht="14.25" x14ac:dyDescent="0.2"/>
    <row r="7" spans="2:3" s="9" customFormat="1" ht="15" thickBot="1" x14ac:dyDescent="0.25">
      <c r="B7" s="12" t="s">
        <v>29</v>
      </c>
      <c r="C7" s="12"/>
    </row>
    <row r="8" spans="2:3" s="9" customFormat="1" ht="14.25" x14ac:dyDescent="0.2">
      <c r="B8" s="10" t="s">
        <v>1</v>
      </c>
      <c r="C8" s="10">
        <v>220</v>
      </c>
    </row>
    <row r="9" spans="2:3" s="9" customFormat="1" ht="14.25" x14ac:dyDescent="0.2">
      <c r="B9" s="10" t="s">
        <v>0</v>
      </c>
      <c r="C9" s="10">
        <v>200</v>
      </c>
    </row>
    <row r="10" spans="2:3" s="9" customFormat="1" ht="14.25" x14ac:dyDescent="0.2">
      <c r="B10" s="10" t="s">
        <v>2</v>
      </c>
      <c r="C10" s="10">
        <v>180</v>
      </c>
    </row>
    <row r="11" spans="2:3" s="9" customFormat="1" ht="14.25" x14ac:dyDescent="0.2">
      <c r="B11" s="10"/>
      <c r="C11" s="10"/>
    </row>
    <row r="12" spans="2:3" s="9" customFormat="1" ht="14.25" x14ac:dyDescent="0.2">
      <c r="B12" s="10" t="s">
        <v>30</v>
      </c>
      <c r="C12" s="18">
        <v>0.25</v>
      </c>
    </row>
    <row r="13" spans="2:3" s="9" customFormat="1" ht="14.25" x14ac:dyDescent="0.2">
      <c r="B13" s="10" t="s">
        <v>32</v>
      </c>
      <c r="C13" s="10">
        <v>365</v>
      </c>
    </row>
    <row r="14" spans="2:3" s="9" customFormat="1" ht="14.25" x14ac:dyDescent="0.2">
      <c r="B14" s="10" t="s">
        <v>31</v>
      </c>
      <c r="C14" s="10">
        <v>24</v>
      </c>
    </row>
    <row r="15" spans="2:3" s="9" customFormat="1" ht="14.25" x14ac:dyDescent="0.2"/>
    <row r="16" spans="2:3" s="9" customFormat="1" ht="15" thickBot="1" x14ac:dyDescent="0.25">
      <c r="B16" s="12" t="s">
        <v>10</v>
      </c>
      <c r="C16" s="12"/>
    </row>
    <row r="17" spans="2:7" s="9" customFormat="1" ht="14.25" x14ac:dyDescent="0.2">
      <c r="B17" s="10" t="s">
        <v>3</v>
      </c>
      <c r="C17" s="11">
        <v>0.01</v>
      </c>
    </row>
    <row r="18" spans="2:7" s="9" customFormat="1" ht="14.25" x14ac:dyDescent="0.2"/>
    <row r="19" spans="2:7" s="9" customFormat="1" ht="15" thickBot="1" x14ac:dyDescent="0.25">
      <c r="B19" s="12" t="s">
        <v>23</v>
      </c>
      <c r="C19" s="12"/>
      <c r="F19" s="4" t="s">
        <v>8</v>
      </c>
      <c r="G19" s="4"/>
    </row>
    <row r="20" spans="2:7" s="9" customFormat="1" ht="14.25" x14ac:dyDescent="0.2">
      <c r="B20" s="10" t="s">
        <v>1</v>
      </c>
      <c r="C20" s="2">
        <v>220</v>
      </c>
      <c r="F20" s="13"/>
      <c r="G20" s="5"/>
    </row>
    <row r="21" spans="2:7" s="9" customFormat="1" ht="14.25" x14ac:dyDescent="0.2">
      <c r="B21" s="10" t="s">
        <v>0</v>
      </c>
      <c r="C21" s="2">
        <v>210</v>
      </c>
      <c r="F21" s="13"/>
      <c r="G21" s="5"/>
    </row>
    <row r="22" spans="2:7" s="9" customFormat="1" ht="14.25" x14ac:dyDescent="0.2">
      <c r="B22" s="10" t="s">
        <v>2</v>
      </c>
      <c r="C22" s="2">
        <v>200</v>
      </c>
      <c r="F22" s="13"/>
      <c r="G22" s="5"/>
    </row>
    <row r="23" spans="2:7" s="21" customFormat="1" ht="14.25" x14ac:dyDescent="0.2">
      <c r="B23" s="22"/>
      <c r="C23" s="2"/>
      <c r="F23" s="25"/>
      <c r="G23" s="5"/>
    </row>
    <row r="24" spans="2:7" s="9" customFormat="1" ht="14.25" x14ac:dyDescent="0.2">
      <c r="F24" s="13"/>
      <c r="G24" s="5"/>
    </row>
    <row r="25" spans="2:7" s="9" customFormat="1" ht="15" thickBot="1" x14ac:dyDescent="0.25">
      <c r="B25" s="12" t="s">
        <v>34</v>
      </c>
      <c r="C25" s="12"/>
      <c r="F25" s="13"/>
      <c r="G25" s="5"/>
    </row>
    <row r="26" spans="2:7" s="9" customFormat="1" ht="14.25" x14ac:dyDescent="0.2">
      <c r="B26" s="10" t="s">
        <v>1</v>
      </c>
      <c r="C26" s="11">
        <v>-0.15</v>
      </c>
      <c r="F26" s="13"/>
      <c r="G26" s="5"/>
    </row>
    <row r="27" spans="2:7" s="9" customFormat="1" ht="14.25" x14ac:dyDescent="0.2">
      <c r="B27" s="10" t="s">
        <v>0</v>
      </c>
      <c r="C27" s="11">
        <v>-0.16</v>
      </c>
      <c r="F27" s="13"/>
      <c r="G27" s="5"/>
    </row>
    <row r="28" spans="2:7" s="9" customFormat="1" ht="14.25" x14ac:dyDescent="0.2">
      <c r="B28" s="10" t="s">
        <v>2</v>
      </c>
      <c r="C28" s="11">
        <v>0.17</v>
      </c>
      <c r="F28" s="13"/>
      <c r="G28" s="5"/>
    </row>
    <row r="29" spans="2:7" s="9" customFormat="1" ht="14.25" x14ac:dyDescent="0.2">
      <c r="F29" s="13"/>
      <c r="G29" s="5"/>
    </row>
    <row r="30" spans="2:7" s="9" customFormat="1" ht="14.25" x14ac:dyDescent="0.2">
      <c r="F30" s="13"/>
      <c r="G30" s="5"/>
    </row>
    <row r="31" spans="2:7" s="9" customFormat="1" ht="14.25" x14ac:dyDescent="0.2">
      <c r="F31" s="13"/>
      <c r="G31" s="5"/>
    </row>
    <row r="32" spans="2:7" s="15" customFormat="1" ht="15" thickBot="1" x14ac:dyDescent="0.25">
      <c r="B32" s="12" t="s">
        <v>4</v>
      </c>
      <c r="C32" s="12"/>
    </row>
    <row r="33" spans="2:15" s="9" customFormat="1" ht="14.25" x14ac:dyDescent="0.2">
      <c r="B33" s="10" t="s">
        <v>1</v>
      </c>
      <c r="C33" s="2">
        <v>500000000</v>
      </c>
    </row>
    <row r="34" spans="2:15" x14ac:dyDescent="0.2">
      <c r="B34" s="10" t="s">
        <v>0</v>
      </c>
      <c r="C34" s="2">
        <v>510000000</v>
      </c>
    </row>
    <row r="35" spans="2:15" x14ac:dyDescent="0.2">
      <c r="B35" s="10" t="s">
        <v>2</v>
      </c>
      <c r="C35" s="2">
        <v>520000000</v>
      </c>
    </row>
    <row r="37" spans="2:15" x14ac:dyDescent="0.2">
      <c r="B37" s="10" t="s">
        <v>5</v>
      </c>
      <c r="C37" s="2">
        <v>10</v>
      </c>
    </row>
    <row r="38" spans="2:15" x14ac:dyDescent="0.2">
      <c r="B38" s="10" t="s">
        <v>33</v>
      </c>
      <c r="C38" s="11">
        <v>0.03</v>
      </c>
      <c r="D38" s="24"/>
    </row>
    <row r="39" spans="2:15" x14ac:dyDescent="0.2">
      <c r="B39" s="14"/>
      <c r="C39" s="14"/>
    </row>
    <row r="40" spans="2:15" ht="12.75" thickBot="1" x14ac:dyDescent="0.25">
      <c r="B40" s="12" t="s">
        <v>9</v>
      </c>
      <c r="C40" s="12"/>
    </row>
    <row r="41" spans="2:15" x14ac:dyDescent="0.2">
      <c r="B41" s="10" t="s">
        <v>24</v>
      </c>
      <c r="C41" s="2">
        <v>300000000</v>
      </c>
    </row>
    <row r="42" spans="2:15" x14ac:dyDescent="0.2">
      <c r="B42" s="10" t="s">
        <v>11</v>
      </c>
      <c r="C42" s="11">
        <v>0.04</v>
      </c>
    </row>
    <row r="43" spans="2:15" x14ac:dyDescent="0.2">
      <c r="B43" s="10" t="s">
        <v>14</v>
      </c>
      <c r="C43" s="6" t="s">
        <v>13</v>
      </c>
    </row>
    <row r="44" spans="2:15" x14ac:dyDescent="0.2">
      <c r="C44" s="11"/>
    </row>
    <row r="45" spans="2:15" ht="12.75" thickBot="1" x14ac:dyDescent="0.25">
      <c r="B45" s="12" t="s">
        <v>25</v>
      </c>
      <c r="C45" s="12">
        <v>0</v>
      </c>
      <c r="D45" s="12">
        <v>1</v>
      </c>
      <c r="E45" s="12">
        <v>2</v>
      </c>
      <c r="F45" s="12">
        <v>3</v>
      </c>
      <c r="G45" s="12">
        <v>4</v>
      </c>
      <c r="H45" s="12">
        <v>5</v>
      </c>
      <c r="I45" s="12">
        <v>6</v>
      </c>
      <c r="J45" s="12">
        <v>7</v>
      </c>
      <c r="K45" s="12">
        <v>8</v>
      </c>
      <c r="L45" s="12">
        <v>9</v>
      </c>
      <c r="M45" s="12">
        <v>10</v>
      </c>
      <c r="N45" s="12">
        <v>11</v>
      </c>
      <c r="O45" s="12">
        <v>12</v>
      </c>
    </row>
    <row r="46" spans="2:15" x14ac:dyDescent="0.2">
      <c r="B46" s="5" t="s">
        <v>16</v>
      </c>
      <c r="C46" s="7">
        <v>0</v>
      </c>
      <c r="D46" s="7">
        <v>0</v>
      </c>
      <c r="E46" s="7">
        <v>0.05</v>
      </c>
      <c r="F46" s="7">
        <v>0.1</v>
      </c>
      <c r="G46" s="7">
        <v>0.1</v>
      </c>
      <c r="H46" s="7">
        <v>0.1</v>
      </c>
      <c r="I46" s="7">
        <v>0.1</v>
      </c>
      <c r="J46" s="7">
        <v>0.1</v>
      </c>
      <c r="K46" s="7">
        <v>0.1</v>
      </c>
      <c r="L46" s="7">
        <v>0.1</v>
      </c>
      <c r="M46" s="7">
        <v>0.1</v>
      </c>
      <c r="N46" s="11">
        <v>0.1</v>
      </c>
      <c r="O46" s="11">
        <v>0.05</v>
      </c>
    </row>
    <row r="48" spans="2:15" x14ac:dyDescent="0.2">
      <c r="B48" s="10" t="s">
        <v>12</v>
      </c>
      <c r="C48" s="11">
        <v>0.3</v>
      </c>
    </row>
    <row r="49" spans="2:4" x14ac:dyDescent="0.2">
      <c r="B49" s="10" t="s">
        <v>15</v>
      </c>
      <c r="C49" s="2">
        <v>100000000</v>
      </c>
    </row>
    <row r="51" spans="2:4" ht="12.75" thickBot="1" x14ac:dyDescent="0.25">
      <c r="B51" s="12" t="s">
        <v>17</v>
      </c>
      <c r="C51" s="8" t="s">
        <v>22</v>
      </c>
      <c r="D51" s="8" t="s">
        <v>19</v>
      </c>
    </row>
    <row r="52" spans="2:4" x14ac:dyDescent="0.2">
      <c r="B52" s="10" t="s">
        <v>18</v>
      </c>
      <c r="C52" s="11">
        <v>0.7</v>
      </c>
      <c r="D52" s="16">
        <v>0.5</v>
      </c>
    </row>
    <row r="53" spans="2:4" x14ac:dyDescent="0.2">
      <c r="B53" s="10" t="s">
        <v>20</v>
      </c>
      <c r="C53" s="11">
        <v>0.8</v>
      </c>
      <c r="D53" s="16">
        <v>0.4</v>
      </c>
    </row>
    <row r="54" spans="2:4" x14ac:dyDescent="0.2">
      <c r="B54" s="10" t="s">
        <v>21</v>
      </c>
      <c r="C54" s="11">
        <v>0.65</v>
      </c>
      <c r="D54" s="16">
        <v>0.35</v>
      </c>
    </row>
    <row r="55" spans="2:4" x14ac:dyDescent="0.2">
      <c r="C55" s="11"/>
    </row>
    <row r="56" spans="2:4" x14ac:dyDescent="0.2">
      <c r="B56" s="13" t="s">
        <v>26</v>
      </c>
      <c r="C56" s="13">
        <v>0.9</v>
      </c>
    </row>
    <row r="57" spans="2:4" x14ac:dyDescent="0.2">
      <c r="B57" s="13"/>
      <c r="C57" s="13"/>
    </row>
    <row r="58" spans="2:4" x14ac:dyDescent="0.2">
      <c r="B58" s="13"/>
      <c r="C58" s="13"/>
    </row>
    <row r="59" spans="2:4" x14ac:dyDescent="0.2">
      <c r="B59" s="10" t="s">
        <v>27</v>
      </c>
      <c r="C59" s="17">
        <v>5.5E-2</v>
      </c>
    </row>
    <row r="60" spans="2:4" x14ac:dyDescent="0.2">
      <c r="B60" s="10" t="s">
        <v>28</v>
      </c>
      <c r="C60" s="17">
        <v>0.02</v>
      </c>
    </row>
  </sheetData>
  <dataValidations count="1">
    <dataValidation type="list" allowBlank="1" showInputMessage="1" showErrorMessage="1" sqref="C5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showGridLines="0" workbookViewId="0">
      <selection activeCell="C30" sqref="C30"/>
    </sheetView>
  </sheetViews>
  <sheetFormatPr defaultRowHeight="15" x14ac:dyDescent="0.25"/>
  <cols>
    <col min="2" max="2" width="26.7109375" style="27" bestFit="1" customWidth="1"/>
    <col min="3" max="12" width="20.7109375" style="27" customWidth="1"/>
  </cols>
  <sheetData>
    <row r="1" spans="2:12" s="20" customFormat="1" x14ac:dyDescent="0.25"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2:12" s="32" customFormat="1" x14ac:dyDescent="0.25">
      <c r="B2" s="33" t="s">
        <v>37</v>
      </c>
    </row>
    <row r="4" spans="2:12" ht="15.75" thickBot="1" x14ac:dyDescent="0.3">
      <c r="B4" s="26" t="s">
        <v>29</v>
      </c>
      <c r="C4" s="26"/>
    </row>
    <row r="5" spans="2:12" x14ac:dyDescent="0.25">
      <c r="B5" s="28" t="s">
        <v>1</v>
      </c>
      <c r="C5" s="28">
        <v>220</v>
      </c>
    </row>
    <row r="6" spans="2:12" x14ac:dyDescent="0.25">
      <c r="B6" s="28" t="s">
        <v>0</v>
      </c>
      <c r="C6" s="28">
        <v>200</v>
      </c>
    </row>
    <row r="7" spans="2:12" x14ac:dyDescent="0.25">
      <c r="B7" s="28" t="s">
        <v>2</v>
      </c>
      <c r="C7" s="28">
        <v>180</v>
      </c>
    </row>
    <row r="8" spans="2:12" x14ac:dyDescent="0.25">
      <c r="B8" s="28"/>
      <c r="C8" s="28"/>
    </row>
    <row r="9" spans="2:12" x14ac:dyDescent="0.25">
      <c r="B9" s="28" t="s">
        <v>30</v>
      </c>
      <c r="C9" s="29">
        <v>0.25</v>
      </c>
    </row>
    <row r="10" spans="2:12" x14ac:dyDescent="0.25">
      <c r="B10" s="28" t="s">
        <v>32</v>
      </c>
      <c r="C10" s="28">
        <v>365</v>
      </c>
    </row>
    <row r="11" spans="2:12" x14ac:dyDescent="0.25">
      <c r="B11" s="28" t="s">
        <v>31</v>
      </c>
      <c r="C11" s="28">
        <v>24</v>
      </c>
    </row>
    <row r="13" spans="2:12" ht="15.75" thickBot="1" x14ac:dyDescent="0.3">
      <c r="B13" s="26" t="s">
        <v>36</v>
      </c>
      <c r="C13" s="26">
        <v>1</v>
      </c>
      <c r="D13" s="26">
        <v>2</v>
      </c>
      <c r="E13" s="26">
        <v>3</v>
      </c>
      <c r="F13" s="26">
        <v>4</v>
      </c>
      <c r="G13" s="26">
        <v>5</v>
      </c>
      <c r="H13" s="26">
        <v>6</v>
      </c>
      <c r="I13" s="26">
        <v>7</v>
      </c>
      <c r="J13" s="26">
        <v>8</v>
      </c>
      <c r="K13" s="26">
        <v>9</v>
      </c>
      <c r="L13" s="26">
        <v>10</v>
      </c>
    </row>
    <row r="14" spans="2:12" x14ac:dyDescent="0.25">
      <c r="B14" s="28" t="s">
        <v>1</v>
      </c>
      <c r="C14" s="45">
        <f>$C$5*$C$9*$C$10*$C$11</f>
        <v>481800</v>
      </c>
      <c r="D14" s="45">
        <f t="shared" ref="D14:L14" si="0">$C$5*$C$9*$C$10*$C$11</f>
        <v>481800</v>
      </c>
      <c r="E14" s="45">
        <f t="shared" si="0"/>
        <v>481800</v>
      </c>
      <c r="F14" s="45">
        <f t="shared" si="0"/>
        <v>481800</v>
      </c>
      <c r="G14" s="45">
        <f t="shared" si="0"/>
        <v>481800</v>
      </c>
      <c r="H14" s="45">
        <f t="shared" si="0"/>
        <v>481800</v>
      </c>
      <c r="I14" s="45">
        <f t="shared" si="0"/>
        <v>481800</v>
      </c>
      <c r="J14" s="45">
        <f t="shared" si="0"/>
        <v>481800</v>
      </c>
      <c r="K14" s="45">
        <f t="shared" si="0"/>
        <v>481800</v>
      </c>
      <c r="L14" s="45">
        <f t="shared" si="0"/>
        <v>481800</v>
      </c>
    </row>
    <row r="15" spans="2:12" x14ac:dyDescent="0.25">
      <c r="B15" s="28" t="s">
        <v>0</v>
      </c>
      <c r="C15" s="45">
        <f>$C$6*$C$9*$C$10*$C$11</f>
        <v>438000</v>
      </c>
      <c r="D15" s="45">
        <f t="shared" ref="D15:K15" si="1">$C$6*$C$9*$C$10*$C$11</f>
        <v>438000</v>
      </c>
      <c r="E15" s="45">
        <f t="shared" si="1"/>
        <v>438000</v>
      </c>
      <c r="F15" s="45">
        <f t="shared" si="1"/>
        <v>438000</v>
      </c>
      <c r="G15" s="45">
        <f t="shared" si="1"/>
        <v>438000</v>
      </c>
      <c r="H15" s="45">
        <f t="shared" si="1"/>
        <v>438000</v>
      </c>
      <c r="I15" s="45">
        <f t="shared" si="1"/>
        <v>438000</v>
      </c>
      <c r="J15" s="45">
        <f t="shared" si="1"/>
        <v>438000</v>
      </c>
      <c r="K15" s="45">
        <f t="shared" si="1"/>
        <v>438000</v>
      </c>
      <c r="L15" s="45">
        <f>$C$6*$C$9*$C$10*$C$11</f>
        <v>438000</v>
      </c>
    </row>
    <row r="16" spans="2:12" x14ac:dyDescent="0.25">
      <c r="B16" s="37" t="s">
        <v>2</v>
      </c>
      <c r="C16" s="58">
        <f>$C$7*$C$9*$C$10*$C$11</f>
        <v>394200</v>
      </c>
      <c r="D16" s="58">
        <f t="shared" ref="D16:K16" si="2">$C$7*$C$9*$C$10*$C$11</f>
        <v>394200</v>
      </c>
      <c r="E16" s="58">
        <f t="shared" si="2"/>
        <v>394200</v>
      </c>
      <c r="F16" s="58">
        <f t="shared" si="2"/>
        <v>394200</v>
      </c>
      <c r="G16" s="58">
        <f t="shared" si="2"/>
        <v>394200</v>
      </c>
      <c r="H16" s="58">
        <f t="shared" si="2"/>
        <v>394200</v>
      </c>
      <c r="I16" s="58">
        <f t="shared" si="2"/>
        <v>394200</v>
      </c>
      <c r="J16" s="58">
        <f t="shared" si="2"/>
        <v>394200</v>
      </c>
      <c r="K16" s="58">
        <f t="shared" si="2"/>
        <v>394200</v>
      </c>
      <c r="L16" s="58">
        <f>$C$7*$C$9*$C$10*$C$11</f>
        <v>394200</v>
      </c>
    </row>
    <row r="17" spans="2:12" x14ac:dyDescent="0.25">
      <c r="B17" s="36" t="s">
        <v>38</v>
      </c>
      <c r="C17" s="45">
        <f>CHOOSE('Business Drivers'!$C$5,C14,C15,C16)</f>
        <v>481800</v>
      </c>
      <c r="D17" s="45">
        <f>CHOOSE('Business Drivers'!$C$5,D14,D15,D16)</f>
        <v>481800</v>
      </c>
      <c r="E17" s="45">
        <f>CHOOSE('Business Drivers'!$C$5,E14,E15,E16)</f>
        <v>481800</v>
      </c>
      <c r="F17" s="45">
        <f>CHOOSE('Business Drivers'!$C$5,F14,F15,F16)</f>
        <v>481800</v>
      </c>
      <c r="G17" s="45">
        <f>CHOOSE('Business Drivers'!$C$5,G14,G15,G16)</f>
        <v>481800</v>
      </c>
      <c r="H17" s="45">
        <f>CHOOSE('Business Drivers'!$C$5,H14,H15,H16)</f>
        <v>481800</v>
      </c>
      <c r="I17" s="45">
        <f>CHOOSE('Business Drivers'!$C$5,I14,I15,I16)</f>
        <v>481800</v>
      </c>
      <c r="J17" s="45">
        <f>CHOOSE('Business Drivers'!$C$5,J14,J15,J16)</f>
        <v>481800</v>
      </c>
      <c r="K17" s="45">
        <f>CHOOSE('Business Drivers'!$C$5,K14,K15,K16)</f>
        <v>481800</v>
      </c>
      <c r="L17" s="45">
        <f>CHOOSE('Business Drivers'!$C$5,L14,L15,L16)</f>
        <v>481800</v>
      </c>
    </row>
    <row r="18" spans="2:12" s="20" customFormat="1" x14ac:dyDescent="0.25">
      <c r="B18" s="36"/>
      <c r="C18" s="27"/>
      <c r="D18" s="27"/>
      <c r="E18" s="27"/>
      <c r="F18" s="27"/>
      <c r="G18" s="27"/>
      <c r="H18" s="27"/>
      <c r="I18" s="27"/>
      <c r="J18" s="27"/>
      <c r="K18" s="27"/>
      <c r="L18" s="27"/>
    </row>
    <row r="19" spans="2:12" ht="15.75" thickBot="1" x14ac:dyDescent="0.3">
      <c r="B19" s="26" t="s">
        <v>10</v>
      </c>
      <c r="C19" s="26"/>
    </row>
    <row r="20" spans="2:12" x14ac:dyDescent="0.25">
      <c r="B20" s="28" t="s">
        <v>3</v>
      </c>
      <c r="C20" s="56">
        <v>0.01</v>
      </c>
    </row>
    <row r="22" spans="2:12" ht="15.75" thickBot="1" x14ac:dyDescent="0.3">
      <c r="B22" s="26" t="s">
        <v>23</v>
      </c>
      <c r="C22" s="26">
        <v>1</v>
      </c>
      <c r="D22" s="26">
        <v>2</v>
      </c>
      <c r="E22" s="26">
        <v>3</v>
      </c>
      <c r="F22" s="26">
        <v>4</v>
      </c>
      <c r="G22" s="26">
        <v>5</v>
      </c>
      <c r="H22" s="26">
        <v>6</v>
      </c>
      <c r="I22" s="26">
        <v>7</v>
      </c>
      <c r="J22" s="26">
        <v>8</v>
      </c>
      <c r="K22" s="26">
        <v>9</v>
      </c>
      <c r="L22" s="26">
        <v>10</v>
      </c>
    </row>
    <row r="23" spans="2:12" x14ac:dyDescent="0.25">
      <c r="B23" s="28" t="s">
        <v>1</v>
      </c>
      <c r="C23" s="59">
        <v>220</v>
      </c>
      <c r="D23" s="59">
        <f>C23*(1+$C$20)</f>
        <v>222.2</v>
      </c>
      <c r="E23" s="59">
        <f t="shared" ref="E23:L23" si="3">D23*(1+$C$20)</f>
        <v>224.422</v>
      </c>
      <c r="F23" s="59">
        <f t="shared" si="3"/>
        <v>226.66622000000001</v>
      </c>
      <c r="G23" s="59">
        <f t="shared" si="3"/>
        <v>228.93288220000002</v>
      </c>
      <c r="H23" s="59">
        <f t="shared" si="3"/>
        <v>231.22221102200004</v>
      </c>
      <c r="I23" s="59">
        <f t="shared" si="3"/>
        <v>233.53443313222004</v>
      </c>
      <c r="J23" s="59">
        <f t="shared" si="3"/>
        <v>235.86977746354225</v>
      </c>
      <c r="K23" s="59">
        <f t="shared" si="3"/>
        <v>238.22847523817768</v>
      </c>
      <c r="L23" s="59">
        <f t="shared" si="3"/>
        <v>240.61075999055947</v>
      </c>
    </row>
    <row r="24" spans="2:12" x14ac:dyDescent="0.25">
      <c r="B24" s="28" t="s">
        <v>0</v>
      </c>
      <c r="C24" s="59">
        <v>210</v>
      </c>
      <c r="D24" s="59">
        <f t="shared" ref="D24:L24" si="4">C24*(1+$C$20)</f>
        <v>212.1</v>
      </c>
      <c r="E24" s="59">
        <f t="shared" si="4"/>
        <v>214.221</v>
      </c>
      <c r="F24" s="59">
        <f t="shared" si="4"/>
        <v>216.36321000000001</v>
      </c>
      <c r="G24" s="59">
        <f t="shared" si="4"/>
        <v>218.52684210000001</v>
      </c>
      <c r="H24" s="59">
        <f t="shared" si="4"/>
        <v>220.712110521</v>
      </c>
      <c r="I24" s="59">
        <f t="shared" si="4"/>
        <v>222.91923162621001</v>
      </c>
      <c r="J24" s="59">
        <f t="shared" si="4"/>
        <v>225.14842394247211</v>
      </c>
      <c r="K24" s="59">
        <f t="shared" si="4"/>
        <v>227.39990818189682</v>
      </c>
      <c r="L24" s="59">
        <f t="shared" si="4"/>
        <v>229.67390726371579</v>
      </c>
    </row>
    <row r="25" spans="2:12" x14ac:dyDescent="0.25">
      <c r="B25" s="28" t="s">
        <v>2</v>
      </c>
      <c r="C25" s="59">
        <v>200</v>
      </c>
      <c r="D25" s="59">
        <f t="shared" ref="D25:L25" si="5">C25*(1+$C$20)</f>
        <v>202</v>
      </c>
      <c r="E25" s="59">
        <f t="shared" si="5"/>
        <v>204.02</v>
      </c>
      <c r="F25" s="59">
        <f t="shared" si="5"/>
        <v>206.06020000000001</v>
      </c>
      <c r="G25" s="59">
        <f t="shared" si="5"/>
        <v>208.120802</v>
      </c>
      <c r="H25" s="59">
        <f t="shared" si="5"/>
        <v>210.20201001999999</v>
      </c>
      <c r="I25" s="59">
        <f t="shared" si="5"/>
        <v>212.3040301202</v>
      </c>
      <c r="J25" s="59">
        <f t="shared" si="5"/>
        <v>214.42707042140199</v>
      </c>
      <c r="K25" s="59">
        <f t="shared" si="5"/>
        <v>216.57134112561602</v>
      </c>
      <c r="L25" s="59">
        <f t="shared" si="5"/>
        <v>218.73705453687217</v>
      </c>
    </row>
    <row r="26" spans="2:12" s="55" customFormat="1" x14ac:dyDescent="0.25">
      <c r="B26" s="36" t="s">
        <v>38</v>
      </c>
      <c r="C26" s="59">
        <f>CHOOSE('Business Drivers'!$C$5,C23,C24,C25)</f>
        <v>220</v>
      </c>
      <c r="D26" s="59">
        <f>CHOOSE('Business Drivers'!$C$5,D23,D24,D25)</f>
        <v>222.2</v>
      </c>
      <c r="E26" s="59">
        <f>CHOOSE('Business Drivers'!$C$5,E23,E24,E25)</f>
        <v>224.422</v>
      </c>
      <c r="F26" s="59">
        <f>CHOOSE('Business Drivers'!$C$5,F23,F24,F25)</f>
        <v>226.66622000000001</v>
      </c>
      <c r="G26" s="59">
        <f>CHOOSE('Business Drivers'!$C$5,G23,G24,G25)</f>
        <v>228.93288220000002</v>
      </c>
      <c r="H26" s="59">
        <f>CHOOSE('Business Drivers'!$C$5,H23,H24,H25)</f>
        <v>231.22221102200004</v>
      </c>
      <c r="I26" s="59">
        <f>CHOOSE('Business Drivers'!$C$5,I23,I24,I25)</f>
        <v>233.53443313222004</v>
      </c>
      <c r="J26" s="59">
        <f>CHOOSE('Business Drivers'!$C$5,J23,J24,J25)</f>
        <v>235.86977746354225</v>
      </c>
      <c r="K26" s="59">
        <f>CHOOSE('Business Drivers'!$C$5,K23,K24,K25)</f>
        <v>238.22847523817768</v>
      </c>
      <c r="L26" s="59">
        <f>CHOOSE('Business Drivers'!$C$5,L23,L24,L25)</f>
        <v>240.61075999055947</v>
      </c>
    </row>
    <row r="28" spans="2:12" ht="15.75" thickBot="1" x14ac:dyDescent="0.3">
      <c r="B28" s="26" t="s">
        <v>37</v>
      </c>
      <c r="C28" s="26">
        <v>1</v>
      </c>
      <c r="D28" s="26">
        <v>2</v>
      </c>
      <c r="E28" s="26">
        <v>3</v>
      </c>
      <c r="F28" s="26">
        <v>4</v>
      </c>
      <c r="G28" s="26">
        <v>5</v>
      </c>
      <c r="H28" s="26">
        <v>6</v>
      </c>
      <c r="I28" s="26">
        <v>7</v>
      </c>
      <c r="J28" s="26">
        <v>8</v>
      </c>
      <c r="K28" s="26">
        <v>9</v>
      </c>
      <c r="L28" s="26">
        <v>10</v>
      </c>
    </row>
    <row r="29" spans="2:12" x14ac:dyDescent="0.25">
      <c r="B29" s="28" t="s">
        <v>1</v>
      </c>
      <c r="C29" s="45">
        <f>C14*C23</f>
        <v>105996000</v>
      </c>
      <c r="D29" s="45">
        <f t="shared" ref="D29:L29" si="6">D14*D23</f>
        <v>107055960</v>
      </c>
      <c r="E29" s="45">
        <f t="shared" si="6"/>
        <v>108126519.59999999</v>
      </c>
      <c r="F29" s="45">
        <f t="shared" si="6"/>
        <v>109207784.796</v>
      </c>
      <c r="G29" s="45">
        <f t="shared" si="6"/>
        <v>110299862.64396001</v>
      </c>
      <c r="H29" s="45">
        <f t="shared" si="6"/>
        <v>111402861.27039962</v>
      </c>
      <c r="I29" s="45">
        <f t="shared" si="6"/>
        <v>112516889.88310362</v>
      </c>
      <c r="J29" s="45">
        <f t="shared" si="6"/>
        <v>113642058.78193465</v>
      </c>
      <c r="K29" s="45">
        <f t="shared" si="6"/>
        <v>114778479.369754</v>
      </c>
      <c r="L29" s="45">
        <f t="shared" si="6"/>
        <v>115926264.16345155</v>
      </c>
    </row>
    <row r="30" spans="2:12" x14ac:dyDescent="0.25">
      <c r="B30" s="28" t="s">
        <v>0</v>
      </c>
      <c r="C30" s="45">
        <f>C15*C24</f>
        <v>91980000</v>
      </c>
      <c r="D30" s="45">
        <f t="shared" ref="D30:L30" si="7">D15*D24</f>
        <v>92899800</v>
      </c>
      <c r="E30" s="45">
        <f t="shared" si="7"/>
        <v>93828798</v>
      </c>
      <c r="F30" s="45">
        <f t="shared" si="7"/>
        <v>94767085.980000004</v>
      </c>
      <c r="G30" s="45">
        <f t="shared" si="7"/>
        <v>95714756.8398</v>
      </c>
      <c r="H30" s="45">
        <f t="shared" si="7"/>
        <v>96671904.408197999</v>
      </c>
      <c r="I30" s="45">
        <f t="shared" si="7"/>
        <v>97638623.452279985</v>
      </c>
      <c r="J30" s="45">
        <f t="shared" si="7"/>
        <v>98615009.68680279</v>
      </c>
      <c r="K30" s="45">
        <f t="shared" si="7"/>
        <v>99601159.783670813</v>
      </c>
      <c r="L30" s="45">
        <f t="shared" si="7"/>
        <v>100597171.38150752</v>
      </c>
    </row>
    <row r="31" spans="2:12" x14ac:dyDescent="0.25">
      <c r="B31" s="37" t="s">
        <v>2</v>
      </c>
      <c r="C31" s="58">
        <f>C16*C25</f>
        <v>78840000</v>
      </c>
      <c r="D31" s="58">
        <f t="shared" ref="D31:L31" si="8">D16*D25</f>
        <v>79628400</v>
      </c>
      <c r="E31" s="58">
        <f t="shared" si="8"/>
        <v>80424684</v>
      </c>
      <c r="F31" s="58">
        <f t="shared" si="8"/>
        <v>81228930.840000004</v>
      </c>
      <c r="G31" s="58">
        <f t="shared" si="8"/>
        <v>82041220.148399994</v>
      </c>
      <c r="H31" s="58">
        <f t="shared" si="8"/>
        <v>82861632.349883988</v>
      </c>
      <c r="I31" s="58">
        <f t="shared" si="8"/>
        <v>83690248.673382834</v>
      </c>
      <c r="J31" s="58">
        <f t="shared" si="8"/>
        <v>84527151.160116673</v>
      </c>
      <c r="K31" s="58">
        <f t="shared" si="8"/>
        <v>85372422.671717837</v>
      </c>
      <c r="L31" s="58">
        <f t="shared" si="8"/>
        <v>86226146.898435012</v>
      </c>
    </row>
    <row r="32" spans="2:12" x14ac:dyDescent="0.25">
      <c r="B32" s="38" t="s">
        <v>38</v>
      </c>
      <c r="C32" s="45">
        <f>CHOOSE('Business Drivers'!$C$5,C29,C30,C31)</f>
        <v>105996000</v>
      </c>
      <c r="D32" s="45">
        <f>CHOOSE('Business Drivers'!$C$5,D29,D30,D31)</f>
        <v>107055960</v>
      </c>
      <c r="E32" s="45">
        <f>CHOOSE('Business Drivers'!$C$5,E29,E30,E31)</f>
        <v>108126519.59999999</v>
      </c>
      <c r="F32" s="45">
        <f>CHOOSE('Business Drivers'!$C$5,F29,F30,F31)</f>
        <v>109207784.796</v>
      </c>
      <c r="G32" s="45">
        <f>CHOOSE('Business Drivers'!$C$5,G29,G30,G31)</f>
        <v>110299862.64396001</v>
      </c>
      <c r="H32" s="45">
        <f>CHOOSE('Business Drivers'!$C$5,H29,H30,H31)</f>
        <v>111402861.27039962</v>
      </c>
      <c r="I32" s="45">
        <f>CHOOSE('Business Drivers'!$C$5,I29,I30,I31)</f>
        <v>112516889.88310362</v>
      </c>
      <c r="J32" s="45">
        <f>CHOOSE('Business Drivers'!$C$5,J29,J30,J31)</f>
        <v>113642058.78193465</v>
      </c>
      <c r="K32" s="45">
        <f>CHOOSE('Business Drivers'!$C$5,K29,K30,K31)</f>
        <v>114778479.369754</v>
      </c>
      <c r="L32" s="45">
        <f>CHOOSE('Business Drivers'!$C$5,L29,L30,L31)</f>
        <v>115926264.16345155</v>
      </c>
    </row>
  </sheetData>
  <conditionalFormatting sqref="B5:B7">
    <cfRule type="duplicateValues" dxfId="3" priority="4"/>
  </conditionalFormatting>
  <conditionalFormatting sqref="B14:B18">
    <cfRule type="duplicateValues" dxfId="2" priority="3"/>
  </conditionalFormatting>
  <conditionalFormatting sqref="B32">
    <cfRule type="duplicateValues" dxfId="1" priority="2"/>
  </conditionalFormatting>
  <conditionalFormatting sqref="B2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3"/>
  <sheetViews>
    <sheetView showGridLines="0" workbookViewId="0">
      <selection activeCell="C10" sqref="C10"/>
    </sheetView>
  </sheetViews>
  <sheetFormatPr defaultRowHeight="15" x14ac:dyDescent="0.25"/>
  <cols>
    <col min="2" max="2" width="20.5703125" bestFit="1" customWidth="1"/>
    <col min="3" max="12" width="12.28515625" bestFit="1" customWidth="1"/>
  </cols>
  <sheetData>
    <row r="2" spans="2:12" s="32" customFormat="1" x14ac:dyDescent="0.25">
      <c r="B2" s="33" t="s">
        <v>57</v>
      </c>
    </row>
    <row r="3" spans="2:12" s="20" customFormat="1" x14ac:dyDescent="0.25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</row>
    <row r="4" spans="2:12" ht="15.75" thickBot="1" x14ac:dyDescent="0.3">
      <c r="B4" s="26" t="s">
        <v>34</v>
      </c>
      <c r="C4" s="26"/>
      <c r="D4" s="27"/>
      <c r="E4" s="27"/>
      <c r="F4" s="27"/>
      <c r="G4" s="27"/>
      <c r="H4" s="27"/>
      <c r="I4" s="27"/>
      <c r="J4" s="27"/>
      <c r="K4" s="27"/>
      <c r="L4" s="27"/>
    </row>
    <row r="5" spans="2:12" x14ac:dyDescent="0.25">
      <c r="B5" s="27" t="s">
        <v>1</v>
      </c>
      <c r="C5" s="27">
        <v>-0.15</v>
      </c>
      <c r="D5" s="27"/>
      <c r="E5" s="27"/>
      <c r="F5" s="27"/>
      <c r="G5" s="27"/>
      <c r="H5" s="27"/>
      <c r="I5" s="27"/>
      <c r="J5" s="27"/>
      <c r="K5" s="27"/>
      <c r="L5" s="27"/>
    </row>
    <row r="6" spans="2:12" x14ac:dyDescent="0.25">
      <c r="B6" s="27" t="s">
        <v>0</v>
      </c>
      <c r="C6" s="27">
        <v>-0.16</v>
      </c>
      <c r="D6" s="27"/>
      <c r="E6" s="27"/>
      <c r="F6" s="27"/>
      <c r="G6" s="27"/>
      <c r="H6" s="27"/>
      <c r="I6" s="27"/>
      <c r="J6" s="27"/>
      <c r="K6" s="27"/>
      <c r="L6" s="27"/>
    </row>
    <row r="7" spans="2:12" x14ac:dyDescent="0.25">
      <c r="B7" s="27" t="s">
        <v>2</v>
      </c>
      <c r="C7" s="27">
        <v>0.17</v>
      </c>
      <c r="D7" s="27"/>
      <c r="E7" s="27"/>
      <c r="F7" s="27"/>
      <c r="G7" s="27"/>
      <c r="H7" s="27"/>
      <c r="I7" s="27"/>
      <c r="J7" s="27"/>
      <c r="K7" s="27"/>
      <c r="L7" s="27"/>
    </row>
    <row r="8" spans="2:12" x14ac:dyDescent="0.25"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</row>
    <row r="9" spans="2:12" ht="15.75" thickBot="1" x14ac:dyDescent="0.3">
      <c r="B9" s="26" t="s">
        <v>39</v>
      </c>
      <c r="C9" s="26">
        <v>1</v>
      </c>
      <c r="D9" s="26">
        <v>2</v>
      </c>
      <c r="E9" s="26">
        <v>3</v>
      </c>
      <c r="F9" s="26">
        <v>4</v>
      </c>
      <c r="G9" s="26">
        <v>5</v>
      </c>
      <c r="H9" s="26">
        <v>6</v>
      </c>
      <c r="I9" s="26">
        <v>7</v>
      </c>
      <c r="J9" s="26">
        <v>8</v>
      </c>
      <c r="K9" s="26">
        <v>9</v>
      </c>
      <c r="L9" s="26">
        <v>10</v>
      </c>
    </row>
    <row r="10" spans="2:12" x14ac:dyDescent="0.25">
      <c r="B10" s="28" t="s">
        <v>1</v>
      </c>
      <c r="C10" s="45">
        <f>Revenues!C29*Opex!$C$5</f>
        <v>-15899400</v>
      </c>
      <c r="D10" s="45">
        <f>Revenues!D29*Opex!$C$5</f>
        <v>-16058394</v>
      </c>
      <c r="E10" s="45">
        <f>Revenues!E29*Opex!$C$5</f>
        <v>-16218977.939999998</v>
      </c>
      <c r="F10" s="45">
        <f>Revenues!F29*Opex!$C$5</f>
        <v>-16381167.7194</v>
      </c>
      <c r="G10" s="45">
        <f>Revenues!G29*Opex!$C$5</f>
        <v>-16544979.396594001</v>
      </c>
      <c r="H10" s="45">
        <f>Revenues!H29*Opex!$C$5</f>
        <v>-16710429.190559942</v>
      </c>
      <c r="I10" s="45">
        <f>Revenues!I29*Opex!$C$5</f>
        <v>-16877533.482465543</v>
      </c>
      <c r="J10" s="45">
        <f>Revenues!J29*Opex!$C$5</f>
        <v>-17046308.817290198</v>
      </c>
      <c r="K10" s="45">
        <f>Revenues!K29*Opex!$C$5</f>
        <v>-17216771.905463099</v>
      </c>
      <c r="L10" s="45">
        <f>Revenues!L29*Opex!$C$5</f>
        <v>-17388939.624517731</v>
      </c>
    </row>
    <row r="11" spans="2:12" x14ac:dyDescent="0.25">
      <c r="B11" s="28" t="s">
        <v>0</v>
      </c>
      <c r="C11" s="45">
        <f>Revenues!C30*Opex!$C$6</f>
        <v>-14716800</v>
      </c>
      <c r="D11" s="45">
        <f>Revenues!D30*Opex!$C$6</f>
        <v>-14863968</v>
      </c>
      <c r="E11" s="45">
        <f>Revenues!E30*Opex!$C$6</f>
        <v>-15012607.68</v>
      </c>
      <c r="F11" s="45">
        <f>Revenues!F30*Opex!$C$6</f>
        <v>-15162733.756800001</v>
      </c>
      <c r="G11" s="45">
        <f>Revenues!G30*Opex!$C$6</f>
        <v>-15314361.094368</v>
      </c>
      <c r="H11" s="45">
        <f>Revenues!H30*Opex!$C$6</f>
        <v>-15467504.70531168</v>
      </c>
      <c r="I11" s="45">
        <f>Revenues!I30*Opex!$C$6</f>
        <v>-15622179.752364798</v>
      </c>
      <c r="J11" s="45">
        <f>Revenues!J30*Opex!$C$6</f>
        <v>-15778401.549888447</v>
      </c>
      <c r="K11" s="45">
        <f>Revenues!K30*Opex!$C$6</f>
        <v>-15936185.565387331</v>
      </c>
      <c r="L11" s="45">
        <f>Revenues!L30*Opex!$C$6</f>
        <v>-16095547.421041204</v>
      </c>
    </row>
    <row r="12" spans="2:12" x14ac:dyDescent="0.25">
      <c r="B12" s="28" t="s">
        <v>2</v>
      </c>
      <c r="C12" s="58">
        <f>Revenues!C31*Opex!$C$7</f>
        <v>13402800.000000002</v>
      </c>
      <c r="D12" s="58">
        <f>Revenues!D31*Opex!$C$7</f>
        <v>13536828.000000002</v>
      </c>
      <c r="E12" s="58">
        <f>Revenues!E31*Opex!$C$7</f>
        <v>13672196.280000001</v>
      </c>
      <c r="F12" s="58">
        <f>Revenues!F31*Opex!$C$7</f>
        <v>13808918.242800001</v>
      </c>
      <c r="G12" s="58">
        <f>Revenues!G31*Opex!$C$7</f>
        <v>13947007.425228</v>
      </c>
      <c r="H12" s="58">
        <f>Revenues!H31*Opex!$C$7</f>
        <v>14086477.499480279</v>
      </c>
      <c r="I12" s="58">
        <f>Revenues!I31*Opex!$C$7</f>
        <v>14227342.274475083</v>
      </c>
      <c r="J12" s="58">
        <f>Revenues!J31*Opex!$C$7</f>
        <v>14369615.697219836</v>
      </c>
      <c r="K12" s="58">
        <f>Revenues!K31*Opex!$C$7</f>
        <v>14513311.854192033</v>
      </c>
      <c r="L12" s="58">
        <f>Revenues!L31*Opex!$C$7</f>
        <v>14658444.972733952</v>
      </c>
    </row>
    <row r="13" spans="2:12" x14ac:dyDescent="0.25">
      <c r="B13" s="34" t="s">
        <v>6</v>
      </c>
      <c r="C13" s="45">
        <f>CHOOSE('Business Drivers'!$C$5,C10,C11,C12)</f>
        <v>-15899400</v>
      </c>
      <c r="D13" s="45">
        <f>CHOOSE('Business Drivers'!$C$5,D10,D11,D12)</f>
        <v>-16058394</v>
      </c>
      <c r="E13" s="45">
        <f>CHOOSE('Business Drivers'!$C$5,E10,E11,E12)</f>
        <v>-16218977.939999998</v>
      </c>
      <c r="F13" s="45">
        <f>CHOOSE('Business Drivers'!$C$5,F10,F11,F12)</f>
        <v>-16381167.7194</v>
      </c>
      <c r="G13" s="45">
        <f>CHOOSE('Business Drivers'!$C$5,G10,G11,G12)</f>
        <v>-16544979.396594001</v>
      </c>
      <c r="H13" s="45">
        <f>CHOOSE('Business Drivers'!$C$5,H10,H11,H12)</f>
        <v>-16710429.190559942</v>
      </c>
      <c r="I13" s="45">
        <f>CHOOSE('Business Drivers'!$C$5,I10,I11,I12)</f>
        <v>-16877533.482465543</v>
      </c>
      <c r="J13" s="45">
        <f>CHOOSE('Business Drivers'!$C$5,J10,J11,J12)</f>
        <v>-17046308.817290198</v>
      </c>
      <c r="K13" s="45">
        <f>CHOOSE('Business Drivers'!$C$5,K10,K11,K12)</f>
        <v>-17216771.905463099</v>
      </c>
      <c r="L13" s="45">
        <f>CHOOSE('Business Drivers'!$C$5,L10,L11,L12)</f>
        <v>-17388939.624517731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31"/>
  <sheetViews>
    <sheetView showGridLines="0" workbookViewId="0">
      <selection activeCell="Q30" sqref="Q30"/>
    </sheetView>
  </sheetViews>
  <sheetFormatPr defaultRowHeight="15" x14ac:dyDescent="0.25"/>
  <cols>
    <col min="2" max="2" width="30.7109375" style="27" bestFit="1" customWidth="1"/>
    <col min="3" max="3" width="12.5703125" style="27" bestFit="1" customWidth="1"/>
    <col min="4" max="12" width="12.5703125" bestFit="1" customWidth="1"/>
    <col min="13" max="13" width="11.5703125" bestFit="1" customWidth="1"/>
  </cols>
  <sheetData>
    <row r="2" spans="2:15" s="32" customFormat="1" x14ac:dyDescent="0.25">
      <c r="B2" s="33" t="s">
        <v>59</v>
      </c>
    </row>
    <row r="3" spans="2:15" s="27" customFormat="1" x14ac:dyDescent="0.25">
      <c r="B3" s="44"/>
    </row>
    <row r="4" spans="2:15" ht="15.75" thickBot="1" x14ac:dyDescent="0.3">
      <c r="B4" s="26" t="s">
        <v>4</v>
      </c>
    </row>
    <row r="5" spans="2:15" x14ac:dyDescent="0.25">
      <c r="B5" s="27" t="s">
        <v>1</v>
      </c>
      <c r="C5" s="45">
        <v>500000000</v>
      </c>
    </row>
    <row r="6" spans="2:15" x14ac:dyDescent="0.25">
      <c r="B6" s="27" t="s">
        <v>0</v>
      </c>
      <c r="C6" s="45">
        <v>510000000</v>
      </c>
    </row>
    <row r="7" spans="2:15" x14ac:dyDescent="0.25">
      <c r="B7" s="27" t="s">
        <v>2</v>
      </c>
      <c r="C7" s="45">
        <v>520000000</v>
      </c>
    </row>
    <row r="9" spans="2:15" ht="15.75" thickBot="1" x14ac:dyDescent="0.3">
      <c r="B9" s="26" t="s">
        <v>5</v>
      </c>
      <c r="C9" s="31">
        <v>10</v>
      </c>
    </row>
    <row r="10" spans="2:15" x14ac:dyDescent="0.25">
      <c r="B10" s="28"/>
      <c r="C10" s="30"/>
    </row>
    <row r="11" spans="2:15" ht="15.75" thickBot="1" x14ac:dyDescent="0.3">
      <c r="B11" s="26" t="s">
        <v>40</v>
      </c>
      <c r="C11" s="26">
        <v>0</v>
      </c>
      <c r="D11" s="26">
        <v>1</v>
      </c>
      <c r="E11" s="26">
        <v>2</v>
      </c>
      <c r="F11" s="26">
        <v>3</v>
      </c>
      <c r="G11" s="26">
        <v>4</v>
      </c>
      <c r="H11" s="26">
        <v>5</v>
      </c>
      <c r="I11" s="26">
        <v>6</v>
      </c>
      <c r="J11" s="26">
        <v>7</v>
      </c>
      <c r="K11" s="26">
        <v>8</v>
      </c>
      <c r="L11" s="26">
        <v>9</v>
      </c>
      <c r="M11" s="26">
        <v>10</v>
      </c>
      <c r="O11" s="19"/>
    </row>
    <row r="12" spans="2:15" x14ac:dyDescent="0.25">
      <c r="B12" s="28"/>
      <c r="C12" s="30">
        <v>1</v>
      </c>
      <c r="D12" s="30">
        <v>0.03</v>
      </c>
      <c r="E12" s="30">
        <v>0.03</v>
      </c>
      <c r="F12" s="30">
        <v>0.03</v>
      </c>
      <c r="G12" s="30">
        <v>0.03</v>
      </c>
      <c r="H12" s="30">
        <v>0.03</v>
      </c>
      <c r="I12" s="30">
        <v>0.03</v>
      </c>
      <c r="J12" s="30">
        <v>0.03</v>
      </c>
      <c r="K12" s="30">
        <v>0.03</v>
      </c>
      <c r="L12" s="30">
        <v>0.03</v>
      </c>
      <c r="M12" s="30">
        <v>0.03</v>
      </c>
      <c r="N12" s="27"/>
    </row>
    <row r="14" spans="2:15" ht="15.75" thickBot="1" x14ac:dyDescent="0.3">
      <c r="B14" s="26" t="s">
        <v>41</v>
      </c>
      <c r="C14" s="26">
        <v>1</v>
      </c>
      <c r="D14" s="26">
        <v>2</v>
      </c>
      <c r="E14" s="26">
        <v>3</v>
      </c>
      <c r="F14" s="26">
        <v>4</v>
      </c>
      <c r="G14" s="26">
        <v>5</v>
      </c>
      <c r="H14" s="26">
        <v>6</v>
      </c>
      <c r="I14" s="26">
        <v>7</v>
      </c>
      <c r="J14" s="26">
        <v>8</v>
      </c>
      <c r="K14" s="26">
        <v>9</v>
      </c>
      <c r="L14" s="26">
        <v>10</v>
      </c>
    </row>
    <row r="15" spans="2:15" x14ac:dyDescent="0.25">
      <c r="B15" s="28" t="s">
        <v>42</v>
      </c>
      <c r="C15" s="45">
        <f>CHOOSE('Business Drivers'!$C$5,'Fixed Assets'!C5,'Fixed Assets'!C6,'Fixed Assets'!C7)</f>
        <v>500000000</v>
      </c>
      <c r="D15" s="45">
        <f>C18</f>
        <v>465000000</v>
      </c>
      <c r="E15" s="45">
        <f t="shared" ref="E15:L15" si="0">D18</f>
        <v>428500000</v>
      </c>
      <c r="F15" s="45">
        <f t="shared" si="0"/>
        <v>390500000</v>
      </c>
      <c r="G15" s="45">
        <f t="shared" si="0"/>
        <v>351000000</v>
      </c>
      <c r="H15" s="45">
        <f t="shared" si="0"/>
        <v>310000000</v>
      </c>
      <c r="I15" s="45">
        <f t="shared" si="0"/>
        <v>267500000</v>
      </c>
      <c r="J15" s="45">
        <f t="shared" si="0"/>
        <v>223500000</v>
      </c>
      <c r="K15" s="45">
        <f t="shared" si="0"/>
        <v>178000000</v>
      </c>
      <c r="L15" s="45">
        <f t="shared" si="0"/>
        <v>131000000</v>
      </c>
    </row>
    <row r="16" spans="2:15" x14ac:dyDescent="0.25">
      <c r="B16" s="28" t="s">
        <v>40</v>
      </c>
      <c r="C16" s="45">
        <f>$C$15*0.03</f>
        <v>15000000</v>
      </c>
      <c r="D16" s="45">
        <f t="shared" ref="D16:L16" si="1">$C$15*0.03</f>
        <v>15000000</v>
      </c>
      <c r="E16" s="45">
        <f t="shared" si="1"/>
        <v>15000000</v>
      </c>
      <c r="F16" s="45">
        <f t="shared" si="1"/>
        <v>15000000</v>
      </c>
      <c r="G16" s="45">
        <f t="shared" si="1"/>
        <v>15000000</v>
      </c>
      <c r="H16" s="45">
        <f t="shared" si="1"/>
        <v>15000000</v>
      </c>
      <c r="I16" s="45">
        <f t="shared" si="1"/>
        <v>15000000</v>
      </c>
      <c r="J16" s="45">
        <f t="shared" si="1"/>
        <v>15000000</v>
      </c>
      <c r="K16" s="45">
        <f t="shared" si="1"/>
        <v>15000000</v>
      </c>
      <c r="L16" s="45">
        <f t="shared" si="1"/>
        <v>15000000</v>
      </c>
    </row>
    <row r="17" spans="2:12" x14ac:dyDescent="0.25">
      <c r="B17" s="27" t="s">
        <v>43</v>
      </c>
      <c r="C17" s="45">
        <f>C31</f>
        <v>-50000000</v>
      </c>
      <c r="D17" s="45">
        <f t="shared" ref="D17:L17" si="2">D31</f>
        <v>-51500000</v>
      </c>
      <c r="E17" s="45">
        <f t="shared" si="2"/>
        <v>-53000000</v>
      </c>
      <c r="F17" s="45">
        <f t="shared" si="2"/>
        <v>-54500000</v>
      </c>
      <c r="G17" s="45">
        <f t="shared" si="2"/>
        <v>-56000000</v>
      </c>
      <c r="H17" s="45">
        <f t="shared" si="2"/>
        <v>-57500000</v>
      </c>
      <c r="I17" s="45">
        <f t="shared" si="2"/>
        <v>-59000000</v>
      </c>
      <c r="J17" s="45">
        <f t="shared" si="2"/>
        <v>-60500000</v>
      </c>
      <c r="K17" s="45">
        <f t="shared" si="2"/>
        <v>-62000000</v>
      </c>
      <c r="L17" s="45">
        <f t="shared" si="2"/>
        <v>-63500000</v>
      </c>
    </row>
    <row r="18" spans="2:12" ht="15.75" thickBot="1" x14ac:dyDescent="0.3">
      <c r="B18" s="39" t="s">
        <v>44</v>
      </c>
      <c r="C18" s="45">
        <f>C15+C16+C17</f>
        <v>465000000</v>
      </c>
      <c r="D18" s="45">
        <f t="shared" ref="D18:L18" si="3">D15+D16+D17</f>
        <v>428500000</v>
      </c>
      <c r="E18" s="45">
        <f t="shared" si="3"/>
        <v>390500000</v>
      </c>
      <c r="F18" s="45">
        <f t="shared" si="3"/>
        <v>351000000</v>
      </c>
      <c r="G18" s="45">
        <f t="shared" si="3"/>
        <v>310000000</v>
      </c>
      <c r="H18" s="45">
        <f t="shared" si="3"/>
        <v>267500000</v>
      </c>
      <c r="I18" s="45">
        <f t="shared" si="3"/>
        <v>223500000</v>
      </c>
      <c r="J18" s="45">
        <f t="shared" si="3"/>
        <v>178000000</v>
      </c>
      <c r="K18" s="45">
        <f t="shared" si="3"/>
        <v>131000000</v>
      </c>
      <c r="L18" s="45">
        <f t="shared" si="3"/>
        <v>82500000</v>
      </c>
    </row>
    <row r="20" spans="2:12" ht="15.75" thickBot="1" x14ac:dyDescent="0.3">
      <c r="B20" s="26" t="s">
        <v>45</v>
      </c>
      <c r="C20" s="26">
        <v>1</v>
      </c>
      <c r="D20" s="23">
        <v>2</v>
      </c>
      <c r="E20" s="23">
        <v>3</v>
      </c>
      <c r="F20" s="23">
        <v>4</v>
      </c>
      <c r="G20" s="23">
        <v>5</v>
      </c>
      <c r="H20" s="23">
        <v>6</v>
      </c>
      <c r="I20" s="23">
        <v>7</v>
      </c>
      <c r="J20" s="23">
        <v>8</v>
      </c>
      <c r="K20" s="23">
        <v>9</v>
      </c>
      <c r="L20" s="23">
        <v>10</v>
      </c>
    </row>
    <row r="21" spans="2:12" x14ac:dyDescent="0.25">
      <c r="B21" s="27" t="s">
        <v>46</v>
      </c>
      <c r="C21" s="45">
        <f>-($C$15/10)</f>
        <v>-50000000</v>
      </c>
      <c r="D21" s="45">
        <f t="shared" ref="D21:L21" si="4">-($C$15/10)</f>
        <v>-50000000</v>
      </c>
      <c r="E21" s="45">
        <f t="shared" si="4"/>
        <v>-50000000</v>
      </c>
      <c r="F21" s="45">
        <f t="shared" si="4"/>
        <v>-50000000</v>
      </c>
      <c r="G21" s="45">
        <f t="shared" si="4"/>
        <v>-50000000</v>
      </c>
      <c r="H21" s="45">
        <f t="shared" si="4"/>
        <v>-50000000</v>
      </c>
      <c r="I21" s="45">
        <f t="shared" si="4"/>
        <v>-50000000</v>
      </c>
      <c r="J21" s="45">
        <f t="shared" si="4"/>
        <v>-50000000</v>
      </c>
      <c r="K21" s="45">
        <f t="shared" si="4"/>
        <v>-50000000</v>
      </c>
      <c r="L21" s="45">
        <f t="shared" si="4"/>
        <v>-50000000</v>
      </c>
    </row>
    <row r="22" spans="2:12" x14ac:dyDescent="0.25">
      <c r="B22" s="27" t="s">
        <v>47</v>
      </c>
      <c r="C22" s="45"/>
      <c r="D22" s="45">
        <f>$D$21*0.03</f>
        <v>-1500000</v>
      </c>
      <c r="E22" s="45">
        <f t="shared" ref="E22:L30" si="5">$D$21*0.03</f>
        <v>-1500000</v>
      </c>
      <c r="F22" s="45">
        <f t="shared" si="5"/>
        <v>-1500000</v>
      </c>
      <c r="G22" s="45">
        <f t="shared" si="5"/>
        <v>-1500000</v>
      </c>
      <c r="H22" s="45">
        <f t="shared" si="5"/>
        <v>-1500000</v>
      </c>
      <c r="I22" s="45">
        <f t="shared" si="5"/>
        <v>-1500000</v>
      </c>
      <c r="J22" s="45">
        <f t="shared" si="5"/>
        <v>-1500000</v>
      </c>
      <c r="K22" s="45">
        <f t="shared" si="5"/>
        <v>-1500000</v>
      </c>
      <c r="L22" s="45">
        <f t="shared" si="5"/>
        <v>-1500000</v>
      </c>
    </row>
    <row r="23" spans="2:12" x14ac:dyDescent="0.25">
      <c r="B23" s="27" t="s">
        <v>48</v>
      </c>
      <c r="C23" s="45"/>
      <c r="D23" s="45"/>
      <c r="E23" s="45">
        <f t="shared" si="5"/>
        <v>-1500000</v>
      </c>
      <c r="F23" s="45">
        <f t="shared" si="5"/>
        <v>-1500000</v>
      </c>
      <c r="G23" s="45">
        <f t="shared" si="5"/>
        <v>-1500000</v>
      </c>
      <c r="H23" s="45">
        <f t="shared" si="5"/>
        <v>-1500000</v>
      </c>
      <c r="I23" s="45">
        <f t="shared" si="5"/>
        <v>-1500000</v>
      </c>
      <c r="J23" s="45">
        <f t="shared" si="5"/>
        <v>-1500000</v>
      </c>
      <c r="K23" s="45">
        <f t="shared" si="5"/>
        <v>-1500000</v>
      </c>
      <c r="L23" s="45">
        <f t="shared" si="5"/>
        <v>-1500000</v>
      </c>
    </row>
    <row r="24" spans="2:12" x14ac:dyDescent="0.25">
      <c r="B24" s="27" t="s">
        <v>49</v>
      </c>
      <c r="C24" s="45"/>
      <c r="D24" s="45"/>
      <c r="E24" s="45"/>
      <c r="F24" s="45">
        <f t="shared" si="5"/>
        <v>-1500000</v>
      </c>
      <c r="G24" s="45">
        <f t="shared" si="5"/>
        <v>-1500000</v>
      </c>
      <c r="H24" s="45">
        <f t="shared" si="5"/>
        <v>-1500000</v>
      </c>
      <c r="I24" s="45">
        <f t="shared" si="5"/>
        <v>-1500000</v>
      </c>
      <c r="J24" s="45">
        <f t="shared" si="5"/>
        <v>-1500000</v>
      </c>
      <c r="K24" s="45">
        <f t="shared" si="5"/>
        <v>-1500000</v>
      </c>
      <c r="L24" s="45">
        <f t="shared" si="5"/>
        <v>-1500000</v>
      </c>
    </row>
    <row r="25" spans="2:12" x14ac:dyDescent="0.25">
      <c r="B25" s="27" t="s">
        <v>50</v>
      </c>
      <c r="C25" s="45"/>
      <c r="D25" s="45"/>
      <c r="E25" s="45"/>
      <c r="F25" s="45"/>
      <c r="G25" s="45">
        <f t="shared" si="5"/>
        <v>-1500000</v>
      </c>
      <c r="H25" s="45">
        <f t="shared" si="5"/>
        <v>-1500000</v>
      </c>
      <c r="I25" s="45">
        <f t="shared" si="5"/>
        <v>-1500000</v>
      </c>
      <c r="J25" s="45">
        <f t="shared" si="5"/>
        <v>-1500000</v>
      </c>
      <c r="K25" s="45">
        <f t="shared" si="5"/>
        <v>-1500000</v>
      </c>
      <c r="L25" s="45">
        <f t="shared" si="5"/>
        <v>-1500000</v>
      </c>
    </row>
    <row r="26" spans="2:12" x14ac:dyDescent="0.25">
      <c r="B26" s="27" t="s">
        <v>51</v>
      </c>
      <c r="C26" s="45"/>
      <c r="D26" s="45"/>
      <c r="E26" s="45"/>
      <c r="F26" s="45"/>
      <c r="G26" s="45"/>
      <c r="H26" s="45">
        <f t="shared" si="5"/>
        <v>-1500000</v>
      </c>
      <c r="I26" s="45">
        <f t="shared" si="5"/>
        <v>-1500000</v>
      </c>
      <c r="J26" s="45">
        <f t="shared" si="5"/>
        <v>-1500000</v>
      </c>
      <c r="K26" s="45">
        <f t="shared" si="5"/>
        <v>-1500000</v>
      </c>
      <c r="L26" s="45">
        <f t="shared" si="5"/>
        <v>-1500000</v>
      </c>
    </row>
    <row r="27" spans="2:12" x14ac:dyDescent="0.25">
      <c r="B27" s="27" t="s">
        <v>52</v>
      </c>
      <c r="C27" s="45"/>
      <c r="D27" s="45"/>
      <c r="E27" s="45"/>
      <c r="F27" s="45"/>
      <c r="G27" s="45"/>
      <c r="H27" s="45"/>
      <c r="I27" s="45">
        <f t="shared" si="5"/>
        <v>-1500000</v>
      </c>
      <c r="J27" s="45">
        <f t="shared" si="5"/>
        <v>-1500000</v>
      </c>
      <c r="K27" s="45">
        <f t="shared" si="5"/>
        <v>-1500000</v>
      </c>
      <c r="L27" s="45">
        <f t="shared" si="5"/>
        <v>-1500000</v>
      </c>
    </row>
    <row r="28" spans="2:12" x14ac:dyDescent="0.25">
      <c r="B28" s="27" t="s">
        <v>53</v>
      </c>
      <c r="C28" s="45"/>
      <c r="D28" s="45"/>
      <c r="E28" s="45"/>
      <c r="F28" s="45"/>
      <c r="G28" s="45"/>
      <c r="H28" s="45"/>
      <c r="I28" s="45"/>
      <c r="J28" s="45">
        <f t="shared" si="5"/>
        <v>-1500000</v>
      </c>
      <c r="K28" s="45">
        <f t="shared" si="5"/>
        <v>-1500000</v>
      </c>
      <c r="L28" s="45">
        <f t="shared" si="5"/>
        <v>-1500000</v>
      </c>
    </row>
    <row r="29" spans="2:12" x14ac:dyDescent="0.25">
      <c r="B29" s="27" t="s">
        <v>54</v>
      </c>
      <c r="C29" s="45"/>
      <c r="D29" s="45"/>
      <c r="E29" s="45"/>
      <c r="F29" s="45"/>
      <c r="G29" s="45"/>
      <c r="H29" s="45"/>
      <c r="I29" s="45"/>
      <c r="J29" s="45"/>
      <c r="K29" s="45">
        <f t="shared" si="5"/>
        <v>-1500000</v>
      </c>
      <c r="L29" s="45">
        <f t="shared" si="5"/>
        <v>-1500000</v>
      </c>
    </row>
    <row r="30" spans="2:12" x14ac:dyDescent="0.25">
      <c r="B30" s="35" t="s">
        <v>55</v>
      </c>
      <c r="C30" s="58"/>
      <c r="D30" s="58"/>
      <c r="E30" s="58"/>
      <c r="F30" s="58"/>
      <c r="G30" s="58"/>
      <c r="H30" s="58"/>
      <c r="I30" s="58"/>
      <c r="J30" s="58"/>
      <c r="K30" s="58"/>
      <c r="L30" s="58">
        <f t="shared" si="5"/>
        <v>-1500000</v>
      </c>
    </row>
    <row r="31" spans="2:12" ht="15.75" thickBot="1" x14ac:dyDescent="0.3">
      <c r="B31" s="60" t="s">
        <v>56</v>
      </c>
      <c r="C31" s="61">
        <v>-50000000</v>
      </c>
      <c r="D31" s="61">
        <v>-51500000</v>
      </c>
      <c r="E31" s="61">
        <v>-53000000</v>
      </c>
      <c r="F31" s="61">
        <v>-54500000</v>
      </c>
      <c r="G31" s="61">
        <v>-56000000</v>
      </c>
      <c r="H31" s="61">
        <v>-57500000</v>
      </c>
      <c r="I31" s="61">
        <v>-59000000</v>
      </c>
      <c r="J31" s="61">
        <v>-60500000</v>
      </c>
      <c r="K31" s="61">
        <v>-62000000</v>
      </c>
      <c r="L31" s="61">
        <v>-63500000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showGridLines="0" workbookViewId="0">
      <selection activeCell="E22" sqref="E22"/>
    </sheetView>
  </sheetViews>
  <sheetFormatPr defaultRowHeight="15" x14ac:dyDescent="0.25"/>
  <cols>
    <col min="2" max="2" width="23.28515625" style="27" bestFit="1" customWidth="1"/>
    <col min="3" max="13" width="12.5703125" style="27" bestFit="1" customWidth="1"/>
  </cols>
  <sheetData>
    <row r="1" spans="2:13" s="20" customFormat="1" x14ac:dyDescent="0.25">
      <c r="B1" s="27"/>
      <c r="C1" s="27"/>
    </row>
    <row r="2" spans="2:13" s="32" customFormat="1" x14ac:dyDescent="0.25">
      <c r="B2" s="33" t="s">
        <v>58</v>
      </c>
    </row>
    <row r="3" spans="2:13" s="27" customFormat="1" x14ac:dyDescent="0.25">
      <c r="B3" s="44"/>
    </row>
    <row r="4" spans="2:13" ht="15.75" thickBot="1" x14ac:dyDescent="0.3">
      <c r="B4" s="26" t="s">
        <v>9</v>
      </c>
      <c r="C4" s="26"/>
      <c r="D4" s="28"/>
      <c r="E4" s="28"/>
      <c r="F4" s="28"/>
      <c r="G4" s="28"/>
      <c r="H4" s="28"/>
      <c r="I4" s="28"/>
      <c r="J4" s="28"/>
      <c r="K4" s="28"/>
      <c r="L4" s="28"/>
      <c r="M4" s="28"/>
    </row>
    <row r="5" spans="2:13" x14ac:dyDescent="0.25">
      <c r="B5" s="28" t="s">
        <v>24</v>
      </c>
      <c r="C5" s="31">
        <v>300000000</v>
      </c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2:13" x14ac:dyDescent="0.25">
      <c r="B6" s="28" t="s">
        <v>11</v>
      </c>
      <c r="C6" s="30">
        <v>0.04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2:13" x14ac:dyDescent="0.25">
      <c r="B7" s="28" t="s">
        <v>14</v>
      </c>
      <c r="C7" s="41" t="s">
        <v>13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2:13" x14ac:dyDescent="0.25">
      <c r="B8" s="28"/>
      <c r="C8" s="30"/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2:13" ht="15.75" thickBot="1" x14ac:dyDescent="0.3">
      <c r="B9" s="26" t="s">
        <v>25</v>
      </c>
      <c r="C9" s="26">
        <v>0</v>
      </c>
      <c r="D9" s="26">
        <v>1</v>
      </c>
      <c r="E9" s="26">
        <v>2</v>
      </c>
      <c r="F9" s="26">
        <v>3</v>
      </c>
      <c r="G9" s="26">
        <v>4</v>
      </c>
      <c r="H9" s="26">
        <v>5</v>
      </c>
      <c r="I9" s="26">
        <v>6</v>
      </c>
      <c r="J9" s="26">
        <v>7</v>
      </c>
      <c r="K9" s="26">
        <v>8</v>
      </c>
      <c r="L9" s="26">
        <v>9</v>
      </c>
      <c r="M9" s="26">
        <v>10</v>
      </c>
    </row>
    <row r="10" spans="2:13" x14ac:dyDescent="0.25">
      <c r="B10" s="42" t="s">
        <v>16</v>
      </c>
      <c r="C10" s="43">
        <v>0</v>
      </c>
      <c r="D10" s="43">
        <v>0</v>
      </c>
      <c r="E10" s="43">
        <v>0.05</v>
      </c>
      <c r="F10" s="43">
        <v>0.1</v>
      </c>
      <c r="G10" s="43">
        <v>0.1</v>
      </c>
      <c r="H10" s="43">
        <v>0.1</v>
      </c>
      <c r="I10" s="43">
        <v>0.1</v>
      </c>
      <c r="J10" s="43">
        <v>0.1</v>
      </c>
      <c r="K10" s="43">
        <v>0.1</v>
      </c>
      <c r="L10" s="43">
        <v>0.1</v>
      </c>
      <c r="M10" s="43">
        <v>0.1</v>
      </c>
    </row>
    <row r="12" spans="2:13" ht="15.75" thickBot="1" x14ac:dyDescent="0.3">
      <c r="B12" s="27" t="s">
        <v>60</v>
      </c>
      <c r="C12" s="26">
        <v>0</v>
      </c>
      <c r="D12" s="26">
        <v>1</v>
      </c>
      <c r="E12" s="26">
        <v>2</v>
      </c>
      <c r="F12" s="26">
        <v>3</v>
      </c>
      <c r="G12" s="26">
        <v>4</v>
      </c>
      <c r="H12" s="26">
        <v>5</v>
      </c>
      <c r="I12" s="26">
        <v>6</v>
      </c>
      <c r="J12" s="26">
        <v>7</v>
      </c>
      <c r="K12" s="26">
        <v>8</v>
      </c>
      <c r="L12" s="26">
        <v>9</v>
      </c>
      <c r="M12" s="26">
        <v>10</v>
      </c>
    </row>
    <row r="13" spans="2:13" x14ac:dyDescent="0.25">
      <c r="B13" s="46" t="s">
        <v>61</v>
      </c>
      <c r="C13" s="31">
        <v>300000000</v>
      </c>
      <c r="D13" s="31">
        <f>C13-C14</f>
        <v>300000000</v>
      </c>
      <c r="E13" s="31">
        <f t="shared" ref="E13:M13" si="0">D13-D14</f>
        <v>300000000</v>
      </c>
      <c r="F13" s="31">
        <f t="shared" si="0"/>
        <v>285000000</v>
      </c>
      <c r="G13" s="31">
        <f t="shared" si="0"/>
        <v>255000000</v>
      </c>
      <c r="H13" s="31">
        <f t="shared" si="0"/>
        <v>225000000</v>
      </c>
      <c r="I13" s="31">
        <f t="shared" si="0"/>
        <v>195000000</v>
      </c>
      <c r="J13" s="31">
        <f t="shared" si="0"/>
        <v>165000000</v>
      </c>
      <c r="K13" s="31">
        <f t="shared" si="0"/>
        <v>135000000</v>
      </c>
      <c r="L13" s="31">
        <f t="shared" si="0"/>
        <v>105000000</v>
      </c>
      <c r="M13" s="31">
        <f t="shared" si="0"/>
        <v>75000000</v>
      </c>
    </row>
    <row r="14" spans="2:13" x14ac:dyDescent="0.25">
      <c r="B14" s="46" t="s">
        <v>62</v>
      </c>
      <c r="C14" s="58">
        <f>$C$5*C10</f>
        <v>0</v>
      </c>
      <c r="D14" s="58">
        <f t="shared" ref="D14:M14" si="1">$C$5*D10</f>
        <v>0</v>
      </c>
      <c r="E14" s="58">
        <f t="shared" si="1"/>
        <v>15000000</v>
      </c>
      <c r="F14" s="58">
        <f t="shared" si="1"/>
        <v>30000000</v>
      </c>
      <c r="G14" s="58">
        <f t="shared" si="1"/>
        <v>30000000</v>
      </c>
      <c r="H14" s="58">
        <f t="shared" si="1"/>
        <v>30000000</v>
      </c>
      <c r="I14" s="58">
        <f t="shared" si="1"/>
        <v>30000000</v>
      </c>
      <c r="J14" s="58">
        <f t="shared" si="1"/>
        <v>30000000</v>
      </c>
      <c r="K14" s="58">
        <f t="shared" si="1"/>
        <v>30000000</v>
      </c>
      <c r="L14" s="58">
        <f t="shared" si="1"/>
        <v>30000000</v>
      </c>
      <c r="M14" s="58">
        <f t="shared" si="1"/>
        <v>30000000</v>
      </c>
    </row>
    <row r="15" spans="2:13" x14ac:dyDescent="0.25">
      <c r="B15" s="47" t="s">
        <v>63</v>
      </c>
      <c r="C15" s="45">
        <f>C13-C14</f>
        <v>300000000</v>
      </c>
      <c r="D15" s="45">
        <f t="shared" ref="D15:M15" si="2">D13-D14</f>
        <v>300000000</v>
      </c>
      <c r="E15" s="45">
        <f t="shared" si="2"/>
        <v>285000000</v>
      </c>
      <c r="F15" s="45">
        <f t="shared" si="2"/>
        <v>255000000</v>
      </c>
      <c r="G15" s="45">
        <f t="shared" si="2"/>
        <v>225000000</v>
      </c>
      <c r="H15" s="45">
        <f t="shared" si="2"/>
        <v>195000000</v>
      </c>
      <c r="I15" s="45">
        <f t="shared" si="2"/>
        <v>165000000</v>
      </c>
      <c r="J15" s="45">
        <f t="shared" si="2"/>
        <v>135000000</v>
      </c>
      <c r="K15" s="45">
        <f t="shared" si="2"/>
        <v>105000000</v>
      </c>
      <c r="L15" s="45">
        <f t="shared" si="2"/>
        <v>75000000</v>
      </c>
      <c r="M15" s="45">
        <f t="shared" si="2"/>
        <v>45000000</v>
      </c>
    </row>
    <row r="16" spans="2:13" x14ac:dyDescent="0.25">
      <c r="B16" s="27" t="s">
        <v>64</v>
      </c>
      <c r="C16" s="45">
        <v>0</v>
      </c>
      <c r="D16" s="45">
        <f>D13*$C$6</f>
        <v>12000000</v>
      </c>
      <c r="E16" s="45">
        <f t="shared" ref="E16:M16" si="3">E13*$C$6</f>
        <v>12000000</v>
      </c>
      <c r="F16" s="45">
        <f t="shared" si="3"/>
        <v>11400000</v>
      </c>
      <c r="G16" s="45">
        <f t="shared" si="3"/>
        <v>10200000</v>
      </c>
      <c r="H16" s="45">
        <f t="shared" si="3"/>
        <v>9000000</v>
      </c>
      <c r="I16" s="45">
        <f t="shared" si="3"/>
        <v>7800000</v>
      </c>
      <c r="J16" s="45">
        <f t="shared" si="3"/>
        <v>6600000</v>
      </c>
      <c r="K16" s="45">
        <f t="shared" si="3"/>
        <v>5400000</v>
      </c>
      <c r="L16" s="45">
        <f t="shared" si="3"/>
        <v>4200000</v>
      </c>
      <c r="M16" s="45">
        <f t="shared" si="3"/>
        <v>3000000</v>
      </c>
    </row>
    <row r="18" spans="2:3" x14ac:dyDescent="0.25">
      <c r="B18" s="48" t="s">
        <v>65</v>
      </c>
      <c r="C18" s="42">
        <f>'Fixed Assets'!C15</f>
        <v>500000000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showGridLines="0" workbookViewId="0">
      <selection activeCell="A2" sqref="A2:XFD2"/>
    </sheetView>
  </sheetViews>
  <sheetFormatPr defaultRowHeight="15" x14ac:dyDescent="0.25"/>
  <cols>
    <col min="2" max="2" width="15.140625" bestFit="1" customWidth="1"/>
    <col min="3" max="4" width="11.5703125" bestFit="1" customWidth="1"/>
    <col min="5" max="6" width="12.7109375" bestFit="1" customWidth="1"/>
    <col min="7" max="7" width="12" bestFit="1" customWidth="1"/>
    <col min="8" max="12" width="12.7109375" bestFit="1" customWidth="1"/>
  </cols>
  <sheetData>
    <row r="1" spans="2:14" s="52" customFormat="1" x14ac:dyDescent="0.25">
      <c r="B1" s="27"/>
      <c r="C1" s="27"/>
    </row>
    <row r="2" spans="2:14" s="32" customFormat="1" x14ac:dyDescent="0.25">
      <c r="B2" s="33" t="s">
        <v>80</v>
      </c>
    </row>
    <row r="3" spans="2:14" s="27" customFormat="1" x14ac:dyDescent="0.25">
      <c r="B3" s="44"/>
    </row>
    <row r="4" spans="2:14" x14ac:dyDescent="0.25">
      <c r="B4" s="27"/>
    </row>
    <row r="5" spans="2:14" ht="15.75" thickBot="1" x14ac:dyDescent="0.3">
      <c r="B5" s="26" t="s">
        <v>41</v>
      </c>
      <c r="C5" s="26">
        <v>1</v>
      </c>
      <c r="D5" s="26">
        <v>2</v>
      </c>
      <c r="E5" s="26">
        <v>3</v>
      </c>
      <c r="F5" s="26">
        <v>4</v>
      </c>
      <c r="G5" s="26">
        <v>5</v>
      </c>
      <c r="H5" s="26">
        <v>6</v>
      </c>
      <c r="I5" s="26">
        <v>7</v>
      </c>
      <c r="J5" s="26">
        <v>8</v>
      </c>
      <c r="K5" s="26">
        <v>9</v>
      </c>
      <c r="L5" s="26">
        <v>10</v>
      </c>
    </row>
    <row r="6" spans="2:14" x14ac:dyDescent="0.25">
      <c r="B6" s="48" t="s">
        <v>66</v>
      </c>
      <c r="C6">
        <f>Revenues!C32</f>
        <v>105996000</v>
      </c>
      <c r="D6" s="52">
        <f>Revenues!D32</f>
        <v>107055960</v>
      </c>
      <c r="E6" s="52">
        <f>Revenues!E32</f>
        <v>108126519.59999999</v>
      </c>
      <c r="F6" s="52">
        <f>Revenues!F32</f>
        <v>109207784.796</v>
      </c>
      <c r="G6" s="52">
        <f>Revenues!G32</f>
        <v>110299862.64396001</v>
      </c>
      <c r="H6" s="52">
        <f>Revenues!H32</f>
        <v>111402861.27039962</v>
      </c>
      <c r="I6" s="52">
        <f>Revenues!I32</f>
        <v>112516889.88310362</v>
      </c>
      <c r="J6" s="52">
        <f>Revenues!J32</f>
        <v>113642058.78193465</v>
      </c>
      <c r="K6" s="52">
        <f>Revenues!K32</f>
        <v>114778479.369754</v>
      </c>
      <c r="L6" s="52">
        <f>Revenues!L32</f>
        <v>115926264.16345155</v>
      </c>
      <c r="N6" s="50" t="s">
        <v>73</v>
      </c>
    </row>
    <row r="7" spans="2:14" x14ac:dyDescent="0.25">
      <c r="B7" s="48" t="s">
        <v>67</v>
      </c>
      <c r="C7">
        <f>Opex!C13</f>
        <v>-15899400</v>
      </c>
      <c r="D7" s="52">
        <f>Opex!D13</f>
        <v>-16058394</v>
      </c>
      <c r="E7" s="52">
        <f>Opex!E13</f>
        <v>-16218977.939999998</v>
      </c>
      <c r="F7" s="52">
        <f>Opex!F13</f>
        <v>-16381167.7194</v>
      </c>
      <c r="G7" s="52">
        <f>Opex!G13</f>
        <v>-16544979.396594001</v>
      </c>
      <c r="H7" s="52">
        <f>Opex!H13</f>
        <v>-16710429.190559942</v>
      </c>
      <c r="I7" s="52">
        <f>Opex!I13</f>
        <v>-16877533.482465543</v>
      </c>
      <c r="J7" s="52">
        <f>Opex!J13</f>
        <v>-17046308.817290198</v>
      </c>
      <c r="K7" s="52">
        <f>Opex!K13</f>
        <v>-17216771.905463099</v>
      </c>
      <c r="L7" s="52">
        <f>Opex!L13</f>
        <v>-17388939.624517731</v>
      </c>
    </row>
    <row r="8" spans="2:14" x14ac:dyDescent="0.25">
      <c r="B8" s="48" t="s">
        <v>43</v>
      </c>
      <c r="C8" s="51">
        <f>'Fixed Assets'!C31</f>
        <v>-50000000</v>
      </c>
      <c r="D8" s="51">
        <f>'Fixed Assets'!D31</f>
        <v>-51500000</v>
      </c>
      <c r="E8" s="51">
        <f>'Fixed Assets'!E31</f>
        <v>-53000000</v>
      </c>
      <c r="F8" s="51">
        <f>'Fixed Assets'!F31</f>
        <v>-54500000</v>
      </c>
      <c r="G8" s="51">
        <f>'Fixed Assets'!G31</f>
        <v>-56000000</v>
      </c>
      <c r="H8" s="51">
        <f>'Fixed Assets'!H31</f>
        <v>-57500000</v>
      </c>
      <c r="I8" s="51">
        <f>'Fixed Assets'!I31</f>
        <v>-59000000</v>
      </c>
      <c r="J8" s="51">
        <f>'Fixed Assets'!J31</f>
        <v>-60500000</v>
      </c>
      <c r="K8" s="51">
        <f>'Fixed Assets'!K31</f>
        <v>-62000000</v>
      </c>
      <c r="L8" s="51">
        <f>'Fixed Assets'!L31</f>
        <v>-63500000</v>
      </c>
    </row>
    <row r="9" spans="2:14" x14ac:dyDescent="0.25">
      <c r="B9" s="34" t="s">
        <v>68</v>
      </c>
      <c r="C9">
        <f>SUM(C6:C8)</f>
        <v>40096600</v>
      </c>
      <c r="D9" s="52">
        <f t="shared" ref="D9:L9" si="0">SUM(D6:D8)</f>
        <v>39497566</v>
      </c>
      <c r="E9" s="52">
        <f t="shared" si="0"/>
        <v>38907541.659999996</v>
      </c>
      <c r="F9" s="52">
        <f t="shared" si="0"/>
        <v>38326617.0766</v>
      </c>
      <c r="G9" s="52">
        <f t="shared" si="0"/>
        <v>37754883.247366011</v>
      </c>
      <c r="H9" s="52">
        <f t="shared" si="0"/>
        <v>37192432.079839677</v>
      </c>
      <c r="I9" s="52">
        <f t="shared" si="0"/>
        <v>36639356.400638074</v>
      </c>
      <c r="J9" s="52">
        <f t="shared" si="0"/>
        <v>36095749.964644447</v>
      </c>
      <c r="K9" s="52">
        <f t="shared" si="0"/>
        <v>35561707.464290902</v>
      </c>
      <c r="L9" s="52">
        <f t="shared" si="0"/>
        <v>35037324.538933814</v>
      </c>
    </row>
    <row r="10" spans="2:14" x14ac:dyDescent="0.25">
      <c r="B10" s="48" t="s">
        <v>69</v>
      </c>
      <c r="C10" s="51">
        <f>Financing!D16</f>
        <v>12000000</v>
      </c>
      <c r="D10" s="51">
        <f>Financing!E16</f>
        <v>12000000</v>
      </c>
      <c r="E10" s="51">
        <f>Financing!F16</f>
        <v>11400000</v>
      </c>
      <c r="F10" s="51">
        <f>Financing!G16</f>
        <v>10200000</v>
      </c>
      <c r="G10" s="51">
        <f>Financing!H16</f>
        <v>9000000</v>
      </c>
      <c r="H10" s="51">
        <f>Financing!I16</f>
        <v>7800000</v>
      </c>
      <c r="I10" s="51">
        <f>Financing!J16</f>
        <v>6600000</v>
      </c>
      <c r="J10" s="51">
        <f>Financing!K16</f>
        <v>5400000</v>
      </c>
      <c r="K10" s="51">
        <f>Financing!L16</f>
        <v>4200000</v>
      </c>
      <c r="L10" s="51">
        <f>Financing!M16</f>
        <v>3000000</v>
      </c>
    </row>
    <row r="11" spans="2:14" x14ac:dyDescent="0.25">
      <c r="B11" s="34" t="s">
        <v>70</v>
      </c>
      <c r="C11">
        <f>C9-C10</f>
        <v>28096600</v>
      </c>
      <c r="D11" s="52">
        <f t="shared" ref="D11:L11" si="1">D9-D10</f>
        <v>27497566</v>
      </c>
      <c r="E11" s="52">
        <f t="shared" si="1"/>
        <v>27507541.659999996</v>
      </c>
      <c r="F11" s="52">
        <f t="shared" si="1"/>
        <v>28126617.0766</v>
      </c>
      <c r="G11" s="52">
        <f t="shared" si="1"/>
        <v>28754883.247366011</v>
      </c>
      <c r="H11" s="52">
        <f t="shared" si="1"/>
        <v>29392432.079839677</v>
      </c>
      <c r="I11" s="52">
        <f t="shared" si="1"/>
        <v>30039356.400638074</v>
      </c>
      <c r="J11" s="52">
        <f t="shared" si="1"/>
        <v>30695749.964644447</v>
      </c>
      <c r="K11" s="52">
        <f t="shared" si="1"/>
        <v>31361707.464290902</v>
      </c>
      <c r="L11" s="52">
        <f t="shared" si="1"/>
        <v>32037324.538933814</v>
      </c>
    </row>
    <row r="12" spans="2:14" x14ac:dyDescent="0.25">
      <c r="B12" s="48" t="s">
        <v>71</v>
      </c>
      <c r="C12" s="53">
        <f>C11*0.3</f>
        <v>8428980</v>
      </c>
      <c r="D12" s="53">
        <f t="shared" ref="D12:L12" si="2">D11*0.3</f>
        <v>8249269.7999999998</v>
      </c>
      <c r="E12" s="53">
        <f t="shared" si="2"/>
        <v>8252262.4979999987</v>
      </c>
      <c r="F12" s="53">
        <f t="shared" si="2"/>
        <v>8437985.1229800005</v>
      </c>
      <c r="G12" s="53">
        <f t="shared" si="2"/>
        <v>8626464.9742098022</v>
      </c>
      <c r="H12" s="53">
        <f t="shared" si="2"/>
        <v>8817729.6239519026</v>
      </c>
      <c r="I12" s="53">
        <f t="shared" si="2"/>
        <v>9011806.9201914221</v>
      </c>
      <c r="J12" s="53">
        <f t="shared" si="2"/>
        <v>9208724.989393333</v>
      </c>
      <c r="K12" s="53">
        <f t="shared" si="2"/>
        <v>9408512.2392872702</v>
      </c>
      <c r="L12" s="53">
        <f t="shared" si="2"/>
        <v>9611197.3616801444</v>
      </c>
      <c r="N12" s="50" t="s">
        <v>74</v>
      </c>
    </row>
    <row r="13" spans="2:14" ht="15.75" thickBot="1" x14ac:dyDescent="0.3">
      <c r="B13" s="39" t="s">
        <v>72</v>
      </c>
      <c r="C13" s="54">
        <f>C11-C12</f>
        <v>19667620</v>
      </c>
      <c r="D13" s="54">
        <f t="shared" ref="D13:L13" si="3">D11-D12</f>
        <v>19248296.199999999</v>
      </c>
      <c r="E13" s="54">
        <f t="shared" si="3"/>
        <v>19255279.161999997</v>
      </c>
      <c r="F13" s="54">
        <f t="shared" si="3"/>
        <v>19688631.953620002</v>
      </c>
      <c r="G13" s="54">
        <f t="shared" si="3"/>
        <v>20128418.273156211</v>
      </c>
      <c r="H13" s="54">
        <f t="shared" si="3"/>
        <v>20574702.455887772</v>
      </c>
      <c r="I13" s="54">
        <f t="shared" si="3"/>
        <v>21027549.480446652</v>
      </c>
      <c r="J13" s="54">
        <f t="shared" si="3"/>
        <v>21487024.975251116</v>
      </c>
      <c r="K13" s="54">
        <f t="shared" si="3"/>
        <v>21953195.22500363</v>
      </c>
      <c r="L13" s="54">
        <f t="shared" si="3"/>
        <v>22426127.177253671</v>
      </c>
    </row>
    <row r="14" spans="2:14" x14ac:dyDescent="0.25">
      <c r="B14" s="27"/>
    </row>
    <row r="15" spans="2:14" x14ac:dyDescent="0.25">
      <c r="B15" s="2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"/>
  <sheetViews>
    <sheetView showGridLines="0" workbookViewId="0">
      <selection activeCell="C4" sqref="C4:M4"/>
    </sheetView>
  </sheetViews>
  <sheetFormatPr defaultRowHeight="15" x14ac:dyDescent="0.25"/>
  <cols>
    <col min="2" max="2" width="18.42578125" bestFit="1" customWidth="1"/>
    <col min="3" max="3" width="18.42578125" style="55" customWidth="1"/>
    <col min="4" max="13" width="15.42578125" customWidth="1"/>
  </cols>
  <sheetData>
    <row r="2" spans="2:13" s="32" customFormat="1" x14ac:dyDescent="0.25">
      <c r="B2" s="33" t="s">
        <v>75</v>
      </c>
      <c r="C2" s="33"/>
    </row>
    <row r="4" spans="2:13" ht="15.75" thickBot="1" x14ac:dyDescent="0.3">
      <c r="B4" s="26" t="s">
        <v>41</v>
      </c>
      <c r="C4" s="26">
        <v>0</v>
      </c>
      <c r="D4" s="26">
        <v>1</v>
      </c>
      <c r="E4" s="26">
        <v>2</v>
      </c>
      <c r="F4" s="26">
        <v>3</v>
      </c>
      <c r="G4" s="26">
        <v>4</v>
      </c>
      <c r="H4" s="26">
        <v>5</v>
      </c>
      <c r="I4" s="26">
        <v>6</v>
      </c>
      <c r="J4" s="26">
        <v>7</v>
      </c>
      <c r="K4" s="26">
        <v>8</v>
      </c>
      <c r="L4" s="26">
        <v>9</v>
      </c>
      <c r="M4" s="26">
        <v>10</v>
      </c>
    </row>
    <row r="5" spans="2:13" x14ac:dyDescent="0.25">
      <c r="B5" s="48" t="s">
        <v>66</v>
      </c>
      <c r="C5" s="48">
        <v>0</v>
      </c>
      <c r="D5" s="55">
        <f>Revenues!C32</f>
        <v>105996000</v>
      </c>
      <c r="E5" s="55">
        <f>Revenues!D32</f>
        <v>107055960</v>
      </c>
      <c r="F5" s="55">
        <f>Revenues!E32</f>
        <v>108126519.59999999</v>
      </c>
      <c r="G5" s="55">
        <f>Revenues!F32</f>
        <v>109207784.796</v>
      </c>
      <c r="H5" s="55">
        <f>Revenues!G32</f>
        <v>110299862.64396001</v>
      </c>
      <c r="I5" s="55">
        <f>Revenues!H32</f>
        <v>111402861.27039962</v>
      </c>
      <c r="J5" s="55">
        <f>Revenues!I32</f>
        <v>112516889.88310362</v>
      </c>
      <c r="K5" s="55">
        <f>Revenues!J32</f>
        <v>113642058.78193465</v>
      </c>
      <c r="L5" s="55">
        <f>Revenues!K32</f>
        <v>114778479.369754</v>
      </c>
      <c r="M5" s="55">
        <f>Revenues!L32</f>
        <v>115926264.16345155</v>
      </c>
    </row>
    <row r="6" spans="2:13" x14ac:dyDescent="0.25">
      <c r="B6" s="48" t="s">
        <v>67</v>
      </c>
      <c r="C6" s="48">
        <v>0</v>
      </c>
      <c r="D6">
        <f>Opex!C13</f>
        <v>-15899400</v>
      </c>
      <c r="E6" s="55">
        <f>Opex!D13</f>
        <v>-16058394</v>
      </c>
      <c r="F6" s="55">
        <f>Opex!E13</f>
        <v>-16218977.939999998</v>
      </c>
      <c r="G6" s="55">
        <f>Opex!F13</f>
        <v>-16381167.7194</v>
      </c>
      <c r="H6" s="55">
        <f>Opex!G13</f>
        <v>-16544979.396594001</v>
      </c>
      <c r="I6" s="55">
        <f>Opex!H13</f>
        <v>-16710429.190559942</v>
      </c>
      <c r="J6" s="55">
        <f>Opex!I13</f>
        <v>-16877533.482465543</v>
      </c>
      <c r="K6" s="55">
        <f>Opex!J13</f>
        <v>-17046308.817290198</v>
      </c>
      <c r="L6" s="55">
        <f>Opex!K13</f>
        <v>-17216771.905463099</v>
      </c>
      <c r="M6" s="55">
        <f>Opex!L13</f>
        <v>-17388939.624517731</v>
      </c>
    </row>
    <row r="7" spans="2:13" x14ac:dyDescent="0.25">
      <c r="B7" s="48" t="s">
        <v>71</v>
      </c>
      <c r="C7" s="48">
        <v>0</v>
      </c>
      <c r="D7" s="49">
        <f>-'Profit &amp; Loss'!C12</f>
        <v>-8428980</v>
      </c>
      <c r="E7" s="49">
        <f>-'Profit &amp; Loss'!D12</f>
        <v>-8249269.7999999998</v>
      </c>
      <c r="F7" s="49">
        <f>-'Profit &amp; Loss'!E12</f>
        <v>-8252262.4979999987</v>
      </c>
      <c r="G7" s="49">
        <f>-'Profit &amp; Loss'!F12</f>
        <v>-8437985.1229800005</v>
      </c>
      <c r="H7" s="49">
        <f>-'Profit &amp; Loss'!G12</f>
        <v>-8626464.9742098022</v>
      </c>
      <c r="I7" s="49">
        <f>-'Profit &amp; Loss'!H12</f>
        <v>-8817729.6239519026</v>
      </c>
      <c r="J7" s="49">
        <f>-'Profit &amp; Loss'!I12</f>
        <v>-9011806.9201914221</v>
      </c>
      <c r="K7" s="49">
        <f>-'Profit &amp; Loss'!J12</f>
        <v>-9208724.989393333</v>
      </c>
      <c r="L7" s="49">
        <f>-'Profit &amp; Loss'!K12</f>
        <v>-9408512.2392872702</v>
      </c>
      <c r="M7" s="49">
        <f>-'Profit &amp; Loss'!L12</f>
        <v>-9611197.3616801444</v>
      </c>
    </row>
    <row r="8" spans="2:13" x14ac:dyDescent="0.25">
      <c r="B8" s="28" t="s">
        <v>40</v>
      </c>
      <c r="C8" s="37">
        <f>'Fixed Assets'!C17</f>
        <v>-50000000</v>
      </c>
      <c r="D8" s="51">
        <f>-'Fixed Assets'!C16</f>
        <v>-15000000</v>
      </c>
      <c r="E8" s="51">
        <f>-'Fixed Assets'!D16</f>
        <v>-15000000</v>
      </c>
      <c r="F8" s="51">
        <f>-'Fixed Assets'!E16</f>
        <v>-15000000</v>
      </c>
      <c r="G8" s="51">
        <f>-'Fixed Assets'!F16</f>
        <v>-15000000</v>
      </c>
      <c r="H8" s="51">
        <f>-'Fixed Assets'!G16</f>
        <v>-15000000</v>
      </c>
      <c r="I8" s="51">
        <f>-'Fixed Assets'!H16</f>
        <v>-15000000</v>
      </c>
      <c r="J8" s="51">
        <f>-'Fixed Assets'!I16</f>
        <v>-15000000</v>
      </c>
      <c r="K8" s="51">
        <f>-'Fixed Assets'!J16</f>
        <v>-15000000</v>
      </c>
      <c r="L8" s="51">
        <f>-'Fixed Assets'!K16</f>
        <v>-15000000</v>
      </c>
      <c r="M8" s="51">
        <f>-'Fixed Assets'!L16</f>
        <v>-15000000</v>
      </c>
    </row>
    <row r="9" spans="2:13" x14ac:dyDescent="0.25">
      <c r="B9" s="34" t="s">
        <v>76</v>
      </c>
      <c r="C9" s="36">
        <f>SUM(C5:C8)</f>
        <v>-50000000</v>
      </c>
      <c r="D9" s="36">
        <f t="shared" ref="D9:M9" si="0">SUM(D5:D8)</f>
        <v>66667620</v>
      </c>
      <c r="E9" s="36">
        <f t="shared" si="0"/>
        <v>67748296.200000003</v>
      </c>
      <c r="F9" s="36">
        <f t="shared" si="0"/>
        <v>68655279.162</v>
      </c>
      <c r="G9" s="36">
        <f t="shared" si="0"/>
        <v>69388631.953620002</v>
      </c>
      <c r="H9" s="36">
        <f t="shared" si="0"/>
        <v>70128418.273156211</v>
      </c>
      <c r="I9" s="36">
        <f t="shared" si="0"/>
        <v>70874702.45588778</v>
      </c>
      <c r="J9" s="36">
        <f t="shared" si="0"/>
        <v>71627549.480446652</v>
      </c>
      <c r="K9" s="36">
        <f t="shared" si="0"/>
        <v>72387024.975251108</v>
      </c>
      <c r="L9" s="36">
        <f t="shared" si="0"/>
        <v>73153195.22500363</v>
      </c>
      <c r="M9" s="36">
        <f t="shared" si="0"/>
        <v>73926127.177253664</v>
      </c>
    </row>
    <row r="10" spans="2:13" x14ac:dyDescent="0.25">
      <c r="B10" s="28" t="s">
        <v>77</v>
      </c>
      <c r="C10" s="28">
        <v>0</v>
      </c>
      <c r="D10">
        <f>-Financing!D14</f>
        <v>0</v>
      </c>
      <c r="E10" s="55">
        <f>-Financing!E14</f>
        <v>-15000000</v>
      </c>
      <c r="F10" s="55">
        <f>-Financing!F14</f>
        <v>-30000000</v>
      </c>
      <c r="G10" s="55">
        <f>-Financing!G14</f>
        <v>-30000000</v>
      </c>
      <c r="H10" s="55">
        <f>-Financing!H14</f>
        <v>-30000000</v>
      </c>
      <c r="I10" s="55">
        <f>-Financing!I14</f>
        <v>-30000000</v>
      </c>
      <c r="J10" s="55">
        <f>-Financing!J14</f>
        <v>-30000000</v>
      </c>
      <c r="K10" s="55">
        <f>-Financing!K14</f>
        <v>-30000000</v>
      </c>
      <c r="L10" s="55">
        <f>-Financing!L14</f>
        <v>-30000000</v>
      </c>
      <c r="M10" s="55">
        <f>-Financing!M14</f>
        <v>-30000000</v>
      </c>
    </row>
    <row r="11" spans="2:13" x14ac:dyDescent="0.25">
      <c r="B11" s="28" t="s">
        <v>69</v>
      </c>
      <c r="C11" s="28">
        <v>0</v>
      </c>
      <c r="D11">
        <f>-Financing!D16</f>
        <v>-12000000</v>
      </c>
      <c r="E11" s="55">
        <f>-Financing!E16</f>
        <v>-12000000</v>
      </c>
      <c r="F11" s="55">
        <f>-Financing!F16</f>
        <v>-11400000</v>
      </c>
      <c r="G11" s="55">
        <f>-Financing!G16</f>
        <v>-10200000</v>
      </c>
      <c r="H11" s="55">
        <f>-Financing!H16</f>
        <v>-9000000</v>
      </c>
      <c r="I11" s="55">
        <f>-Financing!I16</f>
        <v>-7800000</v>
      </c>
      <c r="J11" s="55">
        <f>-Financing!J16</f>
        <v>-6600000</v>
      </c>
      <c r="K11" s="55">
        <f>-Financing!K16</f>
        <v>-5400000</v>
      </c>
      <c r="L11" s="55">
        <f>-Financing!L16</f>
        <v>-4200000</v>
      </c>
      <c r="M11" s="55">
        <f>-Financing!M16</f>
        <v>-3000000</v>
      </c>
    </row>
    <row r="12" spans="2:13" x14ac:dyDescent="0.25">
      <c r="B12" s="37" t="s">
        <v>78</v>
      </c>
      <c r="C12" s="37">
        <v>0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</row>
    <row r="13" spans="2:13" ht="15.75" thickBot="1" x14ac:dyDescent="0.3">
      <c r="B13" s="26" t="s">
        <v>79</v>
      </c>
      <c r="C13" s="26">
        <f>SUM(C9:C12)</f>
        <v>-50000000</v>
      </c>
      <c r="D13" s="26">
        <f t="shared" ref="D13:M13" si="1">SUM(D9:D12)</f>
        <v>54667620</v>
      </c>
      <c r="E13" s="26">
        <f t="shared" si="1"/>
        <v>40748296.200000003</v>
      </c>
      <c r="F13" s="26">
        <f t="shared" si="1"/>
        <v>27255279.162</v>
      </c>
      <c r="G13" s="26">
        <f t="shared" si="1"/>
        <v>29188631.953620002</v>
      </c>
      <c r="H13" s="26">
        <f t="shared" si="1"/>
        <v>31128418.273156211</v>
      </c>
      <c r="I13" s="26">
        <f t="shared" si="1"/>
        <v>33074702.45588778</v>
      </c>
      <c r="J13" s="26">
        <f t="shared" si="1"/>
        <v>35027549.480446652</v>
      </c>
      <c r="K13" s="26">
        <f t="shared" si="1"/>
        <v>36987024.975251108</v>
      </c>
      <c r="L13" s="26">
        <f t="shared" si="1"/>
        <v>38953195.22500363</v>
      </c>
      <c r="M13" s="26">
        <f t="shared" si="1"/>
        <v>40926127.177253664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6"/>
  <sheetViews>
    <sheetView showGridLines="0" topLeftCell="A7" workbookViewId="0">
      <selection activeCell="A2" sqref="A2:XFD2"/>
    </sheetView>
  </sheetViews>
  <sheetFormatPr defaultRowHeight="15" x14ac:dyDescent="0.25"/>
  <cols>
    <col min="2" max="2" width="20.5703125" bestFit="1" customWidth="1"/>
    <col min="3" max="3" width="12.85546875" bestFit="1" customWidth="1"/>
    <col min="4" max="13" width="12.42578125" bestFit="1" customWidth="1"/>
  </cols>
  <sheetData>
    <row r="2" spans="2:13" s="32" customFormat="1" x14ac:dyDescent="0.25">
      <c r="B2" s="33" t="s">
        <v>75</v>
      </c>
    </row>
    <row r="4" spans="2:13" x14ac:dyDescent="0.25">
      <c r="B4" t="s">
        <v>81</v>
      </c>
      <c r="C4" s="40">
        <v>0.04</v>
      </c>
    </row>
    <row r="5" spans="2:13" x14ac:dyDescent="0.25">
      <c r="B5" t="s">
        <v>82</v>
      </c>
      <c r="C5" s="40">
        <v>0.02</v>
      </c>
    </row>
    <row r="6" spans="2:13" x14ac:dyDescent="0.25">
      <c r="B6" t="s">
        <v>83</v>
      </c>
      <c r="C6" s="40">
        <v>0.3</v>
      </c>
    </row>
    <row r="7" spans="2:13" x14ac:dyDescent="0.25">
      <c r="B7" t="s">
        <v>84</v>
      </c>
      <c r="C7" s="63">
        <v>5.5E-2</v>
      </c>
    </row>
    <row r="8" spans="2:13" x14ac:dyDescent="0.25">
      <c r="B8" s="27"/>
      <c r="C8" s="27"/>
      <c r="D8" s="27"/>
      <c r="E8" s="27"/>
    </row>
    <row r="9" spans="2:13" ht="15.75" thickBot="1" x14ac:dyDescent="0.3">
      <c r="B9" s="26" t="s">
        <v>17</v>
      </c>
      <c r="C9" s="64" t="s">
        <v>22</v>
      </c>
      <c r="D9" s="64" t="s">
        <v>19</v>
      </c>
      <c r="E9" s="27"/>
    </row>
    <row r="10" spans="2:13" x14ac:dyDescent="0.25">
      <c r="B10" s="28" t="s">
        <v>18</v>
      </c>
      <c r="C10" s="30">
        <v>0.7</v>
      </c>
      <c r="D10" s="62">
        <v>0.5</v>
      </c>
      <c r="E10" s="27"/>
    </row>
    <row r="11" spans="2:13" x14ac:dyDescent="0.25">
      <c r="B11" s="28" t="s">
        <v>20</v>
      </c>
      <c r="C11" s="30">
        <v>0.8</v>
      </c>
      <c r="D11" s="62">
        <v>0.4</v>
      </c>
      <c r="E11" s="27"/>
    </row>
    <row r="12" spans="2:13" x14ac:dyDescent="0.25">
      <c r="B12" s="28" t="s">
        <v>21</v>
      </c>
      <c r="C12" s="30">
        <v>0.65</v>
      </c>
      <c r="D12" s="62">
        <v>0.35</v>
      </c>
      <c r="E12" s="27"/>
    </row>
    <row r="13" spans="2:13" x14ac:dyDescent="0.25">
      <c r="B13" s="28"/>
      <c r="C13" s="30"/>
      <c r="D13" s="28"/>
      <c r="E13" s="27"/>
    </row>
    <row r="14" spans="2:13" x14ac:dyDescent="0.25">
      <c r="B14" s="48" t="s">
        <v>26</v>
      </c>
      <c r="C14" s="48">
        <v>0.9</v>
      </c>
      <c r="D14" s="28"/>
      <c r="E14" s="27"/>
    </row>
    <row r="16" spans="2:13" ht="15.75" thickBot="1" x14ac:dyDescent="0.3">
      <c r="B16" s="26" t="s">
        <v>41</v>
      </c>
      <c r="C16" s="26">
        <v>0</v>
      </c>
      <c r="D16" s="26">
        <v>1</v>
      </c>
      <c r="E16" s="26">
        <v>2</v>
      </c>
      <c r="F16" s="26">
        <v>3</v>
      </c>
      <c r="G16" s="26">
        <v>4</v>
      </c>
      <c r="H16" s="26">
        <v>5</v>
      </c>
      <c r="I16" s="26">
        <v>6</v>
      </c>
      <c r="J16" s="26">
        <v>7</v>
      </c>
      <c r="K16" s="26">
        <v>8</v>
      </c>
      <c r="L16" s="26">
        <v>9</v>
      </c>
      <c r="M16" s="26">
        <v>10</v>
      </c>
    </row>
    <row r="17" spans="2:13" x14ac:dyDescent="0.25">
      <c r="B17" s="46" t="s">
        <v>85</v>
      </c>
      <c r="C17" s="31">
        <f>Financing!C15</f>
        <v>300000000</v>
      </c>
      <c r="D17" s="31">
        <f>Financing!D15</f>
        <v>300000000</v>
      </c>
      <c r="E17" s="31">
        <f>Financing!E15</f>
        <v>285000000</v>
      </c>
      <c r="F17" s="31">
        <f>Financing!F15</f>
        <v>255000000</v>
      </c>
      <c r="G17" s="31">
        <f>Financing!G15</f>
        <v>225000000</v>
      </c>
      <c r="H17" s="31">
        <f>Financing!H15</f>
        <v>195000000</v>
      </c>
      <c r="I17" s="31">
        <f>Financing!I15</f>
        <v>165000000</v>
      </c>
      <c r="J17" s="31">
        <f>Financing!J15</f>
        <v>135000000</v>
      </c>
      <c r="K17" s="31">
        <f>Financing!K15</f>
        <v>105000000</v>
      </c>
      <c r="L17" s="31">
        <f>Financing!L15</f>
        <v>75000000</v>
      </c>
      <c r="M17" s="31">
        <f>Financing!M15</f>
        <v>45000000</v>
      </c>
    </row>
    <row r="18" spans="2:13" x14ac:dyDescent="0.25">
      <c r="B18" s="66" t="s">
        <v>86</v>
      </c>
      <c r="C18" s="65">
        <v>200000000</v>
      </c>
      <c r="D18" s="65">
        <v>200000000</v>
      </c>
      <c r="E18" s="65">
        <v>200000000</v>
      </c>
      <c r="F18" s="65">
        <v>200000000</v>
      </c>
      <c r="G18" s="65">
        <v>200000000</v>
      </c>
      <c r="H18" s="65">
        <v>200000000</v>
      </c>
      <c r="I18" s="65">
        <v>200000000</v>
      </c>
      <c r="J18" s="65">
        <v>200000000</v>
      </c>
      <c r="K18" s="65">
        <v>200000000</v>
      </c>
      <c r="L18" s="65">
        <v>200000000</v>
      </c>
      <c r="M18" s="65">
        <v>200000000</v>
      </c>
    </row>
    <row r="19" spans="2:13" x14ac:dyDescent="0.25">
      <c r="B19" s="67" t="s">
        <v>87</v>
      </c>
      <c r="C19" s="31">
        <f>SUM(C17:C18)</f>
        <v>500000000</v>
      </c>
      <c r="D19" s="31">
        <f t="shared" ref="D19:M19" si="0">SUM(D17:D18)</f>
        <v>500000000</v>
      </c>
      <c r="E19" s="31">
        <f t="shared" si="0"/>
        <v>485000000</v>
      </c>
      <c r="F19" s="31">
        <f t="shared" si="0"/>
        <v>455000000</v>
      </c>
      <c r="G19" s="31">
        <f t="shared" si="0"/>
        <v>425000000</v>
      </c>
      <c r="H19" s="31">
        <f t="shared" si="0"/>
        <v>395000000</v>
      </c>
      <c r="I19" s="31">
        <f t="shared" si="0"/>
        <v>365000000</v>
      </c>
      <c r="J19" s="31">
        <f t="shared" si="0"/>
        <v>335000000</v>
      </c>
      <c r="K19" s="31">
        <f t="shared" si="0"/>
        <v>305000000</v>
      </c>
      <c r="L19" s="31">
        <f t="shared" si="0"/>
        <v>275000000</v>
      </c>
      <c r="M19" s="31">
        <f t="shared" si="0"/>
        <v>245000000</v>
      </c>
    </row>
    <row r="20" spans="2:13" x14ac:dyDescent="0.25">
      <c r="B20" s="27"/>
    </row>
    <row r="21" spans="2:13" x14ac:dyDescent="0.25">
      <c r="B21" s="48" t="s">
        <v>88</v>
      </c>
      <c r="C21" s="77">
        <f>C17/C19</f>
        <v>0.6</v>
      </c>
      <c r="D21" s="77">
        <f t="shared" ref="D21:M21" si="1">D17/D19</f>
        <v>0.6</v>
      </c>
      <c r="E21" s="77">
        <f t="shared" si="1"/>
        <v>0.58762886597938147</v>
      </c>
      <c r="F21" s="77">
        <f t="shared" si="1"/>
        <v>0.56043956043956045</v>
      </c>
      <c r="G21" s="77">
        <f t="shared" si="1"/>
        <v>0.52941176470588236</v>
      </c>
      <c r="H21" s="77">
        <f t="shared" si="1"/>
        <v>0.49367088607594939</v>
      </c>
      <c r="I21" s="77">
        <f t="shared" si="1"/>
        <v>0.45205479452054792</v>
      </c>
      <c r="J21" s="77">
        <f t="shared" si="1"/>
        <v>0.40298507462686567</v>
      </c>
      <c r="K21" s="77">
        <f t="shared" si="1"/>
        <v>0.34426229508196721</v>
      </c>
      <c r="L21" s="77">
        <f t="shared" si="1"/>
        <v>0.27272727272727271</v>
      </c>
      <c r="M21" s="77">
        <f t="shared" si="1"/>
        <v>0.18367346938775511</v>
      </c>
    </row>
    <row r="22" spans="2:13" x14ac:dyDescent="0.25">
      <c r="B22" s="37" t="s">
        <v>89</v>
      </c>
      <c r="C22" s="78">
        <f>C18/C19</f>
        <v>0.4</v>
      </c>
      <c r="D22" s="78">
        <f t="shared" ref="D22:M22" si="2">D18/D19</f>
        <v>0.4</v>
      </c>
      <c r="E22" s="78">
        <f t="shared" si="2"/>
        <v>0.41237113402061853</v>
      </c>
      <c r="F22" s="78">
        <f t="shared" si="2"/>
        <v>0.43956043956043955</v>
      </c>
      <c r="G22" s="78">
        <f t="shared" si="2"/>
        <v>0.47058823529411764</v>
      </c>
      <c r="H22" s="78">
        <f t="shared" si="2"/>
        <v>0.50632911392405067</v>
      </c>
      <c r="I22" s="78">
        <f t="shared" si="2"/>
        <v>0.54794520547945202</v>
      </c>
      <c r="J22" s="78">
        <f t="shared" si="2"/>
        <v>0.59701492537313428</v>
      </c>
      <c r="K22" s="78">
        <f t="shared" si="2"/>
        <v>0.65573770491803274</v>
      </c>
      <c r="L22" s="78">
        <f t="shared" si="2"/>
        <v>0.72727272727272729</v>
      </c>
      <c r="M22" s="78">
        <f t="shared" si="2"/>
        <v>0.81632653061224492</v>
      </c>
    </row>
    <row r="23" spans="2:13" x14ac:dyDescent="0.25">
      <c r="B23" s="67" t="s">
        <v>90</v>
      </c>
      <c r="C23">
        <f>SUM(C21:C22)</f>
        <v>1</v>
      </c>
      <c r="D23" s="70">
        <f t="shared" ref="D23:M23" si="3">SUM(D21:D22)</f>
        <v>1</v>
      </c>
      <c r="E23" s="70">
        <f t="shared" si="3"/>
        <v>1</v>
      </c>
      <c r="F23" s="70">
        <f t="shared" si="3"/>
        <v>1</v>
      </c>
      <c r="G23" s="70">
        <f t="shared" si="3"/>
        <v>1</v>
      </c>
      <c r="H23" s="70">
        <f t="shared" si="3"/>
        <v>1</v>
      </c>
      <c r="I23" s="70">
        <f t="shared" si="3"/>
        <v>1</v>
      </c>
      <c r="J23" s="70">
        <f t="shared" si="3"/>
        <v>1</v>
      </c>
      <c r="K23" s="70">
        <f t="shared" si="3"/>
        <v>1</v>
      </c>
      <c r="L23" s="70">
        <f t="shared" si="3"/>
        <v>1</v>
      </c>
      <c r="M23" s="70">
        <f t="shared" si="3"/>
        <v>1</v>
      </c>
    </row>
    <row r="24" spans="2:13" x14ac:dyDescent="0.25">
      <c r="B24" s="27"/>
    </row>
    <row r="25" spans="2:13" x14ac:dyDescent="0.25">
      <c r="B25" s="48" t="s">
        <v>91</v>
      </c>
      <c r="C25" s="57"/>
    </row>
    <row r="26" spans="2:13" x14ac:dyDescent="0.25">
      <c r="B26" s="48" t="s">
        <v>92</v>
      </c>
      <c r="C26" s="68">
        <f>AVERAGE(C10:C12)</f>
        <v>0.71666666666666667</v>
      </c>
    </row>
    <row r="27" spans="2:13" x14ac:dyDescent="0.25">
      <c r="B27" s="48" t="s">
        <v>93</v>
      </c>
      <c r="C27" s="71">
        <f>AVERAGE(D10:D12)</f>
        <v>0.41666666666666669</v>
      </c>
    </row>
    <row r="29" spans="2:13" x14ac:dyDescent="0.25">
      <c r="B29" s="48" t="s">
        <v>94</v>
      </c>
    </row>
    <row r="30" spans="2:13" x14ac:dyDescent="0.25">
      <c r="B30" s="48" t="s">
        <v>95</v>
      </c>
      <c r="C30" s="49">
        <f>C21/C22</f>
        <v>1.4999999999999998</v>
      </c>
      <c r="D30" s="49">
        <f t="shared" ref="D30:M30" si="4">D21/D22</f>
        <v>1.4999999999999998</v>
      </c>
      <c r="E30" s="49">
        <f t="shared" si="4"/>
        <v>1.425</v>
      </c>
      <c r="F30" s="49">
        <f t="shared" si="4"/>
        <v>1.2750000000000001</v>
      </c>
      <c r="G30" s="49">
        <f t="shared" si="4"/>
        <v>1.125</v>
      </c>
      <c r="H30" s="49">
        <f t="shared" si="4"/>
        <v>0.97499999999999998</v>
      </c>
      <c r="I30" s="49">
        <f t="shared" si="4"/>
        <v>0.82499999999999996</v>
      </c>
      <c r="J30" s="49">
        <f t="shared" si="4"/>
        <v>0.67500000000000004</v>
      </c>
      <c r="K30" s="49">
        <f t="shared" si="4"/>
        <v>0.52500000000000002</v>
      </c>
      <c r="L30" s="49">
        <f t="shared" si="4"/>
        <v>0.37499999999999994</v>
      </c>
      <c r="M30" s="49">
        <f t="shared" si="4"/>
        <v>0.22500000000000001</v>
      </c>
    </row>
    <row r="31" spans="2:13" x14ac:dyDescent="0.25">
      <c r="B31" s="37" t="s">
        <v>96</v>
      </c>
      <c r="C31" s="53">
        <f>$C$27/(1+(1-$C$6)*$C$26)</f>
        <v>0.27746947835738073</v>
      </c>
      <c r="D31" s="53">
        <f t="shared" ref="D31:M31" si="5">$C$27/(1+(1-$C$6)*$C$26)</f>
        <v>0.27746947835738073</v>
      </c>
      <c r="E31" s="53">
        <f t="shared" si="5"/>
        <v>0.27746947835738073</v>
      </c>
      <c r="F31" s="53">
        <f t="shared" si="5"/>
        <v>0.27746947835738073</v>
      </c>
      <c r="G31" s="53">
        <f t="shared" si="5"/>
        <v>0.27746947835738073</v>
      </c>
      <c r="H31" s="53">
        <f t="shared" si="5"/>
        <v>0.27746947835738073</v>
      </c>
      <c r="I31" s="53">
        <f t="shared" si="5"/>
        <v>0.27746947835738073</v>
      </c>
      <c r="J31" s="53">
        <f t="shared" si="5"/>
        <v>0.27746947835738073</v>
      </c>
      <c r="K31" s="53">
        <f t="shared" si="5"/>
        <v>0.27746947835738073</v>
      </c>
      <c r="L31" s="53">
        <f t="shared" si="5"/>
        <v>0.27746947835738073</v>
      </c>
      <c r="M31" s="53">
        <f t="shared" si="5"/>
        <v>0.27746947835738073</v>
      </c>
    </row>
    <row r="32" spans="2:13" x14ac:dyDescent="0.25">
      <c r="B32" s="67" t="s">
        <v>94</v>
      </c>
      <c r="C32" s="72">
        <f>C31*(1+C30*(1-$C$6))</f>
        <v>0.56881243063263043</v>
      </c>
      <c r="D32" s="72">
        <f t="shared" ref="D32:M32" si="6">D31*(1+D30*(1-$C$6))</f>
        <v>0.56881243063263043</v>
      </c>
      <c r="E32" s="72">
        <f t="shared" si="6"/>
        <v>0.554245283018868</v>
      </c>
      <c r="F32" s="72">
        <f t="shared" si="6"/>
        <v>0.52511098779134302</v>
      </c>
      <c r="G32" s="72">
        <f t="shared" si="6"/>
        <v>0.4959766925638181</v>
      </c>
      <c r="H32" s="72">
        <f t="shared" si="6"/>
        <v>0.46684239733629312</v>
      </c>
      <c r="I32" s="72">
        <f t="shared" si="6"/>
        <v>0.43770810210876809</v>
      </c>
      <c r="J32" s="72">
        <f t="shared" si="6"/>
        <v>0.40857380688124312</v>
      </c>
      <c r="K32" s="72">
        <f t="shared" si="6"/>
        <v>0.37943951165371814</v>
      </c>
      <c r="L32" s="72">
        <f t="shared" si="6"/>
        <v>0.35030521642619317</v>
      </c>
      <c r="M32" s="72">
        <f t="shared" si="6"/>
        <v>0.32117092119866819</v>
      </c>
    </row>
    <row r="33" spans="2:13" x14ac:dyDescent="0.25">
      <c r="B33" s="69"/>
    </row>
    <row r="34" spans="2:13" x14ac:dyDescent="0.25">
      <c r="B34" s="73" t="s">
        <v>97</v>
      </c>
      <c r="C34" s="74">
        <f>$C$5+C32*($C$7)</f>
        <v>5.1284683684794677E-2</v>
      </c>
      <c r="D34" s="74">
        <f t="shared" ref="D34:M34" si="7">$C$5+D32*($C$7)</f>
        <v>5.1284683684794677E-2</v>
      </c>
      <c r="E34" s="74">
        <f t="shared" si="7"/>
        <v>5.0483490566037736E-2</v>
      </c>
      <c r="F34" s="74">
        <f t="shared" si="7"/>
        <v>4.8881104328523869E-2</v>
      </c>
      <c r="G34" s="74">
        <f t="shared" si="7"/>
        <v>4.7278718091009996E-2</v>
      </c>
      <c r="H34" s="74">
        <f t="shared" si="7"/>
        <v>4.5676331853496122E-2</v>
      </c>
      <c r="I34" s="74">
        <f t="shared" si="7"/>
        <v>4.4073945615982241E-2</v>
      </c>
      <c r="J34" s="74">
        <f t="shared" si="7"/>
        <v>4.2471559378468374E-2</v>
      </c>
      <c r="K34" s="74">
        <f t="shared" si="7"/>
        <v>4.08691731409545E-2</v>
      </c>
      <c r="L34" s="74">
        <f t="shared" si="7"/>
        <v>3.9266786903440626E-2</v>
      </c>
      <c r="M34" s="74">
        <f t="shared" si="7"/>
        <v>3.7664400665926752E-2</v>
      </c>
    </row>
    <row r="36" spans="2:13" ht="15.75" thickBot="1" x14ac:dyDescent="0.3">
      <c r="B36" s="75" t="s">
        <v>98</v>
      </c>
      <c r="C36" s="76">
        <f>C21*(1-$C$6)*$C$4+C22*C34</f>
        <v>3.7313873473917875E-2</v>
      </c>
      <c r="D36" s="76">
        <f t="shared" ref="D36:M36" si="8">D21*(1-$C$6)*$C$4+D22*D34</f>
        <v>3.7313873473917875E-2</v>
      </c>
      <c r="E36" s="76">
        <f t="shared" si="8"/>
        <v>3.7271542501458858E-2</v>
      </c>
      <c r="F36" s="76">
        <f t="shared" si="8"/>
        <v>3.7178507397153351E-2</v>
      </c>
      <c r="G36" s="76">
        <f t="shared" si="8"/>
        <v>3.7072337925181172E-2</v>
      </c>
      <c r="H36" s="76">
        <f t="shared" si="8"/>
        <v>3.6950041444808165E-2</v>
      </c>
      <c r="I36" s="76">
        <f t="shared" si="8"/>
        <v>3.6807641433414924E-2</v>
      </c>
      <c r="J36" s="76">
        <f t="shared" si="8"/>
        <v>3.6639736942369175E-2</v>
      </c>
      <c r="K36" s="76">
        <f t="shared" si="8"/>
        <v>3.643880205964229E-2</v>
      </c>
      <c r="L36" s="76">
        <f t="shared" si="8"/>
        <v>3.6194026838865911E-2</v>
      </c>
      <c r="M36" s="76">
        <f t="shared" si="8"/>
        <v>3.5889306666062652E-2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showGridLines="0" tabSelected="1" workbookViewId="0">
      <selection activeCell="G14" sqref="G14"/>
    </sheetView>
  </sheetViews>
  <sheetFormatPr defaultRowHeight="15" x14ac:dyDescent="0.25"/>
  <cols>
    <col min="2" max="2" width="37.140625" bestFit="1" customWidth="1"/>
    <col min="3" max="3" width="13.42578125" bestFit="1" customWidth="1"/>
    <col min="4" max="13" width="11.5703125" bestFit="1" customWidth="1"/>
    <col min="14" max="14" width="13.140625" bestFit="1" customWidth="1"/>
  </cols>
  <sheetData>
    <row r="2" spans="2:14" s="32" customFormat="1" x14ac:dyDescent="0.25">
      <c r="B2" s="33" t="s">
        <v>75</v>
      </c>
    </row>
    <row r="3" spans="2:14" x14ac:dyDescent="0.25">
      <c r="B3" s="27"/>
    </row>
    <row r="4" spans="2:14" ht="15.75" thickBot="1" x14ac:dyDescent="0.3">
      <c r="B4" s="26" t="s">
        <v>41</v>
      </c>
      <c r="C4" s="26">
        <v>0</v>
      </c>
      <c r="D4" s="26">
        <v>1</v>
      </c>
      <c r="E4" s="26">
        <v>2</v>
      </c>
      <c r="F4" s="26">
        <v>3</v>
      </c>
      <c r="G4" s="26">
        <v>4</v>
      </c>
      <c r="H4" s="26">
        <v>5</v>
      </c>
      <c r="I4" s="26">
        <v>6</v>
      </c>
      <c r="J4" s="26">
        <v>7</v>
      </c>
      <c r="K4" s="26">
        <v>8</v>
      </c>
      <c r="L4" s="26">
        <v>9</v>
      </c>
      <c r="M4" s="26">
        <v>10</v>
      </c>
      <c r="N4" s="64" t="s">
        <v>104</v>
      </c>
    </row>
    <row r="5" spans="2:14" x14ac:dyDescent="0.25">
      <c r="B5" s="79" t="s">
        <v>79</v>
      </c>
      <c r="C5" s="45">
        <v>-200000000</v>
      </c>
      <c r="D5" s="45">
        <f>'Cash Flow'!D13</f>
        <v>54667620</v>
      </c>
      <c r="E5" s="45">
        <f>'Cash Flow'!E13</f>
        <v>40748296.200000003</v>
      </c>
      <c r="F5" s="45">
        <f>'Cash Flow'!F13</f>
        <v>27255279.162</v>
      </c>
      <c r="G5" s="45">
        <f>'Cash Flow'!G13</f>
        <v>29188631.953620002</v>
      </c>
      <c r="H5" s="45">
        <f>'Cash Flow'!H13</f>
        <v>31128418.273156211</v>
      </c>
      <c r="I5" s="45">
        <f>'Cash Flow'!I13</f>
        <v>33074702.45588778</v>
      </c>
      <c r="J5" s="45">
        <f>'Cash Flow'!J13</f>
        <v>35027549.480446652</v>
      </c>
      <c r="K5" s="45">
        <f>'Cash Flow'!K13</f>
        <v>36987024.975251108</v>
      </c>
      <c r="L5" s="45">
        <f>'Cash Flow'!L13</f>
        <v>38953195.22500363</v>
      </c>
      <c r="M5" s="45">
        <f>'Cash Flow'!M13</f>
        <v>40926127.177253664</v>
      </c>
      <c r="N5" s="45">
        <f>'Business Drivers'!C49-Financing!M15</f>
        <v>55000000</v>
      </c>
    </row>
    <row r="6" spans="2:14" x14ac:dyDescent="0.25">
      <c r="B6" s="79"/>
      <c r="N6" s="42"/>
    </row>
    <row r="7" spans="2:14" x14ac:dyDescent="0.25">
      <c r="B7" s="65" t="s">
        <v>97</v>
      </c>
      <c r="C7" s="78">
        <f>WACC!C34</f>
        <v>5.1284683684794677E-2</v>
      </c>
      <c r="D7" s="78">
        <f>WACC!D34</f>
        <v>5.1284683684794677E-2</v>
      </c>
      <c r="E7" s="78">
        <f>WACC!E34</f>
        <v>5.0483490566037736E-2</v>
      </c>
      <c r="F7" s="78">
        <f>WACC!F34</f>
        <v>4.8881104328523869E-2</v>
      </c>
      <c r="G7" s="78">
        <f>WACC!G34</f>
        <v>4.7278718091009996E-2</v>
      </c>
      <c r="H7" s="78">
        <f>WACC!H34</f>
        <v>4.5676331853496122E-2</v>
      </c>
      <c r="I7" s="78">
        <f>WACC!I34</f>
        <v>4.4073945615982241E-2</v>
      </c>
      <c r="J7" s="78">
        <f>WACC!J34</f>
        <v>4.2471559378468374E-2</v>
      </c>
      <c r="K7" s="78">
        <f>WACC!K34</f>
        <v>4.08691731409545E-2</v>
      </c>
      <c r="L7" s="78">
        <f>WACC!L34</f>
        <v>3.9266786903440626E-2</v>
      </c>
      <c r="M7" s="78">
        <f>WACC!M34</f>
        <v>3.7664400665926752E-2</v>
      </c>
      <c r="N7" s="48"/>
    </row>
    <row r="8" spans="2:14" x14ac:dyDescent="0.25">
      <c r="B8" s="81" t="s">
        <v>99</v>
      </c>
      <c r="C8" s="45">
        <v>-200000000</v>
      </c>
      <c r="D8" s="45">
        <f>D5/(1+D7)^D4</f>
        <v>52000776.619695261</v>
      </c>
      <c r="E8" s="45">
        <f t="shared" ref="E8:M8" si="0">E5/(1+E7)^E4</f>
        <v>36925891.696602821</v>
      </c>
      <c r="F8" s="45">
        <f t="shared" si="0"/>
        <v>23619562.53976424</v>
      </c>
      <c r="G8" s="45">
        <f t="shared" si="0"/>
        <v>24264124.596397668</v>
      </c>
      <c r="H8" s="45">
        <f t="shared" si="0"/>
        <v>24898355.444246478</v>
      </c>
      <c r="I8" s="45">
        <f t="shared" si="0"/>
        <v>25533385.148736682</v>
      </c>
      <c r="J8" s="45">
        <f t="shared" si="0"/>
        <v>26179433.663845889</v>
      </c>
      <c r="K8" s="45">
        <f t="shared" si="0"/>
        <v>26846039.747707423</v>
      </c>
      <c r="L8" s="45">
        <f t="shared" si="0"/>
        <v>27542265.048010208</v>
      </c>
      <c r="M8" s="45">
        <f t="shared" si="0"/>
        <v>28276879.019867931</v>
      </c>
      <c r="N8" s="80"/>
    </row>
    <row r="9" spans="2:14" x14ac:dyDescent="0.25">
      <c r="B9" s="83" t="s">
        <v>100</v>
      </c>
      <c r="C9" s="58"/>
      <c r="D9" s="58"/>
      <c r="E9" s="58"/>
      <c r="F9" s="58"/>
      <c r="G9" s="58"/>
      <c r="H9" s="58"/>
      <c r="I9" s="58"/>
      <c r="J9" s="58"/>
      <c r="K9" s="58"/>
      <c r="L9" s="58"/>
      <c r="M9" s="58">
        <f>N5/(1+M7)^M4</f>
        <v>38000867.7429199</v>
      </c>
    </row>
    <row r="10" spans="2:14" x14ac:dyDescent="0.25">
      <c r="B10" s="81" t="s">
        <v>101</v>
      </c>
      <c r="C10" s="45">
        <f>SUM(C8:C9)</f>
        <v>-200000000</v>
      </c>
      <c r="D10" s="45">
        <f t="shared" ref="D10:L10" si="1">SUM(D8:D9)</f>
        <v>52000776.619695261</v>
      </c>
      <c r="E10" s="45">
        <f t="shared" si="1"/>
        <v>36925891.696602821</v>
      </c>
      <c r="F10" s="45">
        <f t="shared" si="1"/>
        <v>23619562.53976424</v>
      </c>
      <c r="G10" s="45">
        <f t="shared" si="1"/>
        <v>24264124.596397668</v>
      </c>
      <c r="H10" s="45">
        <f t="shared" si="1"/>
        <v>24898355.444246478</v>
      </c>
      <c r="I10" s="45">
        <f t="shared" si="1"/>
        <v>25533385.148736682</v>
      </c>
      <c r="J10" s="45">
        <f t="shared" si="1"/>
        <v>26179433.663845889</v>
      </c>
      <c r="K10" s="45">
        <f t="shared" si="1"/>
        <v>26846039.747707423</v>
      </c>
      <c r="L10" s="45">
        <f t="shared" si="1"/>
        <v>27542265.048010208</v>
      </c>
      <c r="M10" s="45">
        <f>SUM(M8:M9)</f>
        <v>66277746.762787834</v>
      </c>
    </row>
    <row r="11" spans="2:14" x14ac:dyDescent="0.25">
      <c r="B11" s="82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</row>
    <row r="12" spans="2:14" x14ac:dyDescent="0.25">
      <c r="B12" s="36" t="s">
        <v>102</v>
      </c>
      <c r="C12" s="45">
        <f>SUM(C10:M10)</f>
        <v>134087581.26779449</v>
      </c>
      <c r="D12" s="45"/>
      <c r="E12" s="45"/>
      <c r="F12" s="45"/>
      <c r="G12" s="45"/>
      <c r="H12" s="45"/>
      <c r="I12" s="45"/>
      <c r="J12" s="45"/>
      <c r="K12" s="45"/>
      <c r="L12" s="45"/>
      <c r="M12" s="45"/>
    </row>
    <row r="13" spans="2:14" x14ac:dyDescent="0.25">
      <c r="B13" s="82"/>
    </row>
    <row r="14" spans="2:14" x14ac:dyDescent="0.25">
      <c r="B14" s="36" t="s">
        <v>103</v>
      </c>
      <c r="C14" s="74">
        <f>IRR(C10:M10)</f>
        <v>0.10614453447434324</v>
      </c>
    </row>
    <row r="15" spans="2:14" x14ac:dyDescent="0.25">
      <c r="B15" s="27"/>
    </row>
    <row r="16" spans="2:14" x14ac:dyDescent="0.25">
      <c r="B16" s="2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Business Drivers</vt:lpstr>
      <vt:lpstr>Revenues</vt:lpstr>
      <vt:lpstr>Opex</vt:lpstr>
      <vt:lpstr>Fixed Assets</vt:lpstr>
      <vt:lpstr>Financing</vt:lpstr>
      <vt:lpstr>Profit &amp; Loss</vt:lpstr>
      <vt:lpstr>Cash Flow</vt:lpstr>
      <vt:lpstr>WACC</vt:lpstr>
      <vt:lpstr>Discounted Cash Flow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User</cp:lastModifiedBy>
  <dcterms:created xsi:type="dcterms:W3CDTF">2017-10-13T13:35:42Z</dcterms:created>
  <dcterms:modified xsi:type="dcterms:W3CDTF">2020-05-08T04:09:20Z</dcterms:modified>
</cp:coreProperties>
</file>