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69432\Desktop\Plantillas_Calculo\"/>
    </mc:Choice>
  </mc:AlternateContent>
  <xr:revisionPtr revIDLastSave="0" documentId="13_ncr:1_{7549FD41-A1CB-490D-BF73-2FB299780393}" xr6:coauthVersionLast="47" xr6:coauthVersionMax="47" xr10:uidLastSave="{00000000-0000-0000-0000-000000000000}"/>
  <bookViews>
    <workbookView xWindow="-120" yWindow="-120" windowWidth="29040" windowHeight="15840" xr2:uid="{7DDAD496-D9C5-4E44-9D7B-E9C0651BCE62}"/>
  </bookViews>
  <sheets>
    <sheet name="Teoria" sheetId="3" r:id="rId1"/>
    <sheet name="MATERIAL" sheetId="1" r:id="rId2"/>
    <sheet name="LU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2" i="2" l="1"/>
  <c r="C78" i="2"/>
  <c r="C74" i="2"/>
  <c r="C73" i="2"/>
  <c r="C69" i="2"/>
  <c r="C68" i="2"/>
  <c r="C66" i="2"/>
  <c r="C63" i="2"/>
  <c r="C62" i="2"/>
  <c r="C67" i="2" s="1"/>
  <c r="C55" i="2"/>
  <c r="C54" i="2"/>
  <c r="C56" i="2" s="1"/>
  <c r="C51" i="2"/>
  <c r="C48" i="2"/>
  <c r="C47" i="2"/>
  <c r="C21" i="2"/>
  <c r="C31" i="2" s="1"/>
  <c r="C20" i="2"/>
  <c r="C24" i="2" s="1"/>
  <c r="C18" i="2"/>
  <c r="C13" i="2"/>
  <c r="C43" i="2" s="1"/>
  <c r="C45" i="2" s="1"/>
  <c r="C49" i="2" s="1"/>
  <c r="C7" i="2"/>
  <c r="C8" i="2" s="1"/>
  <c r="A10" i="1"/>
  <c r="A9" i="1"/>
  <c r="A8" i="1"/>
  <c r="A7" i="1"/>
  <c r="A6" i="1"/>
  <c r="A5" i="1"/>
  <c r="A4" i="1"/>
  <c r="A3" i="1"/>
  <c r="A2" i="1"/>
  <c r="C28" i="2" l="1"/>
  <c r="C26" i="2"/>
  <c r="C27" i="2" s="1"/>
  <c r="C29" i="2" s="1"/>
  <c r="C25" i="2"/>
  <c r="C32" i="2"/>
  <c r="C34" i="2"/>
  <c r="C35" i="2" s="1"/>
  <c r="C33" i="2"/>
  <c r="C80" i="2"/>
  <c r="C81" i="2" s="1"/>
  <c r="C75" i="2"/>
  <c r="C76" i="2" s="1"/>
  <c r="C79" i="2" s="1"/>
  <c r="C83" i="2" s="1"/>
  <c r="C50" i="2"/>
  <c r="C52" i="2" s="1"/>
  <c r="C57" i="2" s="1"/>
  <c r="C58" i="2" s="1"/>
  <c r="C37" i="2" l="1"/>
  <c r="C38" i="2" s="1"/>
  <c r="C39" i="2" s="1"/>
  <c r="C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Ortiz Soriano, Andres Javier [ES]</author>
    <author>Berninches Pintado, Marina [ES]</author>
  </authors>
  <commentList>
    <comment ref="C5" authorId="0" shapeId="0" xr:uid="{F429FCDF-34D2-49B0-B53D-92A9E282F37D}">
      <text>
        <r>
          <rPr>
            <b/>
            <sz val="9"/>
            <color indexed="81"/>
            <rFont val="Tahoma"/>
            <family val="2"/>
          </rPr>
          <t>Ortiz Soriano, Andres Javier [ES]:</t>
        </r>
        <r>
          <rPr>
            <sz val="9"/>
            <color indexed="81"/>
            <rFont val="Tahoma"/>
            <family val="2"/>
          </rPr>
          <t xml:space="preserve">
Puede ser que se tenga que dividir entre 2</t>
        </r>
      </text>
    </comment>
    <comment ref="C8" authorId="0" shapeId="0" xr:uid="{494572AB-1F3F-45B2-B463-2F33C310B344}">
      <text>
        <r>
          <rPr>
            <b/>
            <sz val="9"/>
            <color indexed="81"/>
            <rFont val="Tahoma"/>
            <family val="2"/>
          </rPr>
          <t>Ortiz Soriano, Andres Javier [ES]:</t>
        </r>
        <r>
          <rPr>
            <sz val="9"/>
            <color indexed="81"/>
            <rFont val="Tahoma"/>
            <family val="2"/>
          </rPr>
          <t xml:space="preserve">
Este es el área que se necesita para soportar SOLAMENTE LA CORTADURA</t>
        </r>
      </text>
    </comment>
    <comment ref="C9" authorId="0" shapeId="0" xr:uid="{837669E7-DEA3-4DC0-B1A3-606E4C6DA8A6}">
      <text>
        <r>
          <rPr>
            <b/>
            <sz val="9"/>
            <color indexed="81"/>
            <rFont val="Tahoma"/>
            <family val="2"/>
          </rPr>
          <t>Ortiz Soriano, Andres Javier [ES]:</t>
        </r>
        <r>
          <rPr>
            <sz val="9"/>
            <color indexed="81"/>
            <rFont val="Tahoma"/>
            <family val="2"/>
          </rPr>
          <t xml:space="preserve">
Evidentemente, el número anterior hay que redondearlo hacia arriba y con margen suficiente para posteriormente, en el último de los bloques de cálculo soportar esta cortadura + el bending</t>
        </r>
      </text>
    </comment>
    <comment ref="C13" authorId="1" shapeId="0" xr:uid="{CC650139-53A9-4397-96D6-D8E846D00C17}">
      <text>
        <r>
          <rPr>
            <b/>
            <sz val="9"/>
            <color indexed="81"/>
            <rFont val="Tahoma"/>
            <family val="2"/>
          </rPr>
          <t>Berninches Pintado, Marina [ES]:</t>
        </r>
        <r>
          <rPr>
            <sz val="9"/>
            <color indexed="81"/>
            <rFont val="Tahoma"/>
            <family val="2"/>
          </rPr>
          <t xml:space="preserve">
60% de la carga</t>
        </r>
      </text>
    </comment>
    <comment ref="B73" authorId="0" shapeId="0" xr:uid="{C8581D89-F89A-4128-ACAC-3919431FD18E}">
      <text>
        <r>
          <rPr>
            <b/>
            <sz val="9"/>
            <color indexed="81"/>
            <rFont val="Tahoma"/>
            <family val="2"/>
          </rPr>
          <t>Ortiz Soriano, Andres Javier [ES]:</t>
        </r>
        <r>
          <rPr>
            <sz val="9"/>
            <color indexed="81"/>
            <rFont val="Tahoma"/>
            <family val="2"/>
          </rPr>
          <t xml:space="preserve">
No se usa
</t>
        </r>
      </text>
    </comment>
    <comment ref="B74" authorId="0" shapeId="0" xr:uid="{11CFD75F-9D12-452D-9D6E-FADC49C67EFB}">
      <text>
        <r>
          <rPr>
            <b/>
            <sz val="9"/>
            <color indexed="81"/>
            <rFont val="Tahoma"/>
            <family val="2"/>
          </rPr>
          <t>Ortiz Soriano, Andres Javier [ES]:</t>
        </r>
        <r>
          <rPr>
            <sz val="9"/>
            <color indexed="81"/>
            <rFont val="Tahoma"/>
            <family val="2"/>
          </rPr>
          <t xml:space="preserve">
Ojo con esta celda. Aquí hay que poner el 100% de la carga, es decir, la carga de la orejeta macho porque en las siguientes celdas se divide entre 2 porque se analiza digamos medio pin</t>
        </r>
      </text>
    </comment>
    <comment ref="C77" authorId="0" shapeId="0" xr:uid="{21B8ED82-A985-4567-9C88-625FBB39905B}">
      <text>
        <r>
          <rPr>
            <b/>
            <sz val="9"/>
            <color indexed="81"/>
            <rFont val="Tahoma"/>
            <family val="2"/>
          </rPr>
          <t>Ortiz Soriano, Andres Javier [ES]:</t>
        </r>
        <r>
          <rPr>
            <sz val="9"/>
            <color indexed="81"/>
            <rFont val="Tahoma"/>
            <family val="2"/>
          </rPr>
          <t xml:space="preserve">
Viene de la tabla C3.2 del Bruhn</t>
        </r>
      </text>
    </comment>
    <comment ref="C78" authorId="0" shapeId="0" xr:uid="{808DA678-1675-4BC5-842F-0F280095F1B3}">
      <text>
        <r>
          <rPr>
            <b/>
            <sz val="9"/>
            <color indexed="81"/>
            <rFont val="Tahoma"/>
            <family val="2"/>
          </rPr>
          <t>Ortiz Soriano, Andres Javier [ES]:</t>
        </r>
        <r>
          <rPr>
            <sz val="9"/>
            <color indexed="81"/>
            <rFont val="Tahoma"/>
            <family val="2"/>
          </rPr>
          <t xml:space="preserve">
Admisible de Cozzone. Esta es la tensión lineal elástica tal que produce Ftu en la fibra extrema.</t>
        </r>
      </text>
    </comment>
  </commentList>
</comments>
</file>

<file path=xl/sharedStrings.xml><?xml version="1.0" encoding="utf-8"?>
<sst xmlns="http://schemas.openxmlformats.org/spreadsheetml/2006/main" count="161" uniqueCount="112">
  <si>
    <t>Code</t>
  </si>
  <si>
    <t>Specification</t>
  </si>
  <si>
    <t>Mat</t>
  </si>
  <si>
    <t>Type</t>
  </si>
  <si>
    <t>Treat</t>
  </si>
  <si>
    <t>thick1</t>
  </si>
  <si>
    <t>thick2</t>
  </si>
  <si>
    <t>Basis</t>
  </si>
  <si>
    <t>Dir</t>
  </si>
  <si>
    <t>Ftu</t>
  </si>
  <si>
    <t>Fty</t>
  </si>
  <si>
    <t>Fcy</t>
  </si>
  <si>
    <t>Fsu</t>
  </si>
  <si>
    <t>Fbru
(e/D=1.5)</t>
  </si>
  <si>
    <t>Fbru
(e/D=2.0)</t>
  </si>
  <si>
    <t>Fbry
(e/D=1.5)</t>
  </si>
  <si>
    <t>Fbry
(e/D=2.0)</t>
  </si>
  <si>
    <t>e</t>
  </si>
  <si>
    <t>Et</t>
  </si>
  <si>
    <t>Ec</t>
  </si>
  <si>
    <t>G</t>
  </si>
  <si>
    <t>nu</t>
  </si>
  <si>
    <t>alfa</t>
  </si>
  <si>
    <t>Sheet</t>
  </si>
  <si>
    <t>T3</t>
  </si>
  <si>
    <t>A</t>
  </si>
  <si>
    <t>L</t>
  </si>
  <si>
    <t>-</t>
  </si>
  <si>
    <t>Plate</t>
  </si>
  <si>
    <t>T7451</t>
  </si>
  <si>
    <t>AIMS_02-04-002</t>
  </si>
  <si>
    <t>CuNi15Sn8</t>
  </si>
  <si>
    <t>Bar</t>
  </si>
  <si>
    <t>TX00</t>
  </si>
  <si>
    <t>D15</t>
  </si>
  <si>
    <t>D108</t>
  </si>
  <si>
    <t>AMS 5659</t>
  </si>
  <si>
    <t>15-5PH</t>
  </si>
  <si>
    <t>H1025</t>
  </si>
  <si>
    <t>LT</t>
  </si>
  <si>
    <t>B</t>
  </si>
  <si>
    <t>SHEAR PIN NLG_drag</t>
  </si>
  <si>
    <t>Fsu [Mpa]</t>
  </si>
  <si>
    <t>F [N]</t>
  </si>
  <si>
    <t>FF</t>
  </si>
  <si>
    <t>Area [mm^2]</t>
  </si>
  <si>
    <t>Diameter</t>
  </si>
  <si>
    <t>Sizing --&gt;</t>
  </si>
  <si>
    <t>*lo que está en maqueta</t>
  </si>
  <si>
    <t>FEMALE LUG NLG_drag</t>
  </si>
  <si>
    <r>
      <t>F</t>
    </r>
    <r>
      <rPr>
        <vertAlign val="subscript"/>
        <sz val="11"/>
        <color theme="1"/>
        <rFont val="Calibri"/>
        <family val="2"/>
        <scheme val="minor"/>
      </rPr>
      <t>UL</t>
    </r>
  </si>
  <si>
    <t>Beta (Lug tappered angle)</t>
  </si>
  <si>
    <t>Theta (Load angle)</t>
  </si>
  <si>
    <t>D (Lug diameter)</t>
  </si>
  <si>
    <t>*bulón+ casquillos de CRESS y  de bronce</t>
  </si>
  <si>
    <t>t (Lug Thickness)</t>
  </si>
  <si>
    <t>r (Lug radius)</t>
  </si>
  <si>
    <t>a (Lug eccentricity)</t>
  </si>
  <si>
    <t>W (Lug width)</t>
  </si>
  <si>
    <t>2r/d</t>
  </si>
  <si>
    <r>
      <t>Ktb (</t>
    </r>
    <r>
      <rPr>
        <sz val="11"/>
        <color theme="1"/>
        <rFont val="Calibri"/>
        <family val="2"/>
      </rPr>
      <t>β=0 / θ=0)</t>
    </r>
  </si>
  <si>
    <r>
      <t>Ktb (</t>
    </r>
    <r>
      <rPr>
        <sz val="11"/>
        <color theme="1"/>
        <rFont val="Calibri"/>
        <family val="2"/>
      </rPr>
      <t>β=0 / θ=90)</t>
    </r>
  </si>
  <si>
    <r>
      <t>Ktb (</t>
    </r>
    <r>
      <rPr>
        <sz val="11"/>
        <color theme="1"/>
        <rFont val="Calibri"/>
        <family val="2"/>
      </rPr>
      <t>β=0;θ)</t>
    </r>
  </si>
  <si>
    <r>
      <t>Ktb (</t>
    </r>
    <r>
      <rPr>
        <sz val="11"/>
        <color theme="1"/>
        <rFont val="Calibri"/>
        <family val="2"/>
      </rPr>
      <t>β=45;θ)</t>
    </r>
  </si>
  <si>
    <r>
      <t>Ktb (</t>
    </r>
    <r>
      <rPr>
        <sz val="11"/>
        <color theme="1"/>
        <rFont val="Calibri"/>
        <family val="2"/>
      </rPr>
      <t>β;θ)</t>
    </r>
  </si>
  <si>
    <t>a/r</t>
  </si>
  <si>
    <t>H(θ=0)</t>
  </si>
  <si>
    <t>H(θ=45)</t>
  </si>
  <si>
    <t>H(θ=90)</t>
  </si>
  <si>
    <t>H(θ)</t>
  </si>
  <si>
    <t>Ktb</t>
  </si>
  <si>
    <r>
      <t>K</t>
    </r>
    <r>
      <rPr>
        <vertAlign val="subscript"/>
        <sz val="11"/>
        <color theme="1"/>
        <rFont val="Calibri"/>
        <family val="2"/>
        <scheme val="minor"/>
      </rPr>
      <t>BR</t>
    </r>
  </si>
  <si>
    <r>
      <t>P</t>
    </r>
    <r>
      <rPr>
        <vertAlign val="subscript"/>
        <sz val="11"/>
        <color theme="1"/>
        <rFont val="Calibri"/>
        <family val="2"/>
        <scheme val="minor"/>
      </rPr>
      <t>ultimate</t>
    </r>
  </si>
  <si>
    <t>RF</t>
  </si>
  <si>
    <t>FEMALE LUG NLG_before nerves</t>
  </si>
  <si>
    <t>Force Lateral</t>
  </si>
  <si>
    <t>Distance (arm)</t>
  </si>
  <si>
    <t>Bending Moment</t>
  </si>
  <si>
    <t>Inertia</t>
  </si>
  <si>
    <t>Sigma (Bending)</t>
  </si>
  <si>
    <t>Force Axial --&gt; Z</t>
  </si>
  <si>
    <t>Area Axial</t>
  </si>
  <si>
    <t>Sigma (Axial)</t>
  </si>
  <si>
    <t>Force (transversal --&gt; X)</t>
  </si>
  <si>
    <t>Bending Moment (vertical)</t>
  </si>
  <si>
    <t>Inertia (vertical)</t>
  </si>
  <si>
    <t>Sigma (Bending, transversal))</t>
  </si>
  <si>
    <t>Sigma TOTAL</t>
  </si>
  <si>
    <t>Shear-bending pin analysis</t>
  </si>
  <si>
    <t>NAS6712</t>
  </si>
  <si>
    <t>Pultima-admisibles ultimos</t>
  </si>
  <si>
    <t>Pin diameter</t>
  </si>
  <si>
    <t>Gap</t>
  </si>
  <si>
    <t>Female Lug distance betw lugs</t>
  </si>
  <si>
    <t>*3DX</t>
  </si>
  <si>
    <t>Male Lug thickness</t>
  </si>
  <si>
    <t>Female Lug thickness</t>
  </si>
  <si>
    <t>Pin area</t>
  </si>
  <si>
    <t>Pin inertia</t>
  </si>
  <si>
    <t>Arm</t>
  </si>
  <si>
    <t>Ftu (pin)</t>
  </si>
  <si>
    <t>Fty (pin)</t>
  </si>
  <si>
    <t>Fsu (pin)</t>
  </si>
  <si>
    <t>Fsy (pin)</t>
  </si>
  <si>
    <t>Applied Load</t>
  </si>
  <si>
    <t>Bending Stress</t>
  </si>
  <si>
    <t>f0 (from Bruhn)</t>
  </si>
  <si>
    <t>Bending allowable (Cozzone)</t>
  </si>
  <si>
    <t>RF bending</t>
  </si>
  <si>
    <t>Shear Stress</t>
  </si>
  <si>
    <t>RF shear</t>
  </si>
  <si>
    <t>RF Bending-Shear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</si>
</sst>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&quot; MPa&quot;"/>
    <numFmt numFmtId="165" formatCode="#,##0.0&quot; N&quot;"/>
    <numFmt numFmtId="166" formatCode="#,##0.0&quot; mm²&quot;"/>
    <numFmt numFmtId="167" formatCode="#,##0.0&quot; mm&quot;"/>
    <numFmt numFmtId="168" formatCode="#,##0&quot; °&quot;"/>
    <numFmt numFmtId="169" formatCode="0.0000"/>
    <numFmt numFmtId="170" formatCode="#,##0.0&quot; N·mm&quot;"/>
    <numFmt numFmtId="171" formatCode="#,##0.0&quot; mm⁴&quot;"/>
    <numFmt numFmtId="172" formatCode="#,##0.0&quot; MPa&quot;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  <family val="2"/>
    </font>
    <font>
      <sz val="11"/>
      <color rgb="FF3333FF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lightUp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/>
    <xf numFmtId="164" fontId="4" fillId="2" borderId="4" xfId="0" applyNumberFormat="1" applyFont="1" applyFill="1" applyBorder="1" applyAlignment="1">
      <alignment horizontal="right" vertical="center"/>
    </xf>
    <xf numFmtId="165" fontId="6" fillId="2" borderId="4" xfId="1" applyNumberFormat="1" applyFont="1" applyFill="1" applyBorder="1" applyAlignment="1">
      <alignment horizontal="right"/>
    </xf>
    <xf numFmtId="2" fontId="4" fillId="2" borderId="4" xfId="1" applyNumberFormat="1" applyFont="1" applyFill="1" applyBorder="1" applyAlignment="1">
      <alignment horizontal="right"/>
    </xf>
    <xf numFmtId="166" fontId="0" fillId="0" borderId="4" xfId="0" applyNumberFormat="1" applyBorder="1"/>
    <xf numFmtId="167" fontId="7" fillId="0" borderId="4" xfId="0" applyNumberFormat="1" applyFont="1" applyBorder="1" applyAlignment="1">
      <alignment horizontal="right" vertical="center"/>
    </xf>
    <xf numFmtId="0" fontId="0" fillId="0" borderId="5" xfId="0" applyBorder="1"/>
    <xf numFmtId="167" fontId="4" fillId="2" borderId="6" xfId="0" applyNumberFormat="1" applyFont="1" applyFill="1" applyBorder="1" applyAlignment="1">
      <alignment horizontal="right" vertical="center"/>
    </xf>
    <xf numFmtId="0" fontId="1" fillId="0" borderId="0" xfId="0" applyFont="1"/>
    <xf numFmtId="2" fontId="4" fillId="2" borderId="4" xfId="0" applyNumberFormat="1" applyFont="1" applyFill="1" applyBorder="1" applyAlignment="1">
      <alignment horizontal="right" vertical="center"/>
    </xf>
    <xf numFmtId="168" fontId="9" fillId="2" borderId="4" xfId="0" applyNumberFormat="1" applyFont="1" applyFill="1" applyBorder="1" applyAlignment="1">
      <alignment horizontal="right" vertical="center"/>
    </xf>
    <xf numFmtId="168" fontId="4" fillId="2" borderId="4" xfId="0" applyNumberFormat="1" applyFont="1" applyFill="1" applyBorder="1" applyAlignment="1">
      <alignment horizontal="right" vertical="center"/>
    </xf>
    <xf numFmtId="167" fontId="1" fillId="0" borderId="4" xfId="0" applyNumberFormat="1" applyFont="1" applyBorder="1" applyAlignment="1">
      <alignment horizontal="right" vertical="center"/>
    </xf>
    <xf numFmtId="167" fontId="4" fillId="2" borderId="4" xfId="0" applyNumberFormat="1" applyFont="1" applyFill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169" fontId="0" fillId="0" borderId="4" xfId="0" applyNumberFormat="1" applyBorder="1"/>
    <xf numFmtId="169" fontId="0" fillId="3" borderId="4" xfId="0" applyNumberFormat="1" applyFill="1" applyBorder="1"/>
    <xf numFmtId="165" fontId="7" fillId="4" borderId="4" xfId="0" applyNumberFormat="1" applyFont="1" applyFill="1" applyBorder="1" applyAlignment="1">
      <alignment horizontal="right" vertical="center"/>
    </xf>
    <xf numFmtId="2" fontId="0" fillId="5" borderId="6" xfId="0" applyNumberFormat="1" applyFill="1" applyBorder="1"/>
    <xf numFmtId="0" fontId="0" fillId="0" borderId="1" xfId="0" applyBorder="1"/>
    <xf numFmtId="165" fontId="6" fillId="2" borderId="2" xfId="1" applyNumberFormat="1" applyFont="1" applyFill="1" applyBorder="1" applyAlignment="1">
      <alignment horizontal="right"/>
    </xf>
    <xf numFmtId="167" fontId="4" fillId="0" borderId="4" xfId="0" applyNumberFormat="1" applyFont="1" applyBorder="1" applyAlignment="1">
      <alignment horizontal="right" vertical="center"/>
    </xf>
    <xf numFmtId="170" fontId="0" fillId="0" borderId="4" xfId="0" applyNumberFormat="1" applyBorder="1"/>
    <xf numFmtId="167" fontId="0" fillId="0" borderId="4" xfId="0" applyNumberFormat="1" applyBorder="1"/>
    <xf numFmtId="171" fontId="0" fillId="0" borderId="4" xfId="0" applyNumberFormat="1" applyBorder="1"/>
    <xf numFmtId="0" fontId="0" fillId="0" borderId="9" xfId="0" applyBorder="1"/>
    <xf numFmtId="172" fontId="2" fillId="0" borderId="10" xfId="0" applyNumberFormat="1" applyFont="1" applyBorder="1"/>
    <xf numFmtId="0" fontId="0" fillId="0" borderId="11" xfId="0" applyBorder="1"/>
    <xf numFmtId="165" fontId="6" fillId="2" borderId="12" xfId="1" applyNumberFormat="1" applyFont="1" applyFill="1" applyBorder="1" applyAlignment="1">
      <alignment horizontal="right"/>
    </xf>
    <xf numFmtId="172" fontId="2" fillId="0" borderId="2" xfId="0" applyNumberFormat="1" applyFont="1" applyBorder="1"/>
    <xf numFmtId="0" fontId="0" fillId="6" borderId="5" xfId="0" applyFill="1" applyBorder="1"/>
    <xf numFmtId="2" fontId="0" fillId="6" borderId="6" xfId="0" applyNumberFormat="1" applyFill="1" applyBorder="1"/>
    <xf numFmtId="0" fontId="2" fillId="0" borderId="0" xfId="0" applyFont="1"/>
    <xf numFmtId="0" fontId="0" fillId="0" borderId="13" xfId="0" applyBorder="1"/>
    <xf numFmtId="167" fontId="7" fillId="0" borderId="13" xfId="0" applyNumberFormat="1" applyFont="1" applyBorder="1" applyAlignment="1">
      <alignment horizontal="right" vertical="center"/>
    </xf>
    <xf numFmtId="167" fontId="4" fillId="2" borderId="13" xfId="0" applyNumberFormat="1" applyFont="1" applyFill="1" applyBorder="1" applyAlignment="1">
      <alignment horizontal="right" vertical="center"/>
    </xf>
    <xf numFmtId="166" fontId="0" fillId="0" borderId="13" xfId="0" applyNumberFormat="1" applyBorder="1"/>
    <xf numFmtId="171" fontId="0" fillId="0" borderId="13" xfId="0" applyNumberFormat="1" applyBorder="1"/>
    <xf numFmtId="172" fontId="4" fillId="2" borderId="13" xfId="0" applyNumberFormat="1" applyFont="1" applyFill="1" applyBorder="1"/>
    <xf numFmtId="172" fontId="7" fillId="7" borderId="13" xfId="0" applyNumberFormat="1" applyFont="1" applyFill="1" applyBorder="1"/>
    <xf numFmtId="165" fontId="7" fillId="0" borderId="13" xfId="1" applyNumberFormat="1" applyFont="1" applyBorder="1" applyAlignment="1">
      <alignment horizontal="right"/>
    </xf>
    <xf numFmtId="170" fontId="7" fillId="0" borderId="13" xfId="0" applyNumberFormat="1" applyFont="1" applyBorder="1" applyAlignment="1">
      <alignment horizontal="right" vertical="center"/>
    </xf>
    <xf numFmtId="172" fontId="7" fillId="0" borderId="13" xfId="0" applyNumberFormat="1" applyFont="1" applyBorder="1" applyAlignment="1">
      <alignment horizontal="right" vertical="center"/>
    </xf>
    <xf numFmtId="0" fontId="0" fillId="6" borderId="13" xfId="0" applyFill="1" applyBorder="1"/>
    <xf numFmtId="2" fontId="7" fillId="6" borderId="13" xfId="0" applyNumberFormat="1" applyFont="1" applyFill="1" applyBorder="1"/>
    <xf numFmtId="2" fontId="0" fillId="6" borderId="13" xfId="0" applyNumberFormat="1" applyFill="1" applyBorder="1"/>
    <xf numFmtId="2" fontId="7" fillId="0" borderId="13" xfId="1" applyNumberFormat="1" applyFont="1" applyBorder="1" applyAlignment="1">
      <alignment horizontal="right"/>
    </xf>
  </cellXfs>
  <cellStyles count="2">
    <cellStyle name="Normal" xfId="0" builtinId="0"/>
    <cellStyle name="Normal 2 10 2" xfId="1" xr:uid="{8E5B9627-2DAF-42F6-8585-74F325D7DEF0}"/>
  </cellStyles>
  <dxfs count="25">
    <dxf>
      <font>
        <color rgb="FFFF0000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423864</xdr:colOff>
      <xdr:row>62</xdr:row>
      <xdr:rowOff>38099</xdr:rowOff>
    </xdr:from>
    <xdr:to>
      <xdr:col>11</xdr:col>
      <xdr:colOff>16246</xdr:colOff>
      <xdr:row>83</xdr:row>
      <xdr:rowOff>107715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C2142D-1531-4B4D-A5AC-4A3DAF130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14864" y="12049124"/>
          <a:ext cx="4926382" cy="407011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12</xdr:col>
      <xdr:colOff>352425</xdr:colOff>
      <xdr:row>22</xdr:row>
      <xdr:rowOff>3303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6CE37B-60D9-4B11-9FF5-CDFDDBD54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0" y="390525"/>
          <a:ext cx="4162425" cy="3870453"/>
        </a:xfrm>
        <a:prstGeom prst="rect">
          <a:avLst/>
        </a:prstGeom>
      </xdr:spPr>
    </xdr:pic>
    <xdr:clientData/>
  </xdr:twoCellAnchor>
  <xdr:twoCellAnchor editAs="oneCell">
    <xdr:from>
      <xdr:col>10</xdr:col>
      <xdr:colOff>150058</xdr:colOff>
      <xdr:row>18</xdr:row>
      <xdr:rowOff>80282</xdr:rowOff>
    </xdr:from>
    <xdr:to>
      <xdr:col>15</xdr:col>
      <xdr:colOff>323850</xdr:colOff>
      <xdr:row>30</xdr:row>
      <xdr:rowOff>1007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370748-FE38-413E-94D3-7BB17CF5D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3058" y="3575957"/>
          <a:ext cx="3983792" cy="2206725"/>
        </a:xfrm>
        <a:prstGeom prst="rect">
          <a:avLst/>
        </a:prstGeom>
      </xdr:spPr>
    </xdr:pic>
    <xdr:clientData/>
  </xdr:twoCellAnchor>
  <xdr:twoCellAnchor editAs="oneCell">
    <xdr:from>
      <xdr:col>7</xdr:col>
      <xdr:colOff>81644</xdr:colOff>
      <xdr:row>30</xdr:row>
      <xdr:rowOff>148319</xdr:rowOff>
    </xdr:from>
    <xdr:to>
      <xdr:col>11</xdr:col>
      <xdr:colOff>278852</xdr:colOff>
      <xdr:row>46</xdr:row>
      <xdr:rowOff>7118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242221-48F4-40D2-BF57-F2C8AB58D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8644" y="5929994"/>
          <a:ext cx="3245208" cy="3011574"/>
        </a:xfrm>
        <a:prstGeom prst="rect">
          <a:avLst/>
        </a:prstGeom>
      </xdr:spPr>
    </xdr:pic>
    <xdr:clientData/>
  </xdr:twoCellAnchor>
  <xdr:twoCellAnchor editAs="oneCell">
    <xdr:from>
      <xdr:col>5</xdr:col>
      <xdr:colOff>321872</xdr:colOff>
      <xdr:row>45</xdr:row>
      <xdr:rowOff>98531</xdr:rowOff>
    </xdr:from>
    <xdr:to>
      <xdr:col>9</xdr:col>
      <xdr:colOff>727969</xdr:colOff>
      <xdr:row>62</xdr:row>
      <xdr:rowOff>23532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579460A-0EA9-4F6B-8F5D-8FF0C0FAF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74872" y="8842481"/>
          <a:ext cx="3454097" cy="3192076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0</xdr:row>
      <xdr:rowOff>0</xdr:rowOff>
    </xdr:from>
    <xdr:to>
      <xdr:col>28</xdr:col>
      <xdr:colOff>105470</xdr:colOff>
      <xdr:row>25</xdr:row>
      <xdr:rowOff>174170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F91AE1-B6A0-46A4-85CE-C7C226CDA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92150" y="0"/>
          <a:ext cx="9192320" cy="500334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17</xdr:col>
      <xdr:colOff>54321</xdr:colOff>
      <xdr:row>46</xdr:row>
      <xdr:rowOff>107237</xdr:rowOff>
    </xdr:to>
    <xdr:pic>
      <xdr:nvPicPr>
        <xdr:cNvPr id="8" name="4 Imagen">
          <a:extLst>
            <a:ext uri="{FF2B5EF4-FFF2-40B4-BE49-F238E27FC236}">
              <a16:creationId xmlns:a16="http://schemas.microsoft.com/office/drawing/2014/main" id="{FD69D8EC-B3F2-4208-9EDB-C040AAF45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87000" y="6734175"/>
          <a:ext cx="3864321" cy="23075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3C270-6F51-4F69-857C-8B9139003A35}" name="Materials" displayName="Materials" ref="A1:W10" totalsRowShown="0" headerRowDxfId="24" dataDxfId="23">
  <autoFilter ref="A1:W10" xr:uid="{970A5DA9-46B3-4D38-94D6-09F5ACA37CD1}"/>
  <tableColumns count="23">
    <tableColumn id="1" xr3:uid="{7466D77A-43C7-46D9-9F4B-49623F2C0225}" name="Code">
      <calculatedColumnFormula>_xlfn.CONCAT(C2,"_",D2,"_",E2,"_",F2,"-",G2,"_",H2,"_",I2)</calculatedColumnFormula>
    </tableColumn>
    <tableColumn id="23" xr3:uid="{F95F5F9C-8217-4D48-B2D0-E60DDD93D22C}" name="Specification" dataDxfId="22"/>
    <tableColumn id="2" xr3:uid="{A2E6EC13-1E9E-406D-AA27-FBB6761368EB}" name="Mat" dataDxfId="21"/>
    <tableColumn id="3" xr3:uid="{F3F10C23-ADCC-491B-AD9D-5877153D0CFD}" name="Type" dataDxfId="20"/>
    <tableColumn id="4" xr3:uid="{84AC47FC-A9A8-4A59-B969-218C0B116592}" name="Treat" dataDxfId="19"/>
    <tableColumn id="5" xr3:uid="{844CE9C2-37D6-4328-B589-1DDD178AEB6E}" name="thick1" dataDxfId="18"/>
    <tableColumn id="6" xr3:uid="{6A227379-FA7B-4D24-954D-170327087AF3}" name="thick2" dataDxfId="17"/>
    <tableColumn id="7" xr3:uid="{B79DA6FD-AF7E-4389-A93A-FD798AA84D39}" name="Basis" dataDxfId="16"/>
    <tableColumn id="8" xr3:uid="{2CC11E45-BFF4-4ED0-AAE3-2DC3FCE4B6F8}" name="Dir" dataDxfId="15"/>
    <tableColumn id="9" xr3:uid="{00DCD44E-446B-4BC6-9EF0-3F2C994F24DD}" name="Ftu" dataDxfId="14"/>
    <tableColumn id="10" xr3:uid="{71684485-2026-4BCD-AEB2-2DEA917D66DD}" name="Fty" dataDxfId="13"/>
    <tableColumn id="11" xr3:uid="{69DABCFC-DFEC-42D8-A365-CF26FAE0EAD2}" name="Fcy" dataDxfId="12"/>
    <tableColumn id="12" xr3:uid="{169E7AFF-1076-4C3E-A815-0D432D7886BE}" name="Fsu" dataDxfId="11"/>
    <tableColumn id="13" xr3:uid="{F4B3884A-3130-45FC-A837-61D78B180684}" name="Fbru_x000a_(e/D=1.5)" dataDxfId="10"/>
    <tableColumn id="14" xr3:uid="{C221760D-7B5D-48C7-B03F-6846BEFA4AF5}" name="Fbru_x000a_(e/D=2.0)" dataDxfId="9"/>
    <tableColumn id="15" xr3:uid="{6EC02828-81B4-4152-AF84-77BD2F6D2DAB}" name="Fbry_x000a_(e/D=1.5)" dataDxfId="8"/>
    <tableColumn id="16" xr3:uid="{4A746835-F263-4526-BC0F-41F7A20A7AE9}" name="Fbry_x000a_(e/D=2.0)" dataDxfId="7"/>
    <tableColumn id="17" xr3:uid="{8313E84E-FD70-4E9B-90A3-C2D271FB29F2}" name="e" dataDxfId="6"/>
    <tableColumn id="18" xr3:uid="{34BCC771-CA08-4DCD-BF10-1B1A784C022D}" name="Et" dataDxfId="5"/>
    <tableColumn id="19" xr3:uid="{64A8FAB5-A4A8-4BFB-B45B-F0FE556952F1}" name="Ec" dataDxfId="4"/>
    <tableColumn id="20" xr3:uid="{00895337-3504-4CA8-A729-9370A2F22555}" name="G" dataDxfId="3"/>
    <tableColumn id="21" xr3:uid="{B5D910D9-8B53-44E2-8845-F5CE18D87E68}" name="nu" dataDxfId="2"/>
    <tableColumn id="22" xr3:uid="{929935D1-7ECF-44A2-B50E-4C70A99434E8}" name="alf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CA38-5130-48F4-9A0D-E8DE481CA23E}">
  <dimension ref="A1"/>
  <sheetViews>
    <sheetView tabSelected="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F629-544A-4919-851D-45159232F771}">
  <sheetPr>
    <tabColor theme="9" tint="-0.249977111117893"/>
  </sheetPr>
  <dimension ref="A1:W10"/>
  <sheetViews>
    <sheetView topLeftCell="C1" workbookViewId="0">
      <selection activeCell="D84" sqref="D84"/>
    </sheetView>
  </sheetViews>
  <sheetFormatPr baseColWidth="10" defaultRowHeight="15" x14ac:dyDescent="0.25"/>
  <cols>
    <col min="1" max="1" width="33.42578125" bestFit="1" customWidth="1"/>
    <col min="2" max="2" width="30" customWidth="1"/>
    <col min="7" max="7" width="12" customWidth="1"/>
    <col min="13" max="13" width="13.7109375" bestFit="1" customWidth="1"/>
    <col min="17" max="17" width="13.7109375" bestFit="1" customWidth="1"/>
  </cols>
  <sheetData>
    <row r="1" spans="1:2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3" t="str">
        <f>_xlfn.CONCAT(C2,"_",D2,"_",E2,"_",F2,"-",G2,"_",H2,"_",I2)</f>
        <v>2024_Sheet_T3_0,53-3,251_A_L</v>
      </c>
      <c r="B2" s="3"/>
      <c r="C2" s="4">
        <v>2024</v>
      </c>
      <c r="D2" s="4" t="s">
        <v>23</v>
      </c>
      <c r="E2" s="4" t="s">
        <v>24</v>
      </c>
      <c r="F2" s="4">
        <v>0.53</v>
      </c>
      <c r="G2" s="4">
        <v>3.2509999999999999</v>
      </c>
      <c r="H2" s="4" t="s">
        <v>25</v>
      </c>
      <c r="I2" s="4" t="s">
        <v>26</v>
      </c>
      <c r="J2" s="4">
        <v>441.3</v>
      </c>
      <c r="K2" s="4">
        <v>324.10000000000002</v>
      </c>
      <c r="L2" s="4">
        <v>268.89999999999998</v>
      </c>
      <c r="M2" s="4">
        <v>268.89999999999998</v>
      </c>
      <c r="N2" s="4">
        <v>717.1</v>
      </c>
      <c r="O2" s="4">
        <v>889.4</v>
      </c>
      <c r="P2" s="4">
        <v>503.3</v>
      </c>
      <c r="Q2" s="4">
        <v>606.70000000000005</v>
      </c>
      <c r="R2" s="4" t="s">
        <v>27</v>
      </c>
      <c r="S2" s="4">
        <v>72395</v>
      </c>
      <c r="T2" s="4">
        <v>73774</v>
      </c>
      <c r="U2" s="4">
        <v>27579</v>
      </c>
      <c r="V2" s="4">
        <v>0.33</v>
      </c>
      <c r="W2" s="5">
        <v>2.2500000000000001E-5</v>
      </c>
    </row>
    <row r="3" spans="1:23" x14ac:dyDescent="0.25">
      <c r="A3" s="3" t="str">
        <f t="shared" ref="A3:A10" si="0">_xlfn.CONCAT(C3,"_",D3,"_",E3,"_",F3,"-",G3,"_",H3,"_",I3)</f>
        <v>7050_Plate_T7451_6,35-38,1_A_L</v>
      </c>
      <c r="B3" s="3"/>
      <c r="C3" s="4">
        <v>7050</v>
      </c>
      <c r="D3" s="4" t="s">
        <v>28</v>
      </c>
      <c r="E3" s="4" t="s">
        <v>29</v>
      </c>
      <c r="F3" s="4">
        <v>6.35</v>
      </c>
      <c r="G3" s="4">
        <v>38.1</v>
      </c>
      <c r="H3" s="4" t="s">
        <v>25</v>
      </c>
      <c r="I3" s="4" t="s">
        <v>26</v>
      </c>
      <c r="J3" s="4">
        <v>517.1</v>
      </c>
      <c r="K3" s="4">
        <v>448.2</v>
      </c>
      <c r="L3" s="4">
        <v>434.4</v>
      </c>
      <c r="M3" s="4">
        <v>296.5</v>
      </c>
      <c r="N3" s="4">
        <v>737.7</v>
      </c>
      <c r="O3" s="4">
        <v>965.3</v>
      </c>
      <c r="P3" s="4">
        <v>592.9</v>
      </c>
      <c r="Q3" s="4">
        <v>696.4</v>
      </c>
      <c r="R3" s="4">
        <v>10</v>
      </c>
      <c r="S3" s="4">
        <v>71016</v>
      </c>
      <c r="T3" s="4">
        <v>73084</v>
      </c>
      <c r="U3" s="4">
        <v>26890</v>
      </c>
      <c r="V3" s="4">
        <v>0.33</v>
      </c>
      <c r="W3" s="5">
        <v>2.3E-5</v>
      </c>
    </row>
    <row r="4" spans="1:23" x14ac:dyDescent="0.25">
      <c r="A4" s="3" t="str">
        <f t="shared" si="0"/>
        <v>7050_Plate_T7451_50,83-76,2_A_L</v>
      </c>
      <c r="B4" s="3"/>
      <c r="C4" s="4">
        <v>7050</v>
      </c>
      <c r="D4" s="4" t="s">
        <v>28</v>
      </c>
      <c r="E4" s="4" t="s">
        <v>29</v>
      </c>
      <c r="F4" s="4">
        <v>50.83</v>
      </c>
      <c r="G4" s="4">
        <v>76.2</v>
      </c>
      <c r="H4" s="4" t="s">
        <v>25</v>
      </c>
      <c r="I4" s="4" t="s">
        <v>26</v>
      </c>
      <c r="J4" s="4">
        <v>510.2</v>
      </c>
      <c r="K4" s="4">
        <v>448.2</v>
      </c>
      <c r="L4" s="4">
        <v>420.6</v>
      </c>
      <c r="M4" s="4">
        <v>296.5</v>
      </c>
      <c r="N4" s="4">
        <v>744.6</v>
      </c>
      <c r="O4" s="4">
        <v>972.2</v>
      </c>
      <c r="P4" s="4">
        <v>613.6</v>
      </c>
      <c r="Q4" s="4">
        <v>717.1</v>
      </c>
      <c r="R4" s="4">
        <v>9</v>
      </c>
      <c r="S4" s="4">
        <v>71016</v>
      </c>
      <c r="T4" s="4">
        <v>73084</v>
      </c>
      <c r="U4" s="4">
        <v>26890</v>
      </c>
      <c r="V4" s="4">
        <v>0.33</v>
      </c>
      <c r="W4" s="5">
        <v>2.3E-5</v>
      </c>
    </row>
    <row r="5" spans="1:23" x14ac:dyDescent="0.25">
      <c r="A5" s="3" t="str">
        <f t="shared" si="0"/>
        <v>7050_Plate_T7451_76,2-101,6_A_L</v>
      </c>
      <c r="B5" s="3"/>
      <c r="C5" s="4">
        <v>7050</v>
      </c>
      <c r="D5" s="4" t="s">
        <v>28</v>
      </c>
      <c r="E5" s="4" t="s">
        <v>29</v>
      </c>
      <c r="F5" s="4">
        <v>76.2</v>
      </c>
      <c r="G5" s="4">
        <v>101.6</v>
      </c>
      <c r="H5" s="4" t="s">
        <v>25</v>
      </c>
      <c r="I5" s="4" t="s">
        <v>26</v>
      </c>
      <c r="J5" s="4">
        <v>496.4</v>
      </c>
      <c r="K5" s="4">
        <v>434.4</v>
      </c>
      <c r="L5" s="4">
        <v>413.7</v>
      </c>
      <c r="M5" s="4">
        <v>303.39999999999998</v>
      </c>
      <c r="N5" s="4">
        <v>737.7</v>
      </c>
      <c r="O5" s="4">
        <v>965.3</v>
      </c>
      <c r="P5" s="4">
        <v>620.5</v>
      </c>
      <c r="Q5" s="4">
        <v>71.099999999999994</v>
      </c>
      <c r="R5" s="4">
        <v>9</v>
      </c>
      <c r="S5" s="4">
        <v>71016</v>
      </c>
      <c r="T5" s="4">
        <v>73084</v>
      </c>
      <c r="U5" s="4">
        <v>26890</v>
      </c>
      <c r="V5" s="4">
        <v>0.33</v>
      </c>
      <c r="W5" s="5">
        <v>2.3E-5</v>
      </c>
    </row>
    <row r="6" spans="1:23" x14ac:dyDescent="0.25">
      <c r="A6" s="3" t="str">
        <f t="shared" si="0"/>
        <v>CuNi15Sn8_Bar_TX00_D15-D108_A_L</v>
      </c>
      <c r="B6" s="3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25</v>
      </c>
      <c r="I6" s="4" t="s">
        <v>26</v>
      </c>
      <c r="J6" s="4">
        <v>900</v>
      </c>
      <c r="K6" s="4">
        <v>760</v>
      </c>
      <c r="L6" s="4" t="s">
        <v>27</v>
      </c>
      <c r="M6" s="4" t="s">
        <v>27</v>
      </c>
      <c r="N6" s="4">
        <v>1400</v>
      </c>
      <c r="O6" s="4" t="s">
        <v>27</v>
      </c>
      <c r="P6" s="4" t="s">
        <v>27</v>
      </c>
      <c r="Q6" s="4" t="s">
        <v>27</v>
      </c>
      <c r="R6" s="4">
        <v>10</v>
      </c>
      <c r="S6" s="4" t="s">
        <v>27</v>
      </c>
      <c r="T6" s="4" t="s">
        <v>27</v>
      </c>
      <c r="U6" s="4" t="s">
        <v>27</v>
      </c>
      <c r="V6" s="4" t="s">
        <v>27</v>
      </c>
      <c r="W6" s="4" t="s">
        <v>27</v>
      </c>
    </row>
    <row r="7" spans="1:23" x14ac:dyDescent="0.25">
      <c r="A7" s="3" t="str">
        <f t="shared" si="0"/>
        <v>15-5PH_Bar_H1025_0-254_A_L</v>
      </c>
      <c r="B7" s="3" t="s">
        <v>36</v>
      </c>
      <c r="C7" s="4" t="s">
        <v>37</v>
      </c>
      <c r="D7" s="4" t="s">
        <v>32</v>
      </c>
      <c r="E7" s="4" t="s">
        <v>38</v>
      </c>
      <c r="F7" s="4">
        <v>0</v>
      </c>
      <c r="G7" s="4">
        <v>254</v>
      </c>
      <c r="H7" s="4" t="s">
        <v>25</v>
      </c>
      <c r="I7" s="4" t="s">
        <v>26</v>
      </c>
      <c r="J7" s="4">
        <v>1069</v>
      </c>
      <c r="K7" s="4">
        <v>1000</v>
      </c>
      <c r="L7" s="4">
        <v>986</v>
      </c>
      <c r="M7" s="4">
        <v>669</v>
      </c>
      <c r="N7" s="4">
        <v>1813</v>
      </c>
      <c r="O7" s="4">
        <v>2289</v>
      </c>
      <c r="P7" s="4">
        <v>1455</v>
      </c>
      <c r="Q7" s="4">
        <v>1724</v>
      </c>
      <c r="R7" s="4">
        <v>12</v>
      </c>
      <c r="S7" s="4">
        <v>196501</v>
      </c>
      <c r="T7" s="4">
        <v>201327</v>
      </c>
      <c r="U7" s="4">
        <v>77221</v>
      </c>
      <c r="V7" s="4">
        <v>0.27</v>
      </c>
      <c r="W7" s="5">
        <v>9.9999999999999995E-7</v>
      </c>
    </row>
    <row r="8" spans="1:23" x14ac:dyDescent="0.25">
      <c r="A8" s="3" t="str">
        <f t="shared" si="0"/>
        <v>15-5PH_Bar_H1025_0-254_A_LT</v>
      </c>
      <c r="B8" s="3" t="s">
        <v>36</v>
      </c>
      <c r="C8" s="4" t="s">
        <v>37</v>
      </c>
      <c r="D8" s="4" t="s">
        <v>32</v>
      </c>
      <c r="E8" s="4" t="s">
        <v>38</v>
      </c>
      <c r="F8" s="4">
        <v>0</v>
      </c>
      <c r="G8" s="4">
        <v>254</v>
      </c>
      <c r="H8" s="4" t="s">
        <v>25</v>
      </c>
      <c r="I8" s="4" t="s">
        <v>39</v>
      </c>
      <c r="J8" s="4">
        <v>1069</v>
      </c>
      <c r="K8" s="4">
        <v>1000</v>
      </c>
      <c r="L8" s="4">
        <v>986</v>
      </c>
      <c r="M8" s="4">
        <v>669</v>
      </c>
      <c r="N8" s="4">
        <v>1813</v>
      </c>
      <c r="O8" s="4">
        <v>2289</v>
      </c>
      <c r="P8" s="4">
        <v>1455</v>
      </c>
      <c r="Q8" s="4">
        <v>1724</v>
      </c>
      <c r="R8" s="4">
        <v>8</v>
      </c>
      <c r="S8" s="4">
        <v>196501</v>
      </c>
      <c r="T8" s="4">
        <v>201327</v>
      </c>
      <c r="U8" s="4">
        <v>77221</v>
      </c>
      <c r="V8" s="4">
        <v>0.27</v>
      </c>
      <c r="W8" s="5">
        <v>9.9999999999999995E-7</v>
      </c>
    </row>
    <row r="9" spans="1:23" x14ac:dyDescent="0.25">
      <c r="A9" s="3" t="str">
        <f t="shared" si="0"/>
        <v>15-5PH_Bar_H1025_0-254_B_L</v>
      </c>
      <c r="B9" s="3" t="s">
        <v>36</v>
      </c>
      <c r="C9" s="4" t="s">
        <v>37</v>
      </c>
      <c r="D9" s="4" t="s">
        <v>32</v>
      </c>
      <c r="E9" s="4" t="s">
        <v>38</v>
      </c>
      <c r="F9" s="4">
        <v>0</v>
      </c>
      <c r="G9" s="4">
        <v>254</v>
      </c>
      <c r="H9" s="4" t="s">
        <v>40</v>
      </c>
      <c r="I9" s="4" t="s">
        <v>26</v>
      </c>
      <c r="J9" s="4">
        <v>1089</v>
      </c>
      <c r="K9" s="4">
        <v>1048</v>
      </c>
      <c r="L9" s="4">
        <v>1034</v>
      </c>
      <c r="M9" s="4">
        <v>683</v>
      </c>
      <c r="N9" s="4">
        <v>1848</v>
      </c>
      <c r="O9" s="4">
        <v>2337</v>
      </c>
      <c r="P9" s="4">
        <v>1531</v>
      </c>
      <c r="Q9" s="4">
        <v>1813</v>
      </c>
      <c r="R9" s="4">
        <v>12</v>
      </c>
      <c r="S9" s="4">
        <v>196501</v>
      </c>
      <c r="T9" s="4">
        <v>201327</v>
      </c>
      <c r="U9" s="4">
        <v>77221</v>
      </c>
      <c r="V9" s="4">
        <v>0.27</v>
      </c>
      <c r="W9" s="5">
        <v>9.9999999999999995E-7</v>
      </c>
    </row>
    <row r="10" spans="1:23" x14ac:dyDescent="0.25">
      <c r="A10" s="3" t="str">
        <f t="shared" si="0"/>
        <v>15-5PH_Bar_H1025_0-254_B_LT</v>
      </c>
      <c r="B10" s="3" t="s">
        <v>36</v>
      </c>
      <c r="C10" s="4" t="s">
        <v>37</v>
      </c>
      <c r="D10" s="4" t="s">
        <v>32</v>
      </c>
      <c r="E10" s="4" t="s">
        <v>38</v>
      </c>
      <c r="F10" s="4">
        <v>0</v>
      </c>
      <c r="G10" s="4">
        <v>254</v>
      </c>
      <c r="H10" s="4" t="s">
        <v>40</v>
      </c>
      <c r="I10" s="4" t="s">
        <v>39</v>
      </c>
      <c r="J10" s="4">
        <v>1089</v>
      </c>
      <c r="K10" s="4">
        <v>1048</v>
      </c>
      <c r="L10" s="4">
        <v>1034</v>
      </c>
      <c r="M10" s="4">
        <v>683</v>
      </c>
      <c r="N10" s="4">
        <v>1848</v>
      </c>
      <c r="O10" s="4">
        <v>2337</v>
      </c>
      <c r="P10" s="4">
        <v>1531</v>
      </c>
      <c r="Q10" s="4">
        <v>1813</v>
      </c>
      <c r="R10" s="4">
        <v>8</v>
      </c>
      <c r="S10" s="4">
        <v>196501</v>
      </c>
      <c r="T10" s="4">
        <v>201327</v>
      </c>
      <c r="U10" s="4">
        <v>77221</v>
      </c>
      <c r="V10" s="4">
        <v>0.27</v>
      </c>
      <c r="W10" s="5">
        <v>9.9999999999999995E-7</v>
      </c>
    </row>
  </sheetData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DA16-9EF8-45F3-8EE3-00BED82E6EB1}">
  <dimension ref="B2:D83"/>
  <sheetViews>
    <sheetView workbookViewId="0">
      <selection activeCell="M36" sqref="M36"/>
    </sheetView>
  </sheetViews>
  <sheetFormatPr baseColWidth="10" defaultRowHeight="15" x14ac:dyDescent="0.25"/>
  <cols>
    <col min="2" max="2" width="28.5703125" bestFit="1" customWidth="1"/>
  </cols>
  <sheetData>
    <row r="2" spans="2:4" ht="15.75" thickBot="1" x14ac:dyDescent="0.3"/>
    <row r="3" spans="2:4" x14ac:dyDescent="0.25">
      <c r="B3" s="6" t="s">
        <v>41</v>
      </c>
      <c r="C3" s="7"/>
    </row>
    <row r="4" spans="2:4" x14ac:dyDescent="0.25">
      <c r="B4" s="8" t="s">
        <v>42</v>
      </c>
      <c r="C4" s="9">
        <v>668.8</v>
      </c>
    </row>
    <row r="5" spans="2:4" x14ac:dyDescent="0.25">
      <c r="B5" s="8" t="s">
        <v>43</v>
      </c>
      <c r="C5" s="10">
        <v>6235.3796447123314</v>
      </c>
    </row>
    <row r="6" spans="2:4" x14ac:dyDescent="0.25">
      <c r="B6" s="8" t="s">
        <v>44</v>
      </c>
      <c r="C6" s="11">
        <v>1.1499999999999999</v>
      </c>
    </row>
    <row r="7" spans="2:4" x14ac:dyDescent="0.25">
      <c r="B7" s="8" t="s">
        <v>45</v>
      </c>
      <c r="C7" s="12">
        <f>(C5*C6)/C4</f>
        <v>10.721720381906669</v>
      </c>
    </row>
    <row r="8" spans="2:4" x14ac:dyDescent="0.25">
      <c r="B8" s="8" t="s">
        <v>46</v>
      </c>
      <c r="C8" s="13">
        <f>SQRT((C7*4)/PI())</f>
        <v>3.6947690560895095</v>
      </c>
    </row>
    <row r="9" spans="2:4" ht="15.75" thickBot="1" x14ac:dyDescent="0.3">
      <c r="B9" s="14" t="s">
        <v>47</v>
      </c>
      <c r="C9" s="15">
        <v>7.9</v>
      </c>
      <c r="D9" s="16" t="s">
        <v>48</v>
      </c>
    </row>
    <row r="11" spans="2:4" ht="15.75" thickBot="1" x14ac:dyDescent="0.3"/>
    <row r="12" spans="2:4" x14ac:dyDescent="0.25">
      <c r="B12" s="6" t="s">
        <v>49</v>
      </c>
      <c r="C12" s="7"/>
    </row>
    <row r="13" spans="2:4" ht="18" x14ac:dyDescent="0.35">
      <c r="B13" s="8" t="s">
        <v>50</v>
      </c>
      <c r="C13" s="10">
        <f>C5*0.6</f>
        <v>3741.2277868273986</v>
      </c>
    </row>
    <row r="14" spans="2:4" x14ac:dyDescent="0.25">
      <c r="B14" s="8" t="s">
        <v>44</v>
      </c>
      <c r="C14" s="17">
        <v>1.1499999999999999</v>
      </c>
    </row>
    <row r="15" spans="2:4" x14ac:dyDescent="0.25">
      <c r="B15" s="8" t="s">
        <v>9</v>
      </c>
      <c r="C15" s="9">
        <v>475.7</v>
      </c>
    </row>
    <row r="16" spans="2:4" x14ac:dyDescent="0.25">
      <c r="B16" s="8" t="s">
        <v>51</v>
      </c>
      <c r="C16" s="18">
        <v>0</v>
      </c>
    </row>
    <row r="17" spans="2:4" x14ac:dyDescent="0.25">
      <c r="B17" s="8" t="s">
        <v>52</v>
      </c>
      <c r="C17" s="19">
        <v>90</v>
      </c>
    </row>
    <row r="18" spans="2:4" x14ac:dyDescent="0.25">
      <c r="B18" s="8" t="s">
        <v>53</v>
      </c>
      <c r="C18" s="20">
        <f>C9+L51*2+L72*2</f>
        <v>7.9</v>
      </c>
      <c r="D18" s="16" t="s">
        <v>54</v>
      </c>
    </row>
    <row r="19" spans="2:4" x14ac:dyDescent="0.25">
      <c r="B19" s="8" t="s">
        <v>55</v>
      </c>
      <c r="C19" s="21">
        <v>4</v>
      </c>
    </row>
    <row r="20" spans="2:4" x14ac:dyDescent="0.25">
      <c r="B20" s="8" t="s">
        <v>56</v>
      </c>
      <c r="C20" s="13">
        <f>C22/2</f>
        <v>14</v>
      </c>
    </row>
    <row r="21" spans="2:4" x14ac:dyDescent="0.25">
      <c r="B21" s="8" t="s">
        <v>57</v>
      </c>
      <c r="C21" s="13">
        <f>C22/2</f>
        <v>14</v>
      </c>
    </row>
    <row r="22" spans="2:4" x14ac:dyDescent="0.25">
      <c r="B22" s="8" t="s">
        <v>58</v>
      </c>
      <c r="C22" s="21">
        <v>28</v>
      </c>
    </row>
    <row r="23" spans="2:4" x14ac:dyDescent="0.25">
      <c r="B23" s="22"/>
      <c r="C23" s="23"/>
    </row>
    <row r="24" spans="2:4" x14ac:dyDescent="0.25">
      <c r="B24" s="8" t="s">
        <v>59</v>
      </c>
      <c r="C24" s="24">
        <f>2*C20/C18</f>
        <v>3.5443037974683542</v>
      </c>
    </row>
    <row r="25" spans="2:4" x14ac:dyDescent="0.25">
      <c r="B25" s="8" t="s">
        <v>60</v>
      </c>
      <c r="C25" s="24">
        <f>2.75*((C24-1)^(-0.675))</f>
        <v>1.4641097801277589</v>
      </c>
    </row>
    <row r="26" spans="2:4" x14ac:dyDescent="0.25">
      <c r="B26" s="8" t="s">
        <v>61</v>
      </c>
      <c r="C26" s="24">
        <f>IF(AND(C24&gt;=1.332,C24&lt;=1.723),9.33*((C24)^(-1.667)),7.78*((C24)^(-1.333)))</f>
        <v>1.4403062786866327</v>
      </c>
    </row>
    <row r="27" spans="2:4" x14ac:dyDescent="0.25">
      <c r="B27" s="8" t="s">
        <v>62</v>
      </c>
      <c r="C27" s="24">
        <f>IF(C17=0,C25,IF(C17=90,C26,C25+(C17/90)*(C26-C25)))</f>
        <v>1.4403062786866327</v>
      </c>
    </row>
    <row r="28" spans="2:4" x14ac:dyDescent="0.25">
      <c r="B28" s="8" t="s">
        <v>63</v>
      </c>
      <c r="C28" s="24">
        <f>2.417*(1+0.00633*C17-0.0000815*(C17^2))*((C24-1)^(-0.63))</f>
        <v>1.2206601871901721</v>
      </c>
    </row>
    <row r="29" spans="2:4" x14ac:dyDescent="0.25">
      <c r="B29" s="8" t="s">
        <v>64</v>
      </c>
      <c r="C29" s="25">
        <f>IF(C16=0,C27,IF(C16=45,C28,IF(AND(C16&gt;0,C16&lt;45),C27+(C16/45)*(C28-C27),"")))</f>
        <v>1.4403062786866327</v>
      </c>
    </row>
    <row r="30" spans="2:4" x14ac:dyDescent="0.25">
      <c r="B30" s="22"/>
      <c r="C30" s="23"/>
    </row>
    <row r="31" spans="2:4" x14ac:dyDescent="0.25">
      <c r="B31" s="8" t="s">
        <v>65</v>
      </c>
      <c r="C31" s="24">
        <f>C21/C20</f>
        <v>1</v>
      </c>
    </row>
    <row r="32" spans="2:4" x14ac:dyDescent="0.25">
      <c r="B32" s="8" t="s">
        <v>66</v>
      </c>
      <c r="C32" s="24">
        <f>C31^(-0.916)+0.284*LOG10(C31)</f>
        <v>1</v>
      </c>
    </row>
    <row r="33" spans="2:3" x14ac:dyDescent="0.25">
      <c r="B33" s="8" t="s">
        <v>67</v>
      </c>
      <c r="C33" s="24">
        <f>C31^(-1.177)+1.737*LOG10(C31)</f>
        <v>1</v>
      </c>
    </row>
    <row r="34" spans="2:3" x14ac:dyDescent="0.25">
      <c r="B34" s="8" t="s">
        <v>68</v>
      </c>
      <c r="C34" s="24">
        <f>C31^(-0.495)+0.715*LOG10(C31)</f>
        <v>1</v>
      </c>
    </row>
    <row r="35" spans="2:3" x14ac:dyDescent="0.25">
      <c r="B35" s="8" t="s">
        <v>69</v>
      </c>
      <c r="C35" s="24">
        <f>IF(C17=0,C32,IF(C17=45,C33,IF(C17=90,C34,IF(AND(C17&gt;0,C17&lt;45),C32+(C17/45)*(C33-C32),C33+((C17-45)/45)*(C34-C33)))))</f>
        <v>1</v>
      </c>
    </row>
    <row r="36" spans="2:3" x14ac:dyDescent="0.25">
      <c r="B36" s="22"/>
      <c r="C36" s="23"/>
    </row>
    <row r="37" spans="2:3" x14ac:dyDescent="0.25">
      <c r="B37" s="8" t="s">
        <v>70</v>
      </c>
      <c r="C37" s="25">
        <f>C29*C35</f>
        <v>1.4403062786866327</v>
      </c>
    </row>
    <row r="38" spans="2:3" ht="18" x14ac:dyDescent="0.35">
      <c r="B38" s="8" t="s">
        <v>71</v>
      </c>
      <c r="C38" s="25">
        <f>7.502*((C37+1.125)^(-1.637))</f>
        <v>1.604782389840306</v>
      </c>
    </row>
    <row r="39" spans="2:3" ht="18" x14ac:dyDescent="0.35">
      <c r="B39" s="8" t="s">
        <v>72</v>
      </c>
      <c r="C39" s="26">
        <f>C38*C18*C19*C15</f>
        <v>24123.281457966259</v>
      </c>
    </row>
    <row r="40" spans="2:3" ht="15.75" thickBot="1" x14ac:dyDescent="0.3">
      <c r="B40" s="14" t="s">
        <v>73</v>
      </c>
      <c r="C40" s="27">
        <f>(C39/C14)/C13</f>
        <v>5.606920423034861</v>
      </c>
    </row>
    <row r="41" spans="2:3" ht="15.75" thickBot="1" x14ac:dyDescent="0.3"/>
    <row r="42" spans="2:3" ht="15.75" thickBot="1" x14ac:dyDescent="0.3">
      <c r="B42" s="6" t="s">
        <v>74</v>
      </c>
      <c r="C42" s="7"/>
    </row>
    <row r="43" spans="2:3" x14ac:dyDescent="0.25">
      <c r="B43" s="28" t="s">
        <v>75</v>
      </c>
      <c r="C43" s="29">
        <f>0.1*C13</f>
        <v>374.12277868273986</v>
      </c>
    </row>
    <row r="44" spans="2:3" x14ac:dyDescent="0.25">
      <c r="B44" s="8" t="s">
        <v>76</v>
      </c>
      <c r="C44" s="30">
        <v>14.5</v>
      </c>
    </row>
    <row r="45" spans="2:3" x14ac:dyDescent="0.25">
      <c r="B45" s="8" t="s">
        <v>77</v>
      </c>
      <c r="C45" s="31">
        <f>C43*C44</f>
        <v>5424.7802908997282</v>
      </c>
    </row>
    <row r="46" spans="2:3" x14ac:dyDescent="0.25">
      <c r="B46" s="8" t="s">
        <v>55</v>
      </c>
      <c r="C46" s="21">
        <v>4</v>
      </c>
    </row>
    <row r="47" spans="2:3" x14ac:dyDescent="0.25">
      <c r="B47" s="8" t="s">
        <v>58</v>
      </c>
      <c r="C47" s="32">
        <f>C22</f>
        <v>28</v>
      </c>
    </row>
    <row r="48" spans="2:3" x14ac:dyDescent="0.25">
      <c r="B48" s="8" t="s">
        <v>78</v>
      </c>
      <c r="C48" s="33">
        <f>(1/12)*C47*(C46^3)</f>
        <v>149.33333333333331</v>
      </c>
    </row>
    <row r="49" spans="2:4" ht="15.75" thickBot="1" x14ac:dyDescent="0.3">
      <c r="B49" s="34" t="s">
        <v>79</v>
      </c>
      <c r="C49" s="35">
        <f>(C45*(C46/2))/C48</f>
        <v>72.653307467407089</v>
      </c>
    </row>
    <row r="50" spans="2:4" x14ac:dyDescent="0.25">
      <c r="B50" s="28" t="s">
        <v>80</v>
      </c>
      <c r="C50" s="29">
        <f>C13</f>
        <v>3741.2277868273986</v>
      </c>
    </row>
    <row r="51" spans="2:4" x14ac:dyDescent="0.25">
      <c r="B51" s="8" t="s">
        <v>81</v>
      </c>
      <c r="C51" s="33">
        <f>C46*C47</f>
        <v>112</v>
      </c>
    </row>
    <row r="52" spans="2:4" x14ac:dyDescent="0.25">
      <c r="B52" s="8" t="s">
        <v>82</v>
      </c>
      <c r="C52" s="33">
        <f>C50/C51</f>
        <v>33.403819525244629</v>
      </c>
    </row>
    <row r="53" spans="2:4" x14ac:dyDescent="0.25">
      <c r="B53" s="36" t="s">
        <v>83</v>
      </c>
      <c r="C53" s="37">
        <v>0</v>
      </c>
    </row>
    <row r="54" spans="2:4" x14ac:dyDescent="0.25">
      <c r="B54" s="8" t="s">
        <v>84</v>
      </c>
      <c r="C54" s="31">
        <f>C53*C44</f>
        <v>0</v>
      </c>
    </row>
    <row r="55" spans="2:4" x14ac:dyDescent="0.25">
      <c r="B55" s="8" t="s">
        <v>85</v>
      </c>
      <c r="C55" s="33">
        <f>(1/12)*C46*(C47^3)</f>
        <v>7317.333333333333</v>
      </c>
    </row>
    <row r="56" spans="2:4" ht="15.75" thickBot="1" x14ac:dyDescent="0.3">
      <c r="B56" s="34" t="s">
        <v>86</v>
      </c>
      <c r="C56" s="35">
        <f>(C54*(C47/2))/C55</f>
        <v>0</v>
      </c>
    </row>
    <row r="57" spans="2:4" x14ac:dyDescent="0.25">
      <c r="B57" s="28" t="s">
        <v>87</v>
      </c>
      <c r="C57" s="38">
        <f>C56+C52+C49</f>
        <v>106.05712699265172</v>
      </c>
    </row>
    <row r="58" spans="2:4" ht="15.75" thickBot="1" x14ac:dyDescent="0.3">
      <c r="B58" s="39" t="s">
        <v>73</v>
      </c>
      <c r="C58" s="40">
        <f>C15/C57</f>
        <v>4.4853185588645959</v>
      </c>
    </row>
    <row r="60" spans="2:4" x14ac:dyDescent="0.25">
      <c r="B60" s="41" t="s">
        <v>88</v>
      </c>
    </row>
    <row r="61" spans="2:4" x14ac:dyDescent="0.25">
      <c r="B61" s="41" t="s">
        <v>89</v>
      </c>
      <c r="C61" t="s">
        <v>90</v>
      </c>
    </row>
    <row r="62" spans="2:4" x14ac:dyDescent="0.25">
      <c r="B62" s="42" t="s">
        <v>91</v>
      </c>
      <c r="C62" s="43">
        <f>C9</f>
        <v>7.9</v>
      </c>
    </row>
    <row r="63" spans="2:4" x14ac:dyDescent="0.25">
      <c r="B63" s="42" t="s">
        <v>92</v>
      </c>
      <c r="C63" s="43">
        <f>(C64-C65)/2</f>
        <v>4</v>
      </c>
    </row>
    <row r="64" spans="2:4" x14ac:dyDescent="0.25">
      <c r="B64" s="42" t="s">
        <v>93</v>
      </c>
      <c r="C64" s="44">
        <v>46</v>
      </c>
      <c r="D64" s="16" t="s">
        <v>94</v>
      </c>
    </row>
    <row r="65" spans="2:4" x14ac:dyDescent="0.25">
      <c r="B65" s="42" t="s">
        <v>95</v>
      </c>
      <c r="C65" s="44">
        <v>38</v>
      </c>
      <c r="D65" s="16" t="s">
        <v>94</v>
      </c>
    </row>
    <row r="66" spans="2:4" x14ac:dyDescent="0.25">
      <c r="B66" s="42" t="s">
        <v>96</v>
      </c>
      <c r="C66" s="43">
        <f>C19</f>
        <v>4</v>
      </c>
    </row>
    <row r="67" spans="2:4" x14ac:dyDescent="0.25">
      <c r="B67" s="42" t="s">
        <v>97</v>
      </c>
      <c r="C67" s="45">
        <f>0.25*PI()*(C62^2)</f>
        <v>49.016699377634751</v>
      </c>
    </row>
    <row r="68" spans="2:4" x14ac:dyDescent="0.25">
      <c r="B68" s="42" t="s">
        <v>98</v>
      </c>
      <c r="C68" s="46">
        <f>0.25*PI()*((C62/2)^4)</f>
        <v>191.19576300988655</v>
      </c>
    </row>
    <row r="69" spans="2:4" x14ac:dyDescent="0.25">
      <c r="B69" s="42" t="s">
        <v>99</v>
      </c>
      <c r="C69" s="43">
        <f>C66/2+C63+C65/4</f>
        <v>15.5</v>
      </c>
    </row>
    <row r="70" spans="2:4" x14ac:dyDescent="0.25">
      <c r="B70" s="42" t="s">
        <v>100</v>
      </c>
      <c r="C70" s="47">
        <v>1061.8</v>
      </c>
    </row>
    <row r="71" spans="2:4" x14ac:dyDescent="0.25">
      <c r="B71" s="42" t="s">
        <v>101</v>
      </c>
      <c r="C71" s="47">
        <v>986</v>
      </c>
    </row>
    <row r="72" spans="2:4" x14ac:dyDescent="0.25">
      <c r="B72" s="42" t="s">
        <v>102</v>
      </c>
      <c r="C72" s="47">
        <v>668.8</v>
      </c>
    </row>
    <row r="73" spans="2:4" x14ac:dyDescent="0.25">
      <c r="B73" s="42" t="s">
        <v>103</v>
      </c>
      <c r="C73" s="48">
        <f>C72*(C71/C70)</f>
        <v>621.05556601996614</v>
      </c>
    </row>
    <row r="74" spans="2:4" x14ac:dyDescent="0.25">
      <c r="B74" s="42" t="s">
        <v>104</v>
      </c>
      <c r="C74" s="49">
        <f>C5</f>
        <v>6235.3796447123314</v>
      </c>
    </row>
    <row r="75" spans="2:4" x14ac:dyDescent="0.25">
      <c r="B75" s="42" t="s">
        <v>77</v>
      </c>
      <c r="C75" s="50">
        <f>C74*C69*0.5</f>
        <v>48324.192246520572</v>
      </c>
    </row>
    <row r="76" spans="2:4" x14ac:dyDescent="0.25">
      <c r="B76" s="42" t="s">
        <v>105</v>
      </c>
      <c r="C76" s="51">
        <f>C75*(C62/2)/C68</f>
        <v>998.35140888496574</v>
      </c>
    </row>
    <row r="77" spans="2:4" x14ac:dyDescent="0.25">
      <c r="B77" s="42" t="s">
        <v>106</v>
      </c>
      <c r="C77" s="47">
        <v>1103</v>
      </c>
    </row>
    <row r="78" spans="2:4" x14ac:dyDescent="0.25">
      <c r="B78" s="42" t="s">
        <v>107</v>
      </c>
      <c r="C78" s="51">
        <f>C70+C77*(1.7-1)</f>
        <v>1833.8999999999999</v>
      </c>
    </row>
    <row r="79" spans="2:4" x14ac:dyDescent="0.25">
      <c r="B79" s="52" t="s">
        <v>108</v>
      </c>
      <c r="C79" s="53">
        <f>C78/C76</f>
        <v>1.836928343746455</v>
      </c>
    </row>
    <row r="80" spans="2:4" x14ac:dyDescent="0.25">
      <c r="B80" s="42" t="s">
        <v>109</v>
      </c>
      <c r="C80" s="51">
        <f>(C74*0.5)/C67</f>
        <v>63.604646211219588</v>
      </c>
    </row>
    <row r="81" spans="2:3" x14ac:dyDescent="0.25">
      <c r="B81" s="52" t="s">
        <v>110</v>
      </c>
      <c r="C81" s="54">
        <f>C72/C80</f>
        <v>10.514955114741705</v>
      </c>
    </row>
    <row r="82" spans="2:3" x14ac:dyDescent="0.25">
      <c r="B82" s="42" t="s">
        <v>44</v>
      </c>
      <c r="C82" s="55">
        <f>C6</f>
        <v>1.1499999999999999</v>
      </c>
    </row>
    <row r="83" spans="2:3" x14ac:dyDescent="0.25">
      <c r="B83" s="52" t="s">
        <v>111</v>
      </c>
      <c r="C83" s="54">
        <f>1/C82/SQRT((1/C79)^2+(1/C81)^2)</f>
        <v>1.5734986834793119</v>
      </c>
    </row>
  </sheetData>
  <conditionalFormatting sqref="C83">
    <cfRule type="expression" dxfId="0" priority="1">
      <formula>C83&lt;1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Teoria</vt:lpstr>
      <vt:lpstr>MATERIAL</vt:lpstr>
      <vt:lpstr>LUG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Maroto Herreros, Enrique (external) [ES]</dc:creator>
  <cp:lastModifiedBy>Maroto Herreros, Enrique (external) [ES]</cp:lastModifiedBy>
  <dcterms:created xsi:type="dcterms:W3CDTF">2025-03-12T10:24:39Z</dcterms:created>
  <dcterms:modified xsi:type="dcterms:W3CDTF">2025-03-12T12:04:16Z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e1a4fba4-74da-4f3c-a0b4-7de93293d330</vt:lpwstr>
  </property>
  <property fmtid="{D5CDD505-2E9C-101B-9397-08002B2CF9AE}" pid="3" name="L">
    <vt:lpwstr>XXSEN</vt:lpwstr>
  </property>
  <property fmtid="{D5CDD505-2E9C-101B-9397-08002B2CF9AE}" pid="4" name="CC">
    <vt:lpwstr>XXAAM</vt:lpwstr>
  </property>
  <property fmtid="{D5CDD505-2E9C-101B-9397-08002B2CF9AE}" pid="5" name="PP">
    <vt:lpwstr>XXPCA</vt:lpwstr>
  </property>
  <property fmtid="{D5CDD505-2E9C-101B-9397-08002B2CF9AE}" pid="6" name="E">
    <vt:lpwstr>E0000</vt:lpwstr>
  </property>
  <property fmtid="{D5CDD505-2E9C-101B-9397-08002B2CF9AE}" pid="7" name="GD">
    <vt:lpwstr>XXGCA</vt:lpwstr>
  </property>
  <property fmtid="{D5CDD505-2E9C-101B-9397-08002B2CF9AE}" pid="8" name="OT">
    <vt:lpwstr>XXOCA</vt:lpwstr>
  </property>
  <property fmtid="{D5CDD505-2E9C-101B-9397-08002B2CF9AE}" pid="9" name="CAV">
    <vt:lpwstr>NOC</vt:lpwstr>
  </property>
  <property fmtid="{D5CDD505-2E9C-101B-9397-08002B2CF9AE}" pid="10" name="STAMP">
    <vt:lpwstr>YES</vt:lpwstr>
  </property>
</Properties>
</file>