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efs\MALE_STRUCTURES\04.TRADE-OFFS\01-EMPENNAGE\08-HTP-REAR-SPAR-HOLES\2.Analysis\2.Validation\2.Analysis\2.PANPA\"/>
    </mc:Choice>
  </mc:AlternateContent>
  <bookViews>
    <workbookView xWindow="0" yWindow="60" windowWidth="23250" windowHeight="12075" tabRatio="808" firstSheet="4" activeTab="4"/>
  </bookViews>
  <sheets>
    <sheet name="DPI_ACD_006" sheetId="4" r:id="rId1"/>
    <sheet name="Spar_Ribs_Agujeros_Niu_Cap13.2" sheetId="1" r:id="rId2"/>
    <sheet name="ESDU_84042" sheetId="5" r:id="rId3"/>
    <sheet name="Spar_Ribs_Agujeros_Niu_Cap5.6" sheetId="2" r:id="rId4"/>
    <sheet name="NT-T-ADP-01006-A_Calculator" sheetId="6" r:id="rId5"/>
  </sheets>
  <functionGroups builtInGroupCount="18"/>
  <calcPr calcId="15251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6" l="1"/>
  <c r="H15" i="6"/>
  <c r="C15" i="6"/>
  <c r="M14" i="6"/>
  <c r="M13" i="6"/>
  <c r="H14" i="6"/>
  <c r="H13" i="6"/>
  <c r="C14" i="6"/>
  <c r="C13" i="6"/>
  <c r="C12" i="6"/>
  <c r="H10" i="6"/>
  <c r="M12" i="6"/>
  <c r="H12" i="6"/>
  <c r="M11" i="6"/>
  <c r="H11" i="6"/>
  <c r="C11" i="6"/>
  <c r="M10" i="6"/>
  <c r="C10" i="6"/>
  <c r="G42" i="6" l="1"/>
  <c r="G43" i="6"/>
  <c r="G44" i="6"/>
  <c r="G45" i="6"/>
  <c r="G46" i="6"/>
  <c r="G47" i="6" s="1"/>
  <c r="G48" i="6" s="1"/>
  <c r="G49" i="6" s="1"/>
  <c r="G50" i="6" s="1"/>
  <c r="G41" i="6"/>
  <c r="C23" i="6"/>
  <c r="H8" i="6" l="1"/>
  <c r="H24" i="6"/>
  <c r="H9" i="6"/>
  <c r="H23" i="6" l="1"/>
  <c r="M8" i="6"/>
  <c r="M23" i="6"/>
  <c r="C24" i="6" l="1"/>
  <c r="M24" i="6"/>
  <c r="C8" i="6"/>
  <c r="M9" i="6" l="1"/>
  <c r="C9" i="6"/>
  <c r="H145" i="2"/>
  <c r="H158" i="2"/>
  <c r="H171" i="2"/>
  <c r="H184" i="2"/>
  <c r="C160" i="2" l="1"/>
  <c r="C147" i="2"/>
  <c r="C191" i="2" l="1"/>
  <c r="C188" i="2"/>
  <c r="C189" i="2" s="1"/>
  <c r="C178" i="2"/>
  <c r="C175" i="2"/>
  <c r="C176" i="2" s="1"/>
  <c r="C165" i="2"/>
  <c r="C162" i="2"/>
  <c r="C163" i="2" s="1"/>
  <c r="C152" i="2"/>
  <c r="C149" i="2"/>
  <c r="C150" i="2" s="1"/>
  <c r="C180" i="2" l="1"/>
  <c r="C179" i="2"/>
  <c r="C182" i="2" s="1"/>
  <c r="C154" i="2"/>
  <c r="C192" i="2"/>
  <c r="C195" i="2" s="1"/>
  <c r="C167" i="2"/>
  <c r="C166" i="2"/>
  <c r="C169" i="2" s="1"/>
  <c r="C193" i="2"/>
  <c r="C153" i="2"/>
  <c r="C156" i="2" s="1"/>
  <c r="J128" i="2"/>
  <c r="C129" i="2" s="1"/>
  <c r="C134" i="2"/>
  <c r="C131" i="2"/>
  <c r="C132" i="2" s="1"/>
  <c r="J115" i="2"/>
  <c r="C116" i="2" s="1"/>
  <c r="J102" i="2"/>
  <c r="C103" i="2" s="1"/>
  <c r="C121" i="2"/>
  <c r="C118" i="2"/>
  <c r="C119" i="2" s="1"/>
  <c r="C108" i="2"/>
  <c r="C105" i="2"/>
  <c r="C106" i="2" s="1"/>
  <c r="J85" i="2"/>
  <c r="C86" i="2" s="1"/>
  <c r="C91" i="2"/>
  <c r="C88" i="2"/>
  <c r="C89" i="2" s="1"/>
  <c r="J72" i="2"/>
  <c r="C73" i="2" s="1"/>
  <c r="C93" i="2" l="1"/>
  <c r="C110" i="2"/>
  <c r="C136" i="2"/>
  <c r="C123" i="2"/>
  <c r="C135" i="2"/>
  <c r="C138" i="2" s="1"/>
  <c r="C122" i="2"/>
  <c r="C125" i="2" s="1"/>
  <c r="C109" i="2"/>
  <c r="C112" i="2" s="1"/>
  <c r="C92" i="2"/>
  <c r="C95" i="2" s="1"/>
  <c r="C75" i="2" l="1"/>
  <c r="C76" i="2" s="1"/>
  <c r="C78" i="2" l="1"/>
  <c r="C80" i="2" s="1"/>
  <c r="D114" i="1"/>
  <c r="E114" i="1" s="1"/>
  <c r="D113" i="1"/>
  <c r="E113" i="1" s="1"/>
  <c r="D120" i="1"/>
  <c r="D121" i="1" s="1"/>
  <c r="D112" i="1"/>
  <c r="D116" i="1" s="1"/>
  <c r="D118" i="1" s="1"/>
  <c r="E112" i="1"/>
  <c r="D115" i="1"/>
  <c r="E115" i="1" s="1"/>
  <c r="C79" i="2" l="1"/>
  <c r="C82" i="2" s="1"/>
</calcChain>
</file>

<file path=xl/comments1.xml><?xml version="1.0" encoding="utf-8"?>
<comments xmlns="http://schemas.openxmlformats.org/spreadsheetml/2006/main">
  <authors>
    <author>EADS</author>
  </authors>
  <commentList>
    <comment ref="D117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Mirando en la gráfica entrando con he/t</t>
        </r>
      </text>
    </comment>
  </commentList>
</comments>
</file>

<file path=xl/comments2.xml><?xml version="1.0" encoding="utf-8"?>
<comments xmlns="http://schemas.openxmlformats.org/spreadsheetml/2006/main">
  <authors>
    <author>EADS</author>
  </authors>
  <commentList>
    <comment ref="E77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S33 es el elemento 33 de la matriz de flexibilidad del laminado (la inversa de la matriz de rigidez)</t>
        </r>
      </text>
    </comment>
    <comment ref="E90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S33 es el elemento 33 de la matriz de flexibilidad del laminado (la inversa de la matriz de rigidez)</t>
        </r>
      </text>
    </comment>
    <comment ref="E107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S33 es el elemento 33 de la matriz de flexibilidad del laminado (la inversa de la matriz de rigidez)</t>
        </r>
      </text>
    </comment>
    <comment ref="E120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S33 es el elemento 33 de la matriz de flexibilidad del laminado (la inversa de la matriz de rigidez)</t>
        </r>
      </text>
    </comment>
    <comment ref="E133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S33 es el elemento 33 de la matriz de flexibilidad del laminado (la inversa de la matriz de rigidez)</t>
        </r>
      </text>
    </comment>
    <comment ref="E151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S33 es el elemento 33 de la matriz de flexibilidad del laminado (la inversa de la matriz de rigidez)</t>
        </r>
      </text>
    </comment>
    <comment ref="E164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S33 es el elemento 33 de la matriz de flexibilidad del laminado (la inversa de la matriz de rigidez)</t>
        </r>
      </text>
    </comment>
    <comment ref="E177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S33 es el elemento 33 de la matriz de flexibilidad del laminado (la inversa de la matriz de rigidez)</t>
        </r>
      </text>
    </comment>
    <comment ref="E190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S33 es el elemento 33 de la matriz de flexibilidad del laminado (la inversa de la matriz de rigidez)</t>
        </r>
      </text>
    </comment>
  </commentList>
</comments>
</file>

<file path=xl/comments3.xml><?xml version="1.0" encoding="utf-8"?>
<comments xmlns="http://schemas.openxmlformats.org/spreadsheetml/2006/main">
  <authors>
    <author>EADS</author>
  </authors>
  <commentList>
    <comment ref="B15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Interpolación lineal entre las 2 celdas anteriores
</t>
        </r>
      </text>
    </comment>
    <comment ref="G15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Interpolación lineal entre las 2 celdas anteriores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Interpolación lineal entre las 2 celdas anteriores
</t>
        </r>
      </text>
    </comment>
    <comment ref="B30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Interpolación lineal entre las 2 celdas anteriores
</t>
        </r>
      </text>
    </comment>
    <comment ref="G30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Interpolación lineal entre las 2 celdas anteriores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EADS:</t>
        </r>
        <r>
          <rPr>
            <sz val="9"/>
            <color indexed="81"/>
            <rFont val="Tahoma"/>
            <family val="2"/>
          </rPr>
          <t xml:space="preserve">
Interpolación lineal entre las 2 celdas anteriores
</t>
        </r>
      </text>
    </comment>
  </commentList>
</comments>
</file>

<file path=xl/sharedStrings.xml><?xml version="1.0" encoding="utf-8"?>
<sst xmlns="http://schemas.openxmlformats.org/spreadsheetml/2006/main" count="546" uniqueCount="80">
  <si>
    <t>D</t>
  </si>
  <si>
    <t>t</t>
  </si>
  <si>
    <t>he</t>
  </si>
  <si>
    <t>D/he</t>
  </si>
  <si>
    <t>D/b</t>
  </si>
  <si>
    <t>he/t</t>
  </si>
  <si>
    <t>check 1</t>
  </si>
  <si>
    <t>check 2</t>
  </si>
  <si>
    <t>check 3</t>
  </si>
  <si>
    <t>check 4</t>
  </si>
  <si>
    <t>b</t>
  </si>
  <si>
    <t>σ</t>
  </si>
  <si>
    <t>q (flujo)</t>
  </si>
  <si>
    <t>lbs/in</t>
  </si>
  <si>
    <t>in</t>
  </si>
  <si>
    <t>psi</t>
  </si>
  <si>
    <t>F0</t>
  </si>
  <si>
    <t>K</t>
  </si>
  <si>
    <t>A continuación hay algo extraño porque asume que de la gráfica anterior, K optima --&gt;  D/he=0.54 y D/b=0.62 que no cuadra con la relación del párrafo de más arriba</t>
  </si>
  <si>
    <t>G</t>
  </si>
  <si>
    <t>h</t>
  </si>
  <si>
    <t>mm</t>
  </si>
  <si>
    <t>Mpa</t>
  </si>
  <si>
    <t>Gc</t>
  </si>
  <si>
    <t>Variable</t>
  </si>
  <si>
    <t>Magnitud</t>
  </si>
  <si>
    <t>Unidades</t>
  </si>
  <si>
    <t>Comentario</t>
  </si>
  <si>
    <t>Espesor del apilado actual</t>
  </si>
  <si>
    <t>1/2 de la altura del spar</t>
  </si>
  <si>
    <t>G equivalente Ancolab (1/(t*S33))</t>
  </si>
  <si>
    <t>PCOMP</t>
  </si>
  <si>
    <t>STRN</t>
  </si>
  <si>
    <t>SYM</t>
  </si>
  <si>
    <t>YES</t>
  </si>
  <si>
    <t>Supongo el mismo que G</t>
  </si>
  <si>
    <t>Se obtiene con la Eq. 5.6.8</t>
  </si>
  <si>
    <t>Tc_lamina_ficticia</t>
  </si>
  <si>
    <t>$ HTP RIBS STACK 001</t>
  </si>
  <si>
    <t>$ HTP RIBS STACK 002</t>
  </si>
  <si>
    <t>$ VTP RIBS STACK 001</t>
  </si>
  <si>
    <t>$ VTP RIBS STACK 002</t>
  </si>
  <si>
    <t>$ VTP RIBS STACK 003</t>
  </si>
  <si>
    <t>Altura promedio del spar/Rib</t>
  </si>
  <si>
    <t>Tc_Niu_Cap5.6</t>
  </si>
  <si>
    <t>Selected criteria</t>
  </si>
  <si>
    <t>Tc_ESDU_84042</t>
  </si>
  <si>
    <t>Se obtiene con la tabla 5.1</t>
  </si>
  <si>
    <t>2 veces el diámetro</t>
  </si>
  <si>
    <t>$ VTP FWD SPAR STACK HOLE DOWN</t>
  </si>
  <si>
    <t>$ VTP FWD SPAR STACK HOLE UP</t>
  </si>
  <si>
    <t>$ VTP REAR SPAR STACK HOLE DOWN (rib 4 to 5)</t>
  </si>
  <si>
    <t>$ VTP REAR SPAR STACK HOLE UP (rib 7 to 8)</t>
  </si>
  <si>
    <t>Elm 60001617:60001620 60001639:60001642</t>
  </si>
  <si>
    <t>Elm 60001629:60001631 60001651:60001653</t>
  </si>
  <si>
    <t>Elm 60001552:60001555 60001574:60001577</t>
  </si>
  <si>
    <t>Elm 60001537:60001539 60001559:60001561</t>
  </si>
  <si>
    <t>H</t>
  </si>
  <si>
    <t>Para entrar a la gráfica</t>
  </si>
  <si>
    <t>D/H</t>
  </si>
  <si>
    <r>
      <t>q</t>
    </r>
    <r>
      <rPr>
        <vertAlign val="subscript"/>
        <sz val="11"/>
        <color theme="1"/>
        <rFont val="Calibri"/>
        <family val="2"/>
        <scheme val="minor"/>
      </rPr>
      <t>bk</t>
    </r>
    <r>
      <rPr>
        <sz val="11"/>
        <color theme="1"/>
        <rFont val="Calibri"/>
        <family val="2"/>
        <scheme val="minor"/>
      </rPr>
      <t>/q</t>
    </r>
    <r>
      <rPr>
        <vertAlign val="subscript"/>
        <sz val="11"/>
        <color theme="1"/>
        <rFont val="Calibri"/>
        <family val="2"/>
        <scheme val="minor"/>
      </rPr>
      <t>0</t>
    </r>
  </si>
  <si>
    <t>Gráfica naranja</t>
  </si>
  <si>
    <t>Gráfica azul oscuro</t>
  </si>
  <si>
    <t>Gráfica rosa</t>
  </si>
  <si>
    <r>
      <t>q</t>
    </r>
    <r>
      <rPr>
        <vertAlign val="subscript"/>
        <sz val="11"/>
        <color theme="1"/>
        <rFont val="Calibri"/>
        <family val="2"/>
        <scheme val="minor"/>
      </rPr>
      <t>bk</t>
    </r>
    <r>
      <rPr>
        <sz val="11"/>
        <color theme="1"/>
        <rFont val="Calibri"/>
        <family val="2"/>
        <scheme val="minor"/>
      </rPr>
      <t>/q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--&gt; 1</t>
    </r>
  </si>
  <si>
    <r>
      <t>q</t>
    </r>
    <r>
      <rPr>
        <vertAlign val="subscript"/>
        <sz val="11"/>
        <color theme="1"/>
        <rFont val="Calibri"/>
        <family val="2"/>
        <scheme val="minor"/>
      </rPr>
      <t>bk</t>
    </r>
    <r>
      <rPr>
        <sz val="11"/>
        <color theme="1"/>
        <rFont val="Calibri"/>
        <family val="2"/>
        <scheme val="minor"/>
      </rPr>
      <t>/q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--&gt; 2</t>
    </r>
  </si>
  <si>
    <t>1er valor para interpolar</t>
  </si>
  <si>
    <t>2º valor para interpolar</t>
  </si>
  <si>
    <t>Valor interpolado</t>
  </si>
  <si>
    <t>Cálculo pandeo NT_T_ADP_01006:</t>
  </si>
  <si>
    <t>Cálculo estático NT_T_ADP_01006:</t>
  </si>
  <si>
    <t>lh</t>
  </si>
  <si>
    <t>lh/D</t>
  </si>
  <si>
    <t>Para crear las funciones de regresión (BUCKLING)</t>
  </si>
  <si>
    <t>lh/D = 1.0</t>
  </si>
  <si>
    <t>lh/D = 1.5</t>
  </si>
  <si>
    <t>lh/D = 2.0</t>
  </si>
  <si>
    <r>
      <t>q</t>
    </r>
    <r>
      <rPr>
        <vertAlign val="subscript"/>
        <sz val="11"/>
        <color theme="1"/>
        <rFont val="Calibri"/>
        <family val="2"/>
        <scheme val="minor"/>
      </rPr>
      <t>bk</t>
    </r>
    <r>
      <rPr>
        <sz val="11"/>
        <color theme="1"/>
        <rFont val="Calibri"/>
        <family val="2"/>
        <scheme val="minor"/>
      </rPr>
      <t>/q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(lh/D = 1.0)</t>
    </r>
  </si>
  <si>
    <r>
      <t>q</t>
    </r>
    <r>
      <rPr>
        <vertAlign val="subscript"/>
        <sz val="11"/>
        <color theme="1"/>
        <rFont val="Calibri"/>
        <family val="2"/>
        <scheme val="minor"/>
      </rPr>
      <t>bk</t>
    </r>
    <r>
      <rPr>
        <sz val="11"/>
        <color theme="1"/>
        <rFont val="Calibri"/>
        <family val="2"/>
        <scheme val="minor"/>
      </rPr>
      <t>/q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(lh/D = 1.5)</t>
    </r>
  </si>
  <si>
    <r>
      <t>q</t>
    </r>
    <r>
      <rPr>
        <vertAlign val="subscript"/>
        <sz val="11"/>
        <color theme="1"/>
        <rFont val="Calibri"/>
        <family val="2"/>
        <scheme val="minor"/>
      </rPr>
      <t>bk</t>
    </r>
    <r>
      <rPr>
        <sz val="11"/>
        <color theme="1"/>
        <rFont val="Calibri"/>
        <family val="2"/>
        <scheme val="minor"/>
      </rPr>
      <t>/q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 xml:space="preserve"> (lh/D = 2.0)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</si>
</sst>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12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7" fillId="0" borderId="0"/>
    <xf numFmtId="0" fontId="8" fillId="0" borderId="0"/>
  </cellStyleXfs>
  <cellXfs count="27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0" borderId="2" xfId="0" applyBorder="1"/>
    <xf numFmtId="0" fontId="1" fillId="2" borderId="2" xfId="0" applyFont="1" applyFill="1" applyBorder="1"/>
    <xf numFmtId="0" fontId="0" fillId="0" borderId="1" xfId="0" applyBorder="1" applyAlignment="1">
      <alignment horizontal="right"/>
    </xf>
    <xf numFmtId="0" fontId="0" fillId="0" borderId="3" xfId="0" applyFont="1" applyFill="1" applyBorder="1"/>
    <xf numFmtId="0" fontId="0" fillId="0" borderId="1" xfId="0" applyFont="1" applyFill="1" applyBorder="1"/>
    <xf numFmtId="164" fontId="0" fillId="0" borderId="1" xfId="0" applyNumberFormat="1" applyBorder="1"/>
    <xf numFmtId="0" fontId="0" fillId="0" borderId="4" xfId="0" applyBorder="1"/>
    <xf numFmtId="164" fontId="1" fillId="2" borderId="1" xfId="0" applyNumberFormat="1" applyFont="1" applyFill="1" applyBorder="1"/>
    <xf numFmtId="0" fontId="0" fillId="0" borderId="1" xfId="0" applyBorder="1" applyAlignment="1">
      <alignment horizontal="centerContinuous"/>
    </xf>
    <xf numFmtId="165" fontId="1" fillId="2" borderId="1" xfId="0" applyNumberFormat="1" applyFont="1" applyFill="1" applyBorder="1"/>
    <xf numFmtId="165" fontId="9" fillId="0" borderId="1" xfId="0" applyNumberFormat="1" applyFont="1" applyFill="1" applyBorder="1"/>
    <xf numFmtId="2" fontId="9" fillId="0" borderId="1" xfId="0" applyNumberFormat="1" applyFont="1" applyFill="1" applyBorder="1"/>
    <xf numFmtId="0" fontId="0" fillId="0" borderId="1" xfId="0" applyFill="1" applyBorder="1"/>
    <xf numFmtId="1" fontId="0" fillId="0" borderId="1" xfId="0" applyNumberFormat="1" applyFill="1" applyBorder="1"/>
    <xf numFmtId="0" fontId="0" fillId="4" borderId="1" xfId="0" applyFill="1" applyBorder="1"/>
    <xf numFmtId="164" fontId="0" fillId="4" borderId="1" xfId="0" applyNumberFormat="1" applyFill="1" applyBorder="1"/>
    <xf numFmtId="166" fontId="0" fillId="0" borderId="1" xfId="0" applyNumberFormat="1" applyBorder="1"/>
    <xf numFmtId="2" fontId="0" fillId="0" borderId="0" xfId="0" applyNumberFormat="1"/>
    <xf numFmtId="0" fontId="5" fillId="0" borderId="0" xfId="0" applyFont="1"/>
    <xf numFmtId="0" fontId="0" fillId="3" borderId="0" xfId="0" applyFill="1"/>
    <xf numFmtId="2" fontId="0" fillId="0" borderId="1" xfId="0" applyNumberFormat="1" applyBorder="1"/>
    <xf numFmtId="2" fontId="0" fillId="0" borderId="0" xfId="0" applyNumberFormat="1" applyBorder="1"/>
    <xf numFmtId="164" fontId="0" fillId="0" borderId="0" xfId="0" applyNumberFormat="1" applyBorder="1"/>
    <xf numFmtId="0" fontId="10" fillId="0" borderId="0" xfId="0" applyFont="1"/>
  </cellXfs>
  <cellStyles count="6">
    <cellStyle name="Normal" xfId="0" builtinId="0"/>
    <cellStyle name="Normal 10 2" xfId="2"/>
    <cellStyle name="Normal 11" xfId="4"/>
    <cellStyle name="Normal 2" xfId="1"/>
    <cellStyle name="Normal 2 2" xfId="3"/>
    <cellStyle name="Normal 3" xfId="5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C04C7"/>
      <color rgb="FF0000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817490769413548E-2"/>
          <c:y val="2.5436254872358746E-2"/>
          <c:w val="0.77597760679878125"/>
          <c:h val="0.88462830776767887"/>
        </c:manualLayout>
      </c:layout>
      <c:scatterChart>
        <c:scatterStyle val="lineMarker"/>
        <c:varyColors val="0"/>
        <c:ser>
          <c:idx val="0"/>
          <c:order val="0"/>
          <c:tx>
            <c:strRef>
              <c:f>'NT-T-ADP-01006-A_Calculator'!$H$39</c:f>
              <c:strCache>
                <c:ptCount val="1"/>
                <c:pt idx="0">
                  <c:v>lh/D = 1.0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1964934770355156E-3"/>
                  <c:y val="-0.557821422988982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xVal>
            <c:numRef>
              <c:f>'NT-T-ADP-01006-A_Calculator'!$G$40:$G$50</c:f>
              <c:numCache>
                <c:formatCode>0.00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'NT-T-ADP-01006-A_Calculator'!$H$40:$H$50</c:f>
              <c:numCache>
                <c:formatCode>0.000</c:formatCode>
                <c:ptCount val="11"/>
                <c:pt idx="0" formatCode="General">
                  <c:v>1</c:v>
                </c:pt>
                <c:pt idx="1">
                  <c:v>0.95</c:v>
                </c:pt>
                <c:pt idx="2">
                  <c:v>0.84</c:v>
                </c:pt>
                <c:pt idx="3">
                  <c:v>0.71</c:v>
                </c:pt>
                <c:pt idx="4">
                  <c:v>0.56999999999999995</c:v>
                </c:pt>
                <c:pt idx="5">
                  <c:v>0.46</c:v>
                </c:pt>
                <c:pt idx="6">
                  <c:v>0.37</c:v>
                </c:pt>
                <c:pt idx="7">
                  <c:v>0.28999999999999998</c:v>
                </c:pt>
                <c:pt idx="8">
                  <c:v>0.21</c:v>
                </c:pt>
                <c:pt idx="9">
                  <c:v>0.11</c:v>
                </c:pt>
                <c:pt idx="1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'NT-T-ADP-01006-A_Calculator'!$I$39</c:f>
              <c:strCache>
                <c:ptCount val="1"/>
                <c:pt idx="0">
                  <c:v>lh/D = 1.5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C04C7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0849466452619715E-3"/>
                  <c:y val="-0.477639179137387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xVal>
            <c:numRef>
              <c:f>'NT-T-ADP-01006-A_Calculator'!$G$40:$G$50</c:f>
              <c:numCache>
                <c:formatCode>0.00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'NT-T-ADP-01006-A_Calculator'!$I$40:$I$50</c:f>
              <c:numCache>
                <c:formatCode>0.000</c:formatCode>
                <c:ptCount val="11"/>
                <c:pt idx="0">
                  <c:v>1</c:v>
                </c:pt>
                <c:pt idx="1">
                  <c:v>0.92</c:v>
                </c:pt>
                <c:pt idx="2">
                  <c:v>0.75</c:v>
                </c:pt>
                <c:pt idx="3">
                  <c:v>0.57999999999999996</c:v>
                </c:pt>
                <c:pt idx="4">
                  <c:v>0.44</c:v>
                </c:pt>
                <c:pt idx="5">
                  <c:v>0.33</c:v>
                </c:pt>
                <c:pt idx="6">
                  <c:v>0.25</c:v>
                </c:pt>
                <c:pt idx="7">
                  <c:v>0.18</c:v>
                </c:pt>
                <c:pt idx="8">
                  <c:v>0.13</c:v>
                </c:pt>
                <c:pt idx="9">
                  <c:v>0.06</c:v>
                </c:pt>
                <c:pt idx="1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'NT-T-ADP-01006-A_Calculator'!$J$39</c:f>
              <c:strCache>
                <c:ptCount val="1"/>
                <c:pt idx="0">
                  <c:v>lh/D = 2.0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1"/>
            <c:dispEq val="0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trendline>
            <c:spPr>
              <a:ln w="19050" cap="rnd">
                <a:solidFill>
                  <a:srgbClr val="FFC000"/>
                </a:solidFill>
                <a:prstDash val="sysDot"/>
              </a:ln>
              <a:effectLst/>
            </c:spPr>
            <c:trendlineType val="poly"/>
            <c:order val="6"/>
            <c:dispRSqr val="1"/>
            <c:dispEq val="1"/>
            <c:trendlineLbl>
              <c:layout>
                <c:manualLayout>
                  <c:x val="1.4184782596761937E-2"/>
                  <c:y val="-0.402316465216192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</c:trendlineLbl>
          </c:trendline>
          <c:xVal>
            <c:numRef>
              <c:f>'NT-T-ADP-01006-A_Calculator'!$G$40:$G$50</c:f>
              <c:numCache>
                <c:formatCode>0.00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'NT-T-ADP-01006-A_Calculator'!$J$40:$J$50</c:f>
              <c:numCache>
                <c:formatCode>0.000</c:formatCode>
                <c:ptCount val="11"/>
                <c:pt idx="0">
                  <c:v>1</c:v>
                </c:pt>
                <c:pt idx="1">
                  <c:v>0.88</c:v>
                </c:pt>
                <c:pt idx="2">
                  <c:v>0.66</c:v>
                </c:pt>
                <c:pt idx="3">
                  <c:v>0.48</c:v>
                </c:pt>
                <c:pt idx="4">
                  <c:v>0.34</c:v>
                </c:pt>
                <c:pt idx="5">
                  <c:v>0.24</c:v>
                </c:pt>
                <c:pt idx="6">
                  <c:v>0.17</c:v>
                </c:pt>
                <c:pt idx="7">
                  <c:v>0.13</c:v>
                </c:pt>
                <c:pt idx="8">
                  <c:v>0.08</c:v>
                </c:pt>
                <c:pt idx="9">
                  <c:v>0.04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84840"/>
        <c:axId val="480123472"/>
      </c:scatterChart>
      <c:valAx>
        <c:axId val="12298484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0123472"/>
        <c:crosses val="autoZero"/>
        <c:crossBetween val="midCat"/>
      </c:valAx>
      <c:valAx>
        <c:axId val="48012347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298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chart" Target="../charts/chart1.xml"/><Relationship Id="rId1" Type="http://schemas.openxmlformats.org/officeDocument/2006/relationships/image" Target="../media/image25.png"/><Relationship Id="rId4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219075</xdr:colOff>
      <xdr:row>9</xdr:row>
      <xdr:rowOff>28575</xdr:rowOff>
    </xdr:to>
    <xdr:pic>
      <xdr:nvPicPr>
        <xdr:cNvPr id="2" name="Imagen 4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601075" cy="1743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10</xdr:row>
      <xdr:rowOff>171450</xdr:rowOff>
    </xdr:from>
    <xdr:to>
      <xdr:col>11</xdr:col>
      <xdr:colOff>323850</xdr:colOff>
      <xdr:row>41</xdr:row>
      <xdr:rowOff>76200</xdr:rowOff>
    </xdr:to>
    <xdr:pic>
      <xdr:nvPicPr>
        <xdr:cNvPr id="3" name="Imagen 25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2076450"/>
          <a:ext cx="8610600" cy="5810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457200</xdr:colOff>
      <xdr:row>41</xdr:row>
      <xdr:rowOff>57150</xdr:rowOff>
    </xdr:from>
    <xdr:to>
      <xdr:col>11</xdr:col>
      <xdr:colOff>295275</xdr:colOff>
      <xdr:row>57</xdr:row>
      <xdr:rowOff>28575</xdr:rowOff>
    </xdr:to>
    <xdr:pic>
      <xdr:nvPicPr>
        <xdr:cNvPr id="4" name="Imagen 27" descr="image00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7867650"/>
          <a:ext cx="7458075" cy="301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552450</xdr:colOff>
      <xdr:row>59</xdr:row>
      <xdr:rowOff>76200</xdr:rowOff>
    </xdr:from>
    <xdr:to>
      <xdr:col>10</xdr:col>
      <xdr:colOff>66675</xdr:colOff>
      <xdr:row>93</xdr:row>
      <xdr:rowOff>123825</xdr:rowOff>
    </xdr:to>
    <xdr:pic>
      <xdr:nvPicPr>
        <xdr:cNvPr id="5" name="Imagen 1" descr="image0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4450" y="11315700"/>
          <a:ext cx="6372225" cy="6524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11</xdr:col>
      <xdr:colOff>370476</xdr:colOff>
      <xdr:row>36</xdr:row>
      <xdr:rowOff>56309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90476" cy="672380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13</xdr:col>
      <xdr:colOff>303619</xdr:colOff>
      <xdr:row>46</xdr:row>
      <xdr:rowOff>85500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858000"/>
          <a:ext cx="9447619" cy="18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64</xdr:row>
      <xdr:rowOff>0</xdr:rowOff>
    </xdr:from>
    <xdr:to>
      <xdr:col>15</xdr:col>
      <xdr:colOff>236762</xdr:colOff>
      <xdr:row>72</xdr:row>
      <xdr:rowOff>180762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953500"/>
          <a:ext cx="10904762" cy="170476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72</xdr:row>
      <xdr:rowOff>180975</xdr:rowOff>
    </xdr:from>
    <xdr:to>
      <xdr:col>15</xdr:col>
      <xdr:colOff>74857</xdr:colOff>
      <xdr:row>105</xdr:row>
      <xdr:rowOff>142094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658475"/>
          <a:ext cx="10742857" cy="62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23</xdr:col>
      <xdr:colOff>65905</xdr:colOff>
      <xdr:row>18</xdr:row>
      <xdr:rowOff>113881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68000" y="0"/>
          <a:ext cx="6161905" cy="33523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26</xdr:col>
      <xdr:colOff>456095</xdr:colOff>
      <xdr:row>34</xdr:row>
      <xdr:rowOff>180595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668000" y="3429000"/>
          <a:ext cx="8838095" cy="30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13</xdr:col>
      <xdr:colOff>646476</xdr:colOff>
      <xdr:row>61</xdr:row>
      <xdr:rowOff>142524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90500" y="8953500"/>
          <a:ext cx="9790476" cy="2809524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107</xdr:row>
      <xdr:rowOff>114300</xdr:rowOff>
    </xdr:from>
    <xdr:to>
      <xdr:col>5</xdr:col>
      <xdr:colOff>333375</xdr:colOff>
      <xdr:row>119</xdr:row>
      <xdr:rowOff>95250</xdr:rowOff>
    </xdr:to>
    <xdr:grpSp>
      <xdr:nvGrpSpPr>
        <xdr:cNvPr id="23" name="Grupo 22"/>
        <xdr:cNvGrpSpPr/>
      </xdr:nvGrpSpPr>
      <xdr:grpSpPr>
        <a:xfrm>
          <a:off x="2476500" y="20497800"/>
          <a:ext cx="1095375" cy="2266950"/>
          <a:chOff x="2476500" y="20497800"/>
          <a:chExt cx="1095375" cy="2266950"/>
        </a:xfrm>
      </xdr:grpSpPr>
      <xdr:cxnSp macro="">
        <xdr:nvCxnSpPr>
          <xdr:cNvPr id="17" name="Conector recto 16"/>
          <xdr:cNvCxnSpPr/>
        </xdr:nvCxnSpPr>
        <xdr:spPr>
          <a:xfrm>
            <a:off x="2476500" y="22764750"/>
            <a:ext cx="108585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Conector recto 17"/>
          <xdr:cNvCxnSpPr/>
        </xdr:nvCxnSpPr>
        <xdr:spPr>
          <a:xfrm flipH="1">
            <a:off x="3562350" y="20497800"/>
            <a:ext cx="0" cy="2266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Conector recto 20"/>
          <xdr:cNvCxnSpPr/>
        </xdr:nvCxnSpPr>
        <xdr:spPr>
          <a:xfrm>
            <a:off x="3248025" y="20497800"/>
            <a:ext cx="323850" cy="0"/>
          </a:xfrm>
          <a:prstGeom prst="line">
            <a:avLst/>
          </a:prstGeom>
          <a:ln>
            <a:headEnd type="triangl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752475</xdr:colOff>
      <xdr:row>108</xdr:row>
      <xdr:rowOff>76200</xdr:rowOff>
    </xdr:from>
    <xdr:to>
      <xdr:col>5</xdr:col>
      <xdr:colOff>590550</xdr:colOff>
      <xdr:row>120</xdr:row>
      <xdr:rowOff>114300</xdr:rowOff>
    </xdr:to>
    <xdr:grpSp>
      <xdr:nvGrpSpPr>
        <xdr:cNvPr id="24" name="Grupo 23"/>
        <xdr:cNvGrpSpPr/>
      </xdr:nvGrpSpPr>
      <xdr:grpSpPr>
        <a:xfrm>
          <a:off x="2466975" y="20650200"/>
          <a:ext cx="1362075" cy="2324100"/>
          <a:chOff x="2476500" y="20488471"/>
          <a:chExt cx="1095375" cy="2276279"/>
        </a:xfrm>
      </xdr:grpSpPr>
      <xdr:cxnSp macro="">
        <xdr:nvCxnSpPr>
          <xdr:cNvPr id="25" name="Conector recto 24"/>
          <xdr:cNvCxnSpPr/>
        </xdr:nvCxnSpPr>
        <xdr:spPr>
          <a:xfrm>
            <a:off x="2476500" y="22764750"/>
            <a:ext cx="1085850" cy="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Conector recto 25"/>
          <xdr:cNvCxnSpPr/>
        </xdr:nvCxnSpPr>
        <xdr:spPr>
          <a:xfrm flipH="1">
            <a:off x="3562350" y="20497800"/>
            <a:ext cx="0" cy="226695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Conector recto 26"/>
          <xdr:cNvCxnSpPr/>
        </xdr:nvCxnSpPr>
        <xdr:spPr>
          <a:xfrm>
            <a:off x="3104617" y="20488471"/>
            <a:ext cx="467258" cy="0"/>
          </a:xfrm>
          <a:prstGeom prst="line">
            <a:avLst/>
          </a:prstGeom>
          <a:ln>
            <a:solidFill>
              <a:srgbClr val="FF0000"/>
            </a:solidFill>
            <a:headEnd type="triangle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1</xdr:row>
      <xdr:rowOff>95250</xdr:rowOff>
    </xdr:from>
    <xdr:to>
      <xdr:col>14</xdr:col>
      <xdr:colOff>113024</xdr:colOff>
      <xdr:row>44</xdr:row>
      <xdr:rowOff>94226</xdr:rowOff>
    </xdr:to>
    <xdr:grpSp>
      <xdr:nvGrpSpPr>
        <xdr:cNvPr id="12" name="Grupo 11"/>
        <xdr:cNvGrpSpPr>
          <a:grpSpLocks noChangeAspect="1"/>
        </xdr:cNvGrpSpPr>
      </xdr:nvGrpSpPr>
      <xdr:grpSpPr>
        <a:xfrm>
          <a:off x="571500" y="285750"/>
          <a:ext cx="10209524" cy="8190476"/>
          <a:chOff x="571500" y="285750"/>
          <a:chExt cx="10209524" cy="8190476"/>
        </a:xfrm>
      </xdr:grpSpPr>
      <xdr:pic>
        <xdr:nvPicPr>
          <xdr:cNvPr id="2" name="Imagen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71500" y="285750"/>
            <a:ext cx="10209524" cy="8190476"/>
          </a:xfrm>
          <a:prstGeom prst="rect">
            <a:avLst/>
          </a:prstGeom>
        </xdr:spPr>
      </xdr:pic>
      <xdr:sp macro="" textlink="">
        <xdr:nvSpPr>
          <xdr:cNvPr id="3" name="Rectángulo 2"/>
          <xdr:cNvSpPr/>
        </xdr:nvSpPr>
        <xdr:spPr>
          <a:xfrm>
            <a:off x="666750" y="3343275"/>
            <a:ext cx="5210175" cy="40005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17</xdr:col>
      <xdr:colOff>0</xdr:colOff>
      <xdr:row>0</xdr:row>
      <xdr:rowOff>0</xdr:rowOff>
    </xdr:from>
    <xdr:to>
      <xdr:col>24</xdr:col>
      <xdr:colOff>66000</xdr:colOff>
      <xdr:row>276</xdr:row>
      <xdr:rowOff>103762</xdr:rowOff>
    </xdr:to>
    <xdr:grpSp>
      <xdr:nvGrpSpPr>
        <xdr:cNvPr id="11" name="Grupo 10"/>
        <xdr:cNvGrpSpPr>
          <a:grpSpLocks noChangeAspect="1"/>
        </xdr:cNvGrpSpPr>
      </xdr:nvGrpSpPr>
      <xdr:grpSpPr>
        <a:xfrm>
          <a:off x="12954000" y="0"/>
          <a:ext cx="5400000" cy="52681762"/>
          <a:chOff x="12954000" y="0"/>
          <a:chExt cx="5400000" cy="52681762"/>
        </a:xfrm>
      </xdr:grpSpPr>
      <xdr:pic>
        <xdr:nvPicPr>
          <xdr:cNvPr id="4" name="Imagen 3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954000" y="0"/>
            <a:ext cx="5285714" cy="8142857"/>
          </a:xfrm>
          <a:prstGeom prst="rect">
            <a:avLst/>
          </a:prstGeom>
        </xdr:spPr>
      </xdr:pic>
      <xdr:pic>
        <xdr:nvPicPr>
          <xdr:cNvPr id="5" name="Imagen 4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2954000" y="8191500"/>
            <a:ext cx="5352381" cy="8114286"/>
          </a:xfrm>
          <a:prstGeom prst="rect">
            <a:avLst/>
          </a:prstGeom>
        </xdr:spPr>
      </xdr:pic>
      <xdr:pic>
        <xdr:nvPicPr>
          <xdr:cNvPr id="6" name="Imagen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954000" y="16383000"/>
            <a:ext cx="5400000" cy="8133333"/>
          </a:xfrm>
          <a:prstGeom prst="rect">
            <a:avLst/>
          </a:prstGeom>
        </xdr:spPr>
      </xdr:pic>
      <xdr:pic>
        <xdr:nvPicPr>
          <xdr:cNvPr id="7" name="Imagen 6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2954000" y="24574500"/>
            <a:ext cx="5371429" cy="8133333"/>
          </a:xfrm>
          <a:prstGeom prst="rect">
            <a:avLst/>
          </a:prstGeom>
        </xdr:spPr>
      </xdr:pic>
      <xdr:pic>
        <xdr:nvPicPr>
          <xdr:cNvPr id="8" name="Imagen 7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2954000" y="32766000"/>
            <a:ext cx="5352381" cy="8114286"/>
          </a:xfrm>
          <a:prstGeom prst="rect">
            <a:avLst/>
          </a:prstGeom>
        </xdr:spPr>
      </xdr:pic>
      <xdr:pic>
        <xdr:nvPicPr>
          <xdr:cNvPr id="9" name="Imagen 8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2954001" y="40957500"/>
            <a:ext cx="5353050" cy="3519875"/>
          </a:xfrm>
          <a:prstGeom prst="rect">
            <a:avLst/>
          </a:prstGeom>
        </xdr:spPr>
      </xdr:pic>
      <xdr:pic>
        <xdr:nvPicPr>
          <xdr:cNvPr id="10" name="Imagen 9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954000" y="44577000"/>
            <a:ext cx="5352381" cy="8104762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576220</xdr:colOff>
      <xdr:row>45</xdr:row>
      <xdr:rowOff>17976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133333" cy="85904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9</xdr:col>
      <xdr:colOff>261935</xdr:colOff>
      <xdr:row>65</xdr:row>
      <xdr:rowOff>151905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572500"/>
          <a:ext cx="8819048" cy="39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166688</xdr:colOff>
      <xdr:row>0</xdr:row>
      <xdr:rowOff>51324</xdr:rowOff>
    </xdr:from>
    <xdr:to>
      <xdr:col>21</xdr:col>
      <xdr:colOff>201706</xdr:colOff>
      <xdr:row>24</xdr:row>
      <xdr:rowOff>8753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78776" y="51324"/>
          <a:ext cx="8417018" cy="4529429"/>
        </a:xfrm>
        <a:prstGeom prst="rect">
          <a:avLst/>
        </a:prstGeom>
      </xdr:spPr>
    </xdr:pic>
    <xdr:clientData/>
  </xdr:twoCellAnchor>
  <xdr:twoCellAnchor editAs="oneCell">
    <xdr:from>
      <xdr:col>17</xdr:col>
      <xdr:colOff>239487</xdr:colOff>
      <xdr:row>68</xdr:row>
      <xdr:rowOff>39328</xdr:rowOff>
    </xdr:from>
    <xdr:to>
      <xdr:col>28</xdr:col>
      <xdr:colOff>746092</xdr:colOff>
      <xdr:row>83</xdr:row>
      <xdr:rowOff>166865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08630" y="12612328"/>
          <a:ext cx="8888605" cy="2985037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24</xdr:row>
      <xdr:rowOff>179294</xdr:rowOff>
    </xdr:from>
    <xdr:to>
      <xdr:col>24</xdr:col>
      <xdr:colOff>756325</xdr:colOff>
      <xdr:row>56</xdr:row>
      <xdr:rowOff>179294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312089" y="4751294"/>
          <a:ext cx="11424324" cy="6096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416718</xdr:colOff>
      <xdr:row>40</xdr:row>
      <xdr:rowOff>119063</xdr:rowOff>
    </xdr:from>
    <xdr:to>
      <xdr:col>23</xdr:col>
      <xdr:colOff>59531</xdr:colOff>
      <xdr:row>72</xdr:row>
      <xdr:rowOff>169232</xdr:rowOff>
    </xdr:to>
    <xdr:pic>
      <xdr:nvPicPr>
        <xdr:cNvPr id="153" name="Imagen 15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25874" y="8167688"/>
          <a:ext cx="8786813" cy="6146169"/>
        </a:xfrm>
        <a:prstGeom prst="rect">
          <a:avLst/>
        </a:prstGeom>
      </xdr:spPr>
    </xdr:pic>
    <xdr:clientData/>
  </xdr:twoCellAnchor>
  <xdr:twoCellAnchor>
    <xdr:from>
      <xdr:col>14</xdr:col>
      <xdr:colOff>488156</xdr:colOff>
      <xdr:row>44</xdr:row>
      <xdr:rowOff>130969</xdr:rowOff>
    </xdr:from>
    <xdr:to>
      <xdr:col>23</xdr:col>
      <xdr:colOff>452438</xdr:colOff>
      <xdr:row>72</xdr:row>
      <xdr:rowOff>23812</xdr:rowOff>
    </xdr:to>
    <xdr:graphicFrame macro="">
      <xdr:nvGraphicFramePr>
        <xdr:cNvPr id="113" name="Gráfico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149678</xdr:colOff>
      <xdr:row>5</xdr:row>
      <xdr:rowOff>163286</xdr:rowOff>
    </xdr:from>
    <xdr:to>
      <xdr:col>29</xdr:col>
      <xdr:colOff>1899535</xdr:colOff>
      <xdr:row>22</xdr:row>
      <xdr:rowOff>137000</xdr:rowOff>
    </xdr:to>
    <xdr:pic>
      <xdr:nvPicPr>
        <xdr:cNvPr id="112" name="Imagen 11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539607" y="1115786"/>
          <a:ext cx="11057143" cy="3457143"/>
        </a:xfrm>
        <a:prstGeom prst="rect">
          <a:avLst/>
        </a:prstGeom>
      </xdr:spPr>
    </xdr:pic>
    <xdr:clientData/>
  </xdr:twoCellAnchor>
  <xdr:oneCellAnchor>
    <xdr:from>
      <xdr:col>24</xdr:col>
      <xdr:colOff>1047750</xdr:colOff>
      <xdr:row>15</xdr:row>
      <xdr:rowOff>136071</xdr:rowOff>
    </xdr:from>
    <xdr:ext cx="600677" cy="342786"/>
    <xdr:sp macro="" textlink="">
      <xdr:nvSpPr>
        <xdr:cNvPr id="149" name="CuadroTexto 148"/>
        <xdr:cNvSpPr txBox="1"/>
      </xdr:nvSpPr>
      <xdr:spPr>
        <a:xfrm>
          <a:off x="23431500" y="3238500"/>
          <a:ext cx="60067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600" b="1"/>
            <a:t>1000</a:t>
          </a:r>
        </a:p>
      </xdr:txBody>
    </xdr:sp>
    <xdr:clientData/>
  </xdr:oneCellAnchor>
  <xdr:oneCellAnchor>
    <xdr:from>
      <xdr:col>19</xdr:col>
      <xdr:colOff>2057400</xdr:colOff>
      <xdr:row>12</xdr:row>
      <xdr:rowOff>193222</xdr:rowOff>
    </xdr:from>
    <xdr:ext cx="600677" cy="342786"/>
    <xdr:sp macro="" textlink="">
      <xdr:nvSpPr>
        <xdr:cNvPr id="150" name="CuadroTexto 149"/>
        <xdr:cNvSpPr txBox="1"/>
      </xdr:nvSpPr>
      <xdr:spPr>
        <a:xfrm>
          <a:off x="20127686" y="2601686"/>
          <a:ext cx="60067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600" b="1"/>
            <a:t>1100</a:t>
          </a:r>
        </a:p>
      </xdr:txBody>
    </xdr:sp>
    <xdr:clientData/>
  </xdr:oneCellAnchor>
  <xdr:oneCellAnchor>
    <xdr:from>
      <xdr:col>18</xdr:col>
      <xdr:colOff>236765</xdr:colOff>
      <xdr:row>11</xdr:row>
      <xdr:rowOff>19050</xdr:rowOff>
    </xdr:from>
    <xdr:ext cx="600677" cy="342786"/>
    <xdr:sp macro="" textlink="">
      <xdr:nvSpPr>
        <xdr:cNvPr id="151" name="CuadroTexto 150"/>
        <xdr:cNvSpPr txBox="1"/>
      </xdr:nvSpPr>
      <xdr:spPr>
        <a:xfrm>
          <a:off x="17626694" y="2196193"/>
          <a:ext cx="60067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600" b="1"/>
            <a:t>1200</a:t>
          </a:r>
        </a:p>
      </xdr:txBody>
    </xdr:sp>
    <xdr:clientData/>
  </xdr:oneCellAnchor>
  <xdr:twoCellAnchor editAs="oneCell">
    <xdr:from>
      <xdr:col>0</xdr:col>
      <xdr:colOff>557893</xdr:colOff>
      <xdr:row>36</xdr:row>
      <xdr:rowOff>176892</xdr:rowOff>
    </xdr:from>
    <xdr:to>
      <xdr:col>4</xdr:col>
      <xdr:colOff>2063396</xdr:colOff>
      <xdr:row>52</xdr:row>
      <xdr:rowOff>22690</xdr:rowOff>
    </xdr:to>
    <xdr:pic>
      <xdr:nvPicPr>
        <xdr:cNvPr id="152" name="Imagen 15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7893" y="7524749"/>
          <a:ext cx="5873396" cy="28937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30" zoomScaleNormal="13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07:E121"/>
  <sheetViews>
    <sheetView topLeftCell="A82" zoomScale="70" zoomScaleNormal="70" workbookViewId="0"/>
  </sheetViews>
  <sheetFormatPr baseColWidth="10" defaultRowHeight="15" x14ac:dyDescent="0.25"/>
  <cols>
    <col min="1" max="1" width="2.85546875" customWidth="1"/>
  </cols>
  <sheetData>
    <row r="107" spans="2:5" x14ac:dyDescent="0.25">
      <c r="C107" s="1" t="s">
        <v>12</v>
      </c>
      <c r="D107" s="2">
        <v>350</v>
      </c>
      <c r="E107" s="1" t="s">
        <v>13</v>
      </c>
    </row>
    <row r="108" spans="2:5" x14ac:dyDescent="0.25">
      <c r="C108" s="1" t="s">
        <v>0</v>
      </c>
      <c r="D108" s="1">
        <v>1.5</v>
      </c>
      <c r="E108" s="1" t="s">
        <v>14</v>
      </c>
    </row>
    <row r="109" spans="2:5" x14ac:dyDescent="0.25">
      <c r="C109" s="1" t="s">
        <v>10</v>
      </c>
      <c r="D109" s="1">
        <v>3</v>
      </c>
      <c r="E109" s="1" t="s">
        <v>14</v>
      </c>
    </row>
    <row r="110" spans="2:5" x14ac:dyDescent="0.25">
      <c r="C110" s="1" t="s">
        <v>1</v>
      </c>
      <c r="D110" s="2">
        <v>0.04</v>
      </c>
      <c r="E110" s="1" t="s">
        <v>14</v>
      </c>
    </row>
    <row r="111" spans="2:5" x14ac:dyDescent="0.25">
      <c r="C111" s="3" t="s">
        <v>2</v>
      </c>
      <c r="D111" s="4">
        <v>2.7</v>
      </c>
      <c r="E111" s="1" t="s">
        <v>14</v>
      </c>
    </row>
    <row r="112" spans="2:5" x14ac:dyDescent="0.25">
      <c r="B112" s="1" t="s">
        <v>6</v>
      </c>
      <c r="C112" s="1" t="s">
        <v>1</v>
      </c>
      <c r="D112" s="1">
        <f>D110</f>
        <v>0.04</v>
      </c>
      <c r="E112" s="1" t="str">
        <f>IF(AND(D112&gt;=0.016,D112&lt;=0.125),"OK","FALSE")</f>
        <v>OK</v>
      </c>
    </row>
    <row r="113" spans="2:5" x14ac:dyDescent="0.25">
      <c r="B113" s="1" t="s">
        <v>7</v>
      </c>
      <c r="C113" s="1" t="s">
        <v>3</v>
      </c>
      <c r="D113" s="5">
        <f>D108/D111</f>
        <v>0.55555555555555547</v>
      </c>
      <c r="E113" s="1" t="str">
        <f>IF(AND(D113&gt;=0.25,D113&lt;=0.75),"OK","FALSE")</f>
        <v>OK</v>
      </c>
    </row>
    <row r="114" spans="2:5" x14ac:dyDescent="0.25">
      <c r="B114" s="1" t="s">
        <v>8</v>
      </c>
      <c r="C114" s="1" t="s">
        <v>4</v>
      </c>
      <c r="D114" s="5">
        <f>D108/D109</f>
        <v>0.5</v>
      </c>
      <c r="E114" s="1" t="str">
        <f>IF(AND(D114&gt;=0.3,D114&lt;=0.7),"OK","FALSE")</f>
        <v>OK</v>
      </c>
    </row>
    <row r="115" spans="2:5" x14ac:dyDescent="0.25">
      <c r="B115" s="1" t="s">
        <v>9</v>
      </c>
      <c r="C115" s="1" t="s">
        <v>5</v>
      </c>
      <c r="D115" s="1">
        <f>D111/D110</f>
        <v>67.5</v>
      </c>
      <c r="E115" s="1" t="str">
        <f>IF(AND(D115&gt;=40,D115&lt;=250),"OK","FALSE")</f>
        <v>OK</v>
      </c>
    </row>
    <row r="116" spans="2:5" x14ac:dyDescent="0.25">
      <c r="C116" s="7" t="s">
        <v>11</v>
      </c>
      <c r="D116" s="1">
        <f>D107/D112</f>
        <v>8750</v>
      </c>
      <c r="E116" s="1" t="s">
        <v>15</v>
      </c>
    </row>
    <row r="117" spans="2:5" x14ac:dyDescent="0.25">
      <c r="C117" s="7" t="s">
        <v>16</v>
      </c>
      <c r="D117" s="2">
        <v>20000</v>
      </c>
      <c r="E117" s="1" t="s">
        <v>15</v>
      </c>
    </row>
    <row r="118" spans="2:5" x14ac:dyDescent="0.25">
      <c r="C118" s="7" t="s">
        <v>17</v>
      </c>
      <c r="D118" s="1">
        <f>D116/D117</f>
        <v>0.4375</v>
      </c>
      <c r="E118" s="1"/>
    </row>
    <row r="119" spans="2:5" x14ac:dyDescent="0.25">
      <c r="C119" s="6" t="s">
        <v>18</v>
      </c>
    </row>
    <row r="120" spans="2:5" x14ac:dyDescent="0.25">
      <c r="C120" s="7" t="s">
        <v>0</v>
      </c>
      <c r="D120" s="8">
        <f>0.54*D111</f>
        <v>1.4580000000000002</v>
      </c>
    </row>
    <row r="121" spans="2:5" x14ac:dyDescent="0.25">
      <c r="C121" s="7" t="s">
        <v>10</v>
      </c>
      <c r="D121" s="8">
        <f>D120/0.62</f>
        <v>2.3516129032258068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40" zoomScaleNormal="40" workbookViewId="0">
      <selection activeCell="AD49" sqref="AD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68:R195"/>
  <sheetViews>
    <sheetView topLeftCell="A46" zoomScale="70" zoomScaleNormal="70" workbookViewId="0">
      <selection activeCell="Q116" sqref="Q116"/>
    </sheetView>
  </sheetViews>
  <sheetFormatPr baseColWidth="10" defaultRowHeight="15" x14ac:dyDescent="0.25"/>
  <cols>
    <col min="2" max="2" width="16.85546875" bestFit="1" customWidth="1"/>
    <col min="3" max="3" width="13.85546875" bestFit="1" customWidth="1"/>
    <col min="4" max="4" width="9.28515625" bestFit="1" customWidth="1"/>
    <col min="5" max="5" width="31.28515625" bestFit="1" customWidth="1"/>
  </cols>
  <sheetData>
    <row r="68" spans="2:18" x14ac:dyDescent="0.25"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</row>
    <row r="71" spans="2:18" x14ac:dyDescent="0.25">
      <c r="B71" s="11" t="s">
        <v>38</v>
      </c>
      <c r="C71" s="11"/>
      <c r="D71" s="11"/>
      <c r="E71" s="11"/>
      <c r="H71" s="11" t="s">
        <v>38</v>
      </c>
      <c r="I71" s="11"/>
      <c r="J71" s="11"/>
      <c r="K71" s="11"/>
      <c r="L71" s="11"/>
      <c r="M71" s="11"/>
      <c r="N71" s="11"/>
      <c r="O71" s="11"/>
      <c r="P71" s="11"/>
    </row>
    <row r="72" spans="2:18" x14ac:dyDescent="0.25">
      <c r="B72" s="1" t="s">
        <v>24</v>
      </c>
      <c r="C72" s="1" t="s">
        <v>25</v>
      </c>
      <c r="D72" s="1" t="s">
        <v>26</v>
      </c>
      <c r="E72" s="1" t="s">
        <v>27</v>
      </c>
      <c r="H72" s="1" t="s">
        <v>31</v>
      </c>
      <c r="I72" s="16">
        <v>11101</v>
      </c>
      <c r="J72" s="17">
        <f>-0.184*22/2</f>
        <v>-2.024</v>
      </c>
      <c r="K72" s="1"/>
      <c r="L72" s="1">
        <v>50</v>
      </c>
      <c r="M72" s="1" t="s">
        <v>32</v>
      </c>
      <c r="N72" s="1">
        <v>20</v>
      </c>
      <c r="O72" s="1"/>
      <c r="P72" s="1" t="s">
        <v>33</v>
      </c>
    </row>
    <row r="73" spans="2:18" x14ac:dyDescent="0.25">
      <c r="B73" s="1" t="s">
        <v>1</v>
      </c>
      <c r="C73" s="10">
        <f>-J72*2</f>
        <v>4.048</v>
      </c>
      <c r="D73" s="9" t="s">
        <v>21</v>
      </c>
      <c r="E73" s="1" t="s">
        <v>28</v>
      </c>
      <c r="H73" s="1"/>
      <c r="I73" s="1">
        <v>78001</v>
      </c>
      <c r="J73" s="1">
        <v>0.184</v>
      </c>
      <c r="K73" s="1">
        <v>45</v>
      </c>
      <c r="L73" s="1" t="s">
        <v>34</v>
      </c>
      <c r="M73" s="1">
        <v>78001</v>
      </c>
      <c r="N73" s="1">
        <v>0.184</v>
      </c>
      <c r="O73" s="1">
        <v>-45</v>
      </c>
      <c r="P73" s="1" t="s">
        <v>34</v>
      </c>
    </row>
    <row r="74" spans="2:18" x14ac:dyDescent="0.25">
      <c r="B74" s="1" t="s">
        <v>20</v>
      </c>
      <c r="C74" s="12">
        <v>159</v>
      </c>
      <c r="D74" s="9" t="s">
        <v>21</v>
      </c>
      <c r="E74" s="1" t="s">
        <v>43</v>
      </c>
      <c r="H74" s="1"/>
      <c r="I74" s="1">
        <v>78001</v>
      </c>
      <c r="J74" s="1">
        <v>0.184</v>
      </c>
      <c r="K74" s="1">
        <v>0</v>
      </c>
      <c r="L74" s="1" t="s">
        <v>34</v>
      </c>
      <c r="M74" s="1">
        <v>78001</v>
      </c>
      <c r="N74" s="1">
        <v>0.184</v>
      </c>
      <c r="O74" s="1">
        <v>0</v>
      </c>
      <c r="P74" s="1" t="s">
        <v>34</v>
      </c>
    </row>
    <row r="75" spans="2:18" x14ac:dyDescent="0.25">
      <c r="B75" s="1" t="s">
        <v>0</v>
      </c>
      <c r="C75" s="12">
        <f>C74/2</f>
        <v>79.5</v>
      </c>
      <c r="D75" s="9" t="s">
        <v>21</v>
      </c>
      <c r="E75" s="1" t="s">
        <v>29</v>
      </c>
      <c r="H75" s="1"/>
      <c r="I75" s="1">
        <v>78001</v>
      </c>
      <c r="J75" s="1">
        <v>0.184</v>
      </c>
      <c r="K75" s="1">
        <v>90</v>
      </c>
      <c r="L75" s="1" t="s">
        <v>34</v>
      </c>
      <c r="M75" s="1">
        <v>78001</v>
      </c>
      <c r="N75" s="1">
        <v>0.184</v>
      </c>
      <c r="O75" s="1">
        <v>0</v>
      </c>
      <c r="P75" s="1" t="s">
        <v>34</v>
      </c>
    </row>
    <row r="76" spans="2:18" x14ac:dyDescent="0.25">
      <c r="B76" s="1" t="s">
        <v>10</v>
      </c>
      <c r="C76" s="12">
        <f>C75*2</f>
        <v>159</v>
      </c>
      <c r="D76" s="9" t="s">
        <v>21</v>
      </c>
      <c r="E76" s="1" t="s">
        <v>48</v>
      </c>
      <c r="H76" s="1"/>
      <c r="I76" s="1">
        <v>78001</v>
      </c>
      <c r="J76" s="1">
        <v>0.184</v>
      </c>
      <c r="K76" s="1">
        <v>0</v>
      </c>
      <c r="L76" s="1" t="s">
        <v>34</v>
      </c>
      <c r="M76" s="1">
        <v>78001</v>
      </c>
      <c r="N76" s="1">
        <v>0.184</v>
      </c>
      <c r="O76" s="1">
        <v>0</v>
      </c>
      <c r="P76" s="1" t="s">
        <v>34</v>
      </c>
    </row>
    <row r="77" spans="2:18" x14ac:dyDescent="0.25">
      <c r="B77" s="1" t="s">
        <v>19</v>
      </c>
      <c r="C77" s="12">
        <v>17526.006988308476</v>
      </c>
      <c r="D77" s="9" t="s">
        <v>22</v>
      </c>
      <c r="E77" s="1" t="s">
        <v>30</v>
      </c>
      <c r="H77" s="1"/>
      <c r="I77" s="1">
        <v>78001</v>
      </c>
      <c r="J77" s="1">
        <v>0.184</v>
      </c>
      <c r="K77" s="1">
        <v>45</v>
      </c>
      <c r="L77" s="1" t="s">
        <v>34</v>
      </c>
      <c r="M77" s="1">
        <v>78001</v>
      </c>
      <c r="N77" s="1">
        <v>0.184</v>
      </c>
      <c r="O77" s="1">
        <v>-45</v>
      </c>
      <c r="P77" s="1" t="s">
        <v>34</v>
      </c>
    </row>
    <row r="78" spans="2:18" x14ac:dyDescent="0.25">
      <c r="B78" s="1" t="s">
        <v>23</v>
      </c>
      <c r="C78" s="13">
        <f>C77</f>
        <v>17526.006988308476</v>
      </c>
      <c r="D78" s="9" t="s">
        <v>22</v>
      </c>
      <c r="E78" s="1" t="s">
        <v>35</v>
      </c>
      <c r="H78" s="1"/>
      <c r="I78" s="1">
        <v>78001</v>
      </c>
      <c r="J78" s="1">
        <v>0.184</v>
      </c>
      <c r="K78" s="1">
        <v>0</v>
      </c>
      <c r="L78" s="1" t="s">
        <v>34</v>
      </c>
      <c r="M78" s="1"/>
      <c r="N78" s="1"/>
      <c r="O78" s="1"/>
      <c r="P78" s="1"/>
    </row>
    <row r="79" spans="2:18" x14ac:dyDescent="0.25">
      <c r="B79" s="1" t="s">
        <v>44</v>
      </c>
      <c r="C79" s="14">
        <f>((C77*C73)/C78)*(1-C75/C76)*(1-(C75/C74)^3)</f>
        <v>1.7709999999999999</v>
      </c>
      <c r="D79" s="9" t="s">
        <v>21</v>
      </c>
      <c r="E79" s="1" t="s">
        <v>36</v>
      </c>
    </row>
    <row r="80" spans="2:18" x14ac:dyDescent="0.25">
      <c r="B80" s="1" t="s">
        <v>46</v>
      </c>
      <c r="C80" s="20">
        <f>(C77/C78)*C73*(1-(C75/C76))</f>
        <v>2.024</v>
      </c>
      <c r="D80" s="9" t="s">
        <v>21</v>
      </c>
      <c r="E80" s="1" t="s">
        <v>47</v>
      </c>
      <c r="F80" s="20"/>
    </row>
    <row r="81" spans="2:16" x14ac:dyDescent="0.25">
      <c r="B81" s="1" t="s">
        <v>45</v>
      </c>
      <c r="C81" s="12" t="s">
        <v>44</v>
      </c>
      <c r="D81" s="9"/>
      <c r="E81" s="1"/>
      <c r="F81" s="20"/>
    </row>
    <row r="82" spans="2:16" x14ac:dyDescent="0.25">
      <c r="B82" s="15" t="s">
        <v>37</v>
      </c>
      <c r="C82" s="19">
        <f>IF(C81="Tc_Niu_Cap5.6",0.184*C79/C73,0.184*C80/C73)</f>
        <v>8.0500000000000002E-2</v>
      </c>
      <c r="D82" s="9" t="s">
        <v>21</v>
      </c>
      <c r="E82" s="1"/>
    </row>
    <row r="84" spans="2:16" x14ac:dyDescent="0.25">
      <c r="B84" s="11" t="s">
        <v>39</v>
      </c>
      <c r="C84" s="11"/>
      <c r="D84" s="11"/>
      <c r="E84" s="11"/>
      <c r="H84" s="11" t="s">
        <v>39</v>
      </c>
      <c r="I84" s="11"/>
      <c r="J84" s="11"/>
      <c r="K84" s="11"/>
      <c r="L84" s="11"/>
      <c r="M84" s="11"/>
      <c r="N84" s="11"/>
      <c r="O84" s="11"/>
      <c r="P84" s="11"/>
    </row>
    <row r="85" spans="2:16" x14ac:dyDescent="0.25">
      <c r="B85" s="1" t="s">
        <v>24</v>
      </c>
      <c r="C85" s="1" t="s">
        <v>25</v>
      </c>
      <c r="D85" s="1" t="s">
        <v>26</v>
      </c>
      <c r="E85" s="1" t="s">
        <v>27</v>
      </c>
      <c r="H85" s="1" t="s">
        <v>31</v>
      </c>
      <c r="I85" s="16">
        <v>11102</v>
      </c>
      <c r="J85" s="17">
        <f>-0.184*18/2</f>
        <v>-1.6559999999999999</v>
      </c>
      <c r="K85" s="1"/>
      <c r="L85" s="1">
        <v>50</v>
      </c>
      <c r="M85" s="1" t="s">
        <v>32</v>
      </c>
      <c r="N85" s="1">
        <v>20</v>
      </c>
      <c r="O85" s="1"/>
      <c r="P85" s="1" t="s">
        <v>33</v>
      </c>
    </row>
    <row r="86" spans="2:16" x14ac:dyDescent="0.25">
      <c r="B86" s="1" t="s">
        <v>1</v>
      </c>
      <c r="C86" s="10">
        <f>-J85*2</f>
        <v>3.3119999999999998</v>
      </c>
      <c r="D86" s="9" t="s">
        <v>21</v>
      </c>
      <c r="E86" s="1" t="s">
        <v>28</v>
      </c>
      <c r="H86" s="1"/>
      <c r="I86" s="1">
        <v>78001</v>
      </c>
      <c r="J86" s="1">
        <v>0.184</v>
      </c>
      <c r="K86" s="1">
        <v>45</v>
      </c>
      <c r="L86" s="1" t="s">
        <v>34</v>
      </c>
      <c r="M86" s="1">
        <v>78001</v>
      </c>
      <c r="N86" s="1">
        <v>0.184</v>
      </c>
      <c r="O86" s="1">
        <v>-45</v>
      </c>
      <c r="P86" s="1" t="s">
        <v>34</v>
      </c>
    </row>
    <row r="87" spans="2:16" x14ac:dyDescent="0.25">
      <c r="B87" s="1" t="s">
        <v>20</v>
      </c>
      <c r="C87" s="12">
        <v>122</v>
      </c>
      <c r="D87" s="9" t="s">
        <v>21</v>
      </c>
      <c r="E87" s="1" t="s">
        <v>43</v>
      </c>
      <c r="H87" s="1"/>
      <c r="I87" s="1">
        <v>78001</v>
      </c>
      <c r="J87" s="1">
        <v>0.184</v>
      </c>
      <c r="K87" s="1">
        <v>0</v>
      </c>
      <c r="L87" s="1" t="s">
        <v>34</v>
      </c>
      <c r="M87" s="1">
        <v>78001</v>
      </c>
      <c r="N87" s="1">
        <v>0.184</v>
      </c>
      <c r="O87" s="1">
        <v>0</v>
      </c>
      <c r="P87" s="1" t="s">
        <v>34</v>
      </c>
    </row>
    <row r="88" spans="2:16" x14ac:dyDescent="0.25">
      <c r="B88" s="1" t="s">
        <v>0</v>
      </c>
      <c r="C88" s="12">
        <f>C87/2</f>
        <v>61</v>
      </c>
      <c r="D88" s="9" t="s">
        <v>21</v>
      </c>
      <c r="E88" s="1" t="s">
        <v>29</v>
      </c>
      <c r="H88" s="1"/>
      <c r="I88" s="1">
        <v>78001</v>
      </c>
      <c r="J88" s="1">
        <v>0.184</v>
      </c>
      <c r="K88" s="1">
        <v>90</v>
      </c>
      <c r="L88" s="1" t="s">
        <v>34</v>
      </c>
      <c r="M88" s="1">
        <v>78001</v>
      </c>
      <c r="N88" s="1">
        <v>0.184</v>
      </c>
      <c r="O88" s="1">
        <v>0</v>
      </c>
      <c r="P88" s="1" t="s">
        <v>34</v>
      </c>
    </row>
    <row r="89" spans="2:16" x14ac:dyDescent="0.25">
      <c r="B89" s="1" t="s">
        <v>10</v>
      </c>
      <c r="C89" s="12">
        <f>C88*2</f>
        <v>122</v>
      </c>
      <c r="D89" s="9" t="s">
        <v>21</v>
      </c>
      <c r="E89" s="1" t="s">
        <v>48</v>
      </c>
      <c r="H89" s="1"/>
      <c r="I89" s="1">
        <v>78001</v>
      </c>
      <c r="J89" s="1">
        <v>0.184</v>
      </c>
      <c r="K89" s="1">
        <v>0</v>
      </c>
      <c r="L89" s="1" t="s">
        <v>34</v>
      </c>
      <c r="M89" s="1">
        <v>78001</v>
      </c>
      <c r="N89" s="1">
        <v>0.184</v>
      </c>
      <c r="O89" s="1">
        <v>45</v>
      </c>
      <c r="P89" s="1" t="s">
        <v>34</v>
      </c>
    </row>
    <row r="90" spans="2:16" x14ac:dyDescent="0.25">
      <c r="B90" s="1" t="s">
        <v>19</v>
      </c>
      <c r="C90" s="12">
        <v>16780.552442853932</v>
      </c>
      <c r="D90" s="9" t="s">
        <v>22</v>
      </c>
      <c r="E90" s="1" t="s">
        <v>30</v>
      </c>
      <c r="H90" s="1"/>
      <c r="I90" s="1">
        <v>78001</v>
      </c>
      <c r="J90" s="1">
        <v>0.184</v>
      </c>
      <c r="K90" s="1">
        <v>-45</v>
      </c>
      <c r="L90" s="1" t="s">
        <v>34</v>
      </c>
      <c r="M90" s="1"/>
      <c r="N90" s="1"/>
      <c r="O90" s="1"/>
      <c r="P90" s="1"/>
    </row>
    <row r="91" spans="2:16" x14ac:dyDescent="0.25">
      <c r="B91" s="1" t="s">
        <v>23</v>
      </c>
      <c r="C91" s="13">
        <f>C90</f>
        <v>16780.552442853932</v>
      </c>
      <c r="D91" s="9" t="s">
        <v>22</v>
      </c>
      <c r="E91" s="1" t="s">
        <v>35</v>
      </c>
      <c r="H91" s="1"/>
      <c r="I91" s="1"/>
      <c r="J91" s="1"/>
      <c r="K91" s="1"/>
      <c r="L91" s="1"/>
      <c r="M91" s="1"/>
      <c r="N91" s="1"/>
      <c r="O91" s="1"/>
      <c r="P91" s="1"/>
    </row>
    <row r="92" spans="2:16" x14ac:dyDescent="0.25">
      <c r="B92" s="1" t="s">
        <v>44</v>
      </c>
      <c r="C92" s="14">
        <f>((C90*C86)/C91)*(1-C88/C89)*(1-(C88/C87)^3)</f>
        <v>1.4489999999999998</v>
      </c>
      <c r="D92" s="9" t="s">
        <v>21</v>
      </c>
      <c r="E92" s="1" t="s">
        <v>36</v>
      </c>
    </row>
    <row r="93" spans="2:16" x14ac:dyDescent="0.25">
      <c r="B93" s="1" t="s">
        <v>46</v>
      </c>
      <c r="C93" s="20">
        <f>(C90/C91)*C86*(1-(C88/C89))</f>
        <v>1.6559999999999999</v>
      </c>
      <c r="D93" s="9"/>
      <c r="E93" s="1" t="s">
        <v>47</v>
      </c>
      <c r="F93" s="20"/>
    </row>
    <row r="94" spans="2:16" x14ac:dyDescent="0.25">
      <c r="B94" s="1" t="s">
        <v>45</v>
      </c>
      <c r="C94" s="12" t="s">
        <v>44</v>
      </c>
      <c r="D94" s="9"/>
      <c r="E94" s="1"/>
      <c r="F94" s="20"/>
    </row>
    <row r="95" spans="2:16" x14ac:dyDescent="0.25">
      <c r="B95" s="15" t="s">
        <v>37</v>
      </c>
      <c r="C95" s="19">
        <f>IF(C94="Tc_Niu_Cap5.6",0.184*C92/C86,0.184*C93/C86)</f>
        <v>8.0499999999999988E-2</v>
      </c>
      <c r="D95" s="9" t="s">
        <v>21</v>
      </c>
      <c r="E95" s="1"/>
    </row>
    <row r="98" spans="2:18" x14ac:dyDescent="0.25"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</row>
    <row r="100" spans="2:18" x14ac:dyDescent="0.25">
      <c r="B100" s="21"/>
    </row>
    <row r="101" spans="2:18" x14ac:dyDescent="0.25">
      <c r="B101" s="11" t="s">
        <v>40</v>
      </c>
      <c r="C101" s="11"/>
      <c r="D101" s="11"/>
      <c r="E101" s="11"/>
      <c r="H101" s="11" t="s">
        <v>40</v>
      </c>
      <c r="I101" s="11"/>
      <c r="J101" s="11"/>
      <c r="K101" s="11"/>
      <c r="L101" s="11"/>
      <c r="M101" s="11"/>
      <c r="N101" s="11"/>
      <c r="O101" s="11"/>
      <c r="P101" s="11"/>
    </row>
    <row r="102" spans="2:18" x14ac:dyDescent="0.25">
      <c r="B102" s="1" t="s">
        <v>24</v>
      </c>
      <c r="C102" s="1" t="s">
        <v>25</v>
      </c>
      <c r="D102" s="1" t="s">
        <v>26</v>
      </c>
      <c r="E102" s="1" t="s">
        <v>27</v>
      </c>
      <c r="H102" s="1" t="s">
        <v>31</v>
      </c>
      <c r="I102" s="16">
        <v>10101</v>
      </c>
      <c r="J102" s="18">
        <f>-0.184*22/2</f>
        <v>-2.024</v>
      </c>
      <c r="K102" s="1"/>
      <c r="L102" s="1">
        <v>50</v>
      </c>
      <c r="M102" s="1" t="s">
        <v>32</v>
      </c>
      <c r="N102" s="1">
        <v>20</v>
      </c>
      <c r="O102" s="1"/>
      <c r="P102" s="1" t="s">
        <v>33</v>
      </c>
    </row>
    <row r="103" spans="2:18" x14ac:dyDescent="0.25">
      <c r="B103" s="1" t="s">
        <v>1</v>
      </c>
      <c r="C103" s="10">
        <f>-J102*2</f>
        <v>4.048</v>
      </c>
      <c r="D103" s="9" t="s">
        <v>21</v>
      </c>
      <c r="E103" s="1" t="s">
        <v>28</v>
      </c>
      <c r="H103" s="1"/>
      <c r="I103" s="1">
        <v>78001</v>
      </c>
      <c r="J103" s="1">
        <v>0.184</v>
      </c>
      <c r="K103" s="1">
        <v>45</v>
      </c>
      <c r="L103" s="1" t="s">
        <v>34</v>
      </c>
      <c r="M103" s="1">
        <v>78001</v>
      </c>
      <c r="N103" s="1">
        <v>0.184</v>
      </c>
      <c r="O103" s="1">
        <v>-45</v>
      </c>
      <c r="P103" s="1" t="s">
        <v>34</v>
      </c>
    </row>
    <row r="104" spans="2:18" x14ac:dyDescent="0.25">
      <c r="B104" s="1" t="s">
        <v>20</v>
      </c>
      <c r="C104" s="12">
        <v>338</v>
      </c>
      <c r="D104" s="9" t="s">
        <v>21</v>
      </c>
      <c r="E104" s="1" t="s">
        <v>43</v>
      </c>
      <c r="H104" s="1"/>
      <c r="I104" s="1">
        <v>78001</v>
      </c>
      <c r="J104" s="1">
        <v>0.184</v>
      </c>
      <c r="K104" s="1">
        <v>0</v>
      </c>
      <c r="L104" s="1" t="s">
        <v>34</v>
      </c>
      <c r="M104" s="1">
        <v>78001</v>
      </c>
      <c r="N104" s="1">
        <v>0.184</v>
      </c>
      <c r="O104" s="1">
        <v>90</v>
      </c>
      <c r="P104" s="1" t="s">
        <v>34</v>
      </c>
    </row>
    <row r="105" spans="2:18" x14ac:dyDescent="0.25">
      <c r="B105" s="1" t="s">
        <v>0</v>
      </c>
      <c r="C105" s="12">
        <f>C104/2</f>
        <v>169</v>
      </c>
      <c r="D105" s="9" t="s">
        <v>21</v>
      </c>
      <c r="E105" s="1" t="s">
        <v>29</v>
      </c>
      <c r="H105" s="1"/>
      <c r="I105" s="1">
        <v>78001</v>
      </c>
      <c r="J105" s="1">
        <v>0.184</v>
      </c>
      <c r="K105" s="1">
        <v>0</v>
      </c>
      <c r="L105" s="1" t="s">
        <v>34</v>
      </c>
      <c r="M105" s="1">
        <v>78001</v>
      </c>
      <c r="N105" s="1">
        <v>0.184</v>
      </c>
      <c r="O105" s="1">
        <v>45</v>
      </c>
      <c r="P105" s="1" t="s">
        <v>34</v>
      </c>
    </row>
    <row r="106" spans="2:18" x14ac:dyDescent="0.25">
      <c r="B106" s="1" t="s">
        <v>10</v>
      </c>
      <c r="C106" s="12">
        <f>C105*2</f>
        <v>338</v>
      </c>
      <c r="D106" s="9" t="s">
        <v>21</v>
      </c>
      <c r="E106" s="1" t="s">
        <v>48</v>
      </c>
      <c r="H106" s="1"/>
      <c r="I106" s="1">
        <v>78001</v>
      </c>
      <c r="J106" s="1">
        <v>0.184</v>
      </c>
      <c r="K106" s="1">
        <v>-45</v>
      </c>
      <c r="L106" s="1" t="s">
        <v>34</v>
      </c>
      <c r="M106" s="1">
        <v>78001</v>
      </c>
      <c r="N106" s="1">
        <v>0.184</v>
      </c>
      <c r="O106" s="1">
        <v>0</v>
      </c>
      <c r="P106" s="1" t="s">
        <v>34</v>
      </c>
    </row>
    <row r="107" spans="2:18" x14ac:dyDescent="0.25">
      <c r="B107" s="1" t="s">
        <v>19</v>
      </c>
      <c r="C107" s="12">
        <v>24239.010482462709</v>
      </c>
      <c r="D107" s="9" t="s">
        <v>22</v>
      </c>
      <c r="E107" s="1" t="s">
        <v>30</v>
      </c>
      <c r="H107" s="1"/>
      <c r="I107" s="1">
        <v>78001</v>
      </c>
      <c r="J107" s="1">
        <v>0.184</v>
      </c>
      <c r="K107" s="1">
        <v>0</v>
      </c>
      <c r="L107" s="1" t="s">
        <v>34</v>
      </c>
      <c r="M107" s="1">
        <v>78001</v>
      </c>
      <c r="N107" s="1">
        <v>0.184</v>
      </c>
      <c r="O107" s="1">
        <v>45</v>
      </c>
      <c r="P107" s="1" t="s">
        <v>34</v>
      </c>
    </row>
    <row r="108" spans="2:18" x14ac:dyDescent="0.25">
      <c r="B108" s="1" t="s">
        <v>23</v>
      </c>
      <c r="C108" s="13">
        <f>C107</f>
        <v>24239.010482462709</v>
      </c>
      <c r="D108" s="9" t="s">
        <v>22</v>
      </c>
      <c r="E108" s="1" t="s">
        <v>35</v>
      </c>
      <c r="H108" s="1"/>
      <c r="I108" s="1">
        <v>78001</v>
      </c>
      <c r="J108" s="1">
        <v>0.184</v>
      </c>
      <c r="K108" s="1">
        <v>-45</v>
      </c>
      <c r="L108" s="1" t="s">
        <v>34</v>
      </c>
      <c r="M108" s="1"/>
      <c r="N108" s="1"/>
      <c r="O108" s="1"/>
      <c r="P108" s="1"/>
    </row>
    <row r="109" spans="2:18" x14ac:dyDescent="0.25">
      <c r="B109" s="1" t="s">
        <v>44</v>
      </c>
      <c r="C109" s="14">
        <f>((C107*C103)/C108)*(1-C105/C106)*(1-(C105/C104)^3)</f>
        <v>1.7709999999999999</v>
      </c>
      <c r="D109" s="9" t="s">
        <v>21</v>
      </c>
      <c r="E109" s="1" t="s">
        <v>36</v>
      </c>
    </row>
    <row r="110" spans="2:18" x14ac:dyDescent="0.25">
      <c r="B110" s="1" t="s">
        <v>46</v>
      </c>
      <c r="C110" s="20">
        <f>(C107/C108)*C103*(1-(C105/C106))</f>
        <v>2.024</v>
      </c>
      <c r="D110" s="9"/>
      <c r="E110" s="1" t="s">
        <v>47</v>
      </c>
      <c r="F110" s="20"/>
    </row>
    <row r="111" spans="2:18" x14ac:dyDescent="0.25">
      <c r="B111" s="1" t="s">
        <v>45</v>
      </c>
      <c r="C111" s="12" t="s">
        <v>44</v>
      </c>
      <c r="D111" s="9"/>
      <c r="E111" s="1"/>
      <c r="F111" s="20"/>
    </row>
    <row r="112" spans="2:18" x14ac:dyDescent="0.25">
      <c r="B112" s="15" t="s">
        <v>37</v>
      </c>
      <c r="C112" s="19">
        <f>IF(C111="Tc_Niu_Cap5.6",0.184*C109/C103,0.184*C110/C103)</f>
        <v>8.0500000000000002E-2</v>
      </c>
      <c r="D112" s="9" t="s">
        <v>21</v>
      </c>
      <c r="E112" s="1"/>
    </row>
    <row r="114" spans="2:16" x14ac:dyDescent="0.25">
      <c r="B114" s="11" t="s">
        <v>41</v>
      </c>
      <c r="C114" s="11"/>
      <c r="D114" s="11"/>
      <c r="E114" s="11"/>
      <c r="H114" s="11" t="s">
        <v>41</v>
      </c>
      <c r="I114" s="11"/>
      <c r="J114" s="11"/>
      <c r="K114" s="11"/>
      <c r="L114" s="11"/>
      <c r="M114" s="11"/>
      <c r="N114" s="11"/>
      <c r="O114" s="11"/>
      <c r="P114" s="11"/>
    </row>
    <row r="115" spans="2:16" x14ac:dyDescent="0.25">
      <c r="B115" s="1" t="s">
        <v>24</v>
      </c>
      <c r="C115" s="1" t="s">
        <v>25</v>
      </c>
      <c r="D115" s="1" t="s">
        <v>26</v>
      </c>
      <c r="E115" s="1" t="s">
        <v>27</v>
      </c>
      <c r="H115" s="1" t="s">
        <v>31</v>
      </c>
      <c r="I115" s="16">
        <v>10102</v>
      </c>
      <c r="J115" s="17">
        <f>-0.184*24/2</f>
        <v>-2.2080000000000002</v>
      </c>
      <c r="K115" s="1"/>
      <c r="L115" s="1">
        <v>50</v>
      </c>
      <c r="M115" s="1" t="s">
        <v>32</v>
      </c>
      <c r="N115" s="1">
        <v>20</v>
      </c>
      <c r="O115" s="1"/>
      <c r="P115" s="1" t="s">
        <v>33</v>
      </c>
    </row>
    <row r="116" spans="2:16" x14ac:dyDescent="0.25">
      <c r="B116" s="1" t="s">
        <v>1</v>
      </c>
      <c r="C116" s="10">
        <f>-J115*2</f>
        <v>4.4160000000000004</v>
      </c>
      <c r="D116" s="9" t="s">
        <v>21</v>
      </c>
      <c r="E116" s="1" t="s">
        <v>28</v>
      </c>
      <c r="H116" s="1"/>
      <c r="I116" s="1">
        <v>78001</v>
      </c>
      <c r="J116" s="1">
        <v>0.184</v>
      </c>
      <c r="K116" s="1">
        <v>45</v>
      </c>
      <c r="L116" s="1" t="s">
        <v>34</v>
      </c>
      <c r="M116" s="1">
        <v>78001</v>
      </c>
      <c r="N116" s="1">
        <v>0.184</v>
      </c>
      <c r="O116" s="1">
        <v>-45</v>
      </c>
      <c r="P116" s="1" t="s">
        <v>34</v>
      </c>
    </row>
    <row r="117" spans="2:16" x14ac:dyDescent="0.25">
      <c r="B117" s="1" t="s">
        <v>20</v>
      </c>
      <c r="C117" s="12">
        <v>336</v>
      </c>
      <c r="D117" s="9" t="s">
        <v>21</v>
      </c>
      <c r="E117" s="1" t="s">
        <v>43</v>
      </c>
      <c r="H117" s="1"/>
      <c r="I117" s="1">
        <v>78001</v>
      </c>
      <c r="J117" s="1">
        <v>0.184</v>
      </c>
      <c r="K117" s="1">
        <v>0</v>
      </c>
      <c r="L117" s="1" t="s">
        <v>34</v>
      </c>
      <c r="M117" s="1">
        <v>78001</v>
      </c>
      <c r="N117" s="1">
        <v>0.184</v>
      </c>
      <c r="O117" s="1">
        <v>0</v>
      </c>
      <c r="P117" s="1" t="s">
        <v>34</v>
      </c>
    </row>
    <row r="118" spans="2:16" x14ac:dyDescent="0.25">
      <c r="B118" s="1" t="s">
        <v>0</v>
      </c>
      <c r="C118" s="12">
        <f>C117/2</f>
        <v>168</v>
      </c>
      <c r="D118" s="9" t="s">
        <v>21</v>
      </c>
      <c r="E118" s="1" t="s">
        <v>29</v>
      </c>
      <c r="H118" s="1"/>
      <c r="I118" s="1">
        <v>78001</v>
      </c>
      <c r="J118" s="1">
        <v>0.184</v>
      </c>
      <c r="K118" s="1">
        <v>90</v>
      </c>
      <c r="L118" s="1" t="s">
        <v>34</v>
      </c>
      <c r="M118" s="1">
        <v>78001</v>
      </c>
      <c r="N118" s="1">
        <v>0.184</v>
      </c>
      <c r="O118" s="1">
        <v>0</v>
      </c>
      <c r="P118" s="1" t="s">
        <v>34</v>
      </c>
    </row>
    <row r="119" spans="2:16" x14ac:dyDescent="0.25">
      <c r="B119" s="1" t="s">
        <v>10</v>
      </c>
      <c r="C119" s="12">
        <f>C118*2</f>
        <v>336</v>
      </c>
      <c r="D119" s="9" t="s">
        <v>21</v>
      </c>
      <c r="E119" s="1" t="s">
        <v>48</v>
      </c>
      <c r="H119" s="1"/>
      <c r="I119" s="1">
        <v>78001</v>
      </c>
      <c r="J119" s="1">
        <v>0.184</v>
      </c>
      <c r="K119" s="1">
        <v>45</v>
      </c>
      <c r="L119" s="1" t="s">
        <v>34</v>
      </c>
      <c r="M119" s="1">
        <v>78001</v>
      </c>
      <c r="N119" s="1">
        <v>0.184</v>
      </c>
      <c r="O119" s="1">
        <v>-45</v>
      </c>
      <c r="P119" s="1" t="s">
        <v>34</v>
      </c>
    </row>
    <row r="120" spans="2:16" x14ac:dyDescent="0.25">
      <c r="B120" s="1" t="s">
        <v>19</v>
      </c>
      <c r="C120" s="12">
        <v>22560.759608924149</v>
      </c>
      <c r="D120" s="9" t="s">
        <v>22</v>
      </c>
      <c r="E120" s="1" t="s">
        <v>30</v>
      </c>
      <c r="H120" s="1"/>
      <c r="I120" s="1">
        <v>78001</v>
      </c>
      <c r="J120" s="1">
        <v>0.184</v>
      </c>
      <c r="K120" s="1">
        <v>0</v>
      </c>
      <c r="L120" s="1" t="s">
        <v>34</v>
      </c>
      <c r="M120" s="1">
        <v>78001</v>
      </c>
      <c r="N120" s="1">
        <v>0.184</v>
      </c>
      <c r="O120" s="1">
        <v>0</v>
      </c>
      <c r="P120" s="1" t="s">
        <v>34</v>
      </c>
    </row>
    <row r="121" spans="2:16" x14ac:dyDescent="0.25">
      <c r="B121" s="1" t="s">
        <v>23</v>
      </c>
      <c r="C121" s="13">
        <f>C120</f>
        <v>22560.759608924149</v>
      </c>
      <c r="D121" s="9" t="s">
        <v>22</v>
      </c>
      <c r="E121" s="1" t="s">
        <v>35</v>
      </c>
      <c r="H121" s="1"/>
      <c r="I121" s="1">
        <v>78001</v>
      </c>
      <c r="J121" s="1">
        <v>0.184</v>
      </c>
      <c r="K121" s="1">
        <v>45</v>
      </c>
      <c r="L121" s="1" t="s">
        <v>34</v>
      </c>
      <c r="M121" s="1">
        <v>78001</v>
      </c>
      <c r="N121" s="1">
        <v>0.184</v>
      </c>
      <c r="O121" s="1">
        <v>-45</v>
      </c>
      <c r="P121" s="1" t="s">
        <v>34</v>
      </c>
    </row>
    <row r="122" spans="2:16" x14ac:dyDescent="0.25">
      <c r="B122" s="1" t="s">
        <v>44</v>
      </c>
      <c r="C122" s="14">
        <f>((C120*C116)/C121)*(1-C118/C119)*(1-(C118/C117)^3)</f>
        <v>1.9320000000000002</v>
      </c>
      <c r="D122" s="9" t="s">
        <v>21</v>
      </c>
      <c r="E122" s="1" t="s">
        <v>36</v>
      </c>
    </row>
    <row r="123" spans="2:16" x14ac:dyDescent="0.25">
      <c r="B123" s="1" t="s">
        <v>46</v>
      </c>
      <c r="C123" s="20">
        <f>(C120/C121)*C116*(1-(C118/C119))</f>
        <v>2.2080000000000002</v>
      </c>
      <c r="D123" s="9"/>
      <c r="E123" s="1" t="s">
        <v>47</v>
      </c>
      <c r="F123" s="20"/>
    </row>
    <row r="124" spans="2:16" x14ac:dyDescent="0.25">
      <c r="B124" s="1" t="s">
        <v>45</v>
      </c>
      <c r="C124" s="12" t="s">
        <v>44</v>
      </c>
      <c r="D124" s="9"/>
      <c r="E124" s="1"/>
      <c r="F124" s="20"/>
    </row>
    <row r="125" spans="2:16" x14ac:dyDescent="0.25">
      <c r="B125" s="15" t="s">
        <v>37</v>
      </c>
      <c r="C125" s="19">
        <f>IF(C124="Tc_Niu_Cap5.6",0.184*C122/C116,0.184*C123/C116)</f>
        <v>8.0500000000000002E-2</v>
      </c>
      <c r="D125" s="9" t="s">
        <v>21</v>
      </c>
      <c r="E125" s="1"/>
    </row>
    <row r="127" spans="2:16" x14ac:dyDescent="0.25">
      <c r="B127" s="11" t="s">
        <v>42</v>
      </c>
      <c r="C127" s="11"/>
      <c r="D127" s="11"/>
      <c r="E127" s="11"/>
      <c r="H127" s="11" t="s">
        <v>42</v>
      </c>
      <c r="I127" s="11"/>
      <c r="J127" s="11"/>
      <c r="K127" s="11"/>
      <c r="L127" s="11"/>
      <c r="M127" s="11"/>
      <c r="N127" s="11"/>
      <c r="O127" s="11"/>
      <c r="P127" s="11"/>
    </row>
    <row r="128" spans="2:16" x14ac:dyDescent="0.25">
      <c r="B128" s="1" t="s">
        <v>24</v>
      </c>
      <c r="C128" s="1" t="s">
        <v>25</v>
      </c>
      <c r="D128" s="1" t="s">
        <v>26</v>
      </c>
      <c r="E128" s="1" t="s">
        <v>27</v>
      </c>
      <c r="H128" s="1" t="s">
        <v>31</v>
      </c>
      <c r="I128" s="16">
        <v>10103</v>
      </c>
      <c r="J128" s="17">
        <f>-0.184*16/2</f>
        <v>-1.472</v>
      </c>
      <c r="K128" s="1"/>
      <c r="L128" s="1">
        <v>50</v>
      </c>
      <c r="M128" s="1" t="s">
        <v>32</v>
      </c>
      <c r="N128" s="1">
        <v>20</v>
      </c>
      <c r="O128" s="1"/>
      <c r="P128" s="1" t="s">
        <v>33</v>
      </c>
    </row>
    <row r="129" spans="2:18" x14ac:dyDescent="0.25">
      <c r="B129" s="1" t="s">
        <v>1</v>
      </c>
      <c r="C129" s="10">
        <f>-J128*2</f>
        <v>2.944</v>
      </c>
      <c r="D129" s="9" t="s">
        <v>21</v>
      </c>
      <c r="E129" s="1" t="s">
        <v>28</v>
      </c>
      <c r="H129" s="1"/>
      <c r="I129" s="1">
        <v>78001</v>
      </c>
      <c r="J129" s="1">
        <v>0.184</v>
      </c>
      <c r="K129" s="1">
        <v>45</v>
      </c>
      <c r="L129" s="1" t="s">
        <v>34</v>
      </c>
      <c r="M129" s="1">
        <v>78001</v>
      </c>
      <c r="N129" s="1">
        <v>0.184</v>
      </c>
      <c r="O129" s="1">
        <v>-45</v>
      </c>
      <c r="P129" s="1" t="s">
        <v>34</v>
      </c>
    </row>
    <row r="130" spans="2:18" x14ac:dyDescent="0.25">
      <c r="B130" s="1" t="s">
        <v>20</v>
      </c>
      <c r="C130" s="12">
        <v>243</v>
      </c>
      <c r="D130" s="9" t="s">
        <v>21</v>
      </c>
      <c r="E130" s="1" t="s">
        <v>43</v>
      </c>
      <c r="H130" s="1"/>
      <c r="I130" s="1">
        <v>78001</v>
      </c>
      <c r="J130" s="1">
        <v>0.184</v>
      </c>
      <c r="K130" s="1">
        <v>0</v>
      </c>
      <c r="L130" s="1" t="s">
        <v>34</v>
      </c>
      <c r="M130" s="1">
        <v>78001</v>
      </c>
      <c r="N130" s="1">
        <v>0.184</v>
      </c>
      <c r="O130" s="1">
        <v>0</v>
      </c>
      <c r="P130" s="1" t="s">
        <v>34</v>
      </c>
    </row>
    <row r="131" spans="2:18" x14ac:dyDescent="0.25">
      <c r="B131" s="1" t="s">
        <v>0</v>
      </c>
      <c r="C131" s="12">
        <f>C130/2</f>
        <v>121.5</v>
      </c>
      <c r="D131" s="9" t="s">
        <v>21</v>
      </c>
      <c r="E131" s="1" t="s">
        <v>29</v>
      </c>
      <c r="H131" s="1"/>
      <c r="I131" s="1">
        <v>78001</v>
      </c>
      <c r="J131" s="1">
        <v>0.184</v>
      </c>
      <c r="K131" s="1">
        <v>90</v>
      </c>
      <c r="L131" s="1" t="s">
        <v>34</v>
      </c>
      <c r="M131" s="1">
        <v>78001</v>
      </c>
      <c r="N131" s="1">
        <v>0.184</v>
      </c>
      <c r="O131" s="1">
        <v>0</v>
      </c>
      <c r="P131" s="1" t="s">
        <v>34</v>
      </c>
    </row>
    <row r="132" spans="2:18" x14ac:dyDescent="0.25">
      <c r="B132" s="1" t="s">
        <v>10</v>
      </c>
      <c r="C132" s="12">
        <f>C131*2</f>
        <v>243</v>
      </c>
      <c r="D132" s="9" t="s">
        <v>21</v>
      </c>
      <c r="E132" s="1" t="s">
        <v>48</v>
      </c>
      <c r="H132" s="1"/>
      <c r="I132" s="1">
        <v>78001</v>
      </c>
      <c r="J132" s="1">
        <v>0.184</v>
      </c>
      <c r="K132" s="1">
        <v>45</v>
      </c>
      <c r="L132" s="1" t="s">
        <v>34</v>
      </c>
      <c r="M132" s="1">
        <v>78001</v>
      </c>
      <c r="N132" s="1">
        <v>0.184</v>
      </c>
      <c r="O132" s="1">
        <v>-45</v>
      </c>
      <c r="P132" s="1" t="s">
        <v>34</v>
      </c>
    </row>
    <row r="133" spans="2:18" x14ac:dyDescent="0.25">
      <c r="B133" s="1" t="s">
        <v>19</v>
      </c>
      <c r="C133" s="12">
        <v>16407.825170126656</v>
      </c>
      <c r="D133" s="9" t="s">
        <v>22</v>
      </c>
      <c r="E133" s="1" t="s">
        <v>30</v>
      </c>
      <c r="H133" s="1"/>
      <c r="I133" s="1"/>
      <c r="J133" s="1"/>
      <c r="K133" s="1"/>
      <c r="L133" s="1"/>
      <c r="M133" s="1"/>
      <c r="N133" s="1"/>
      <c r="O133" s="1"/>
      <c r="P133" s="1"/>
    </row>
    <row r="134" spans="2:18" x14ac:dyDescent="0.25">
      <c r="B134" s="1" t="s">
        <v>23</v>
      </c>
      <c r="C134" s="13">
        <f>C133</f>
        <v>16407.825170126656</v>
      </c>
      <c r="D134" s="9" t="s">
        <v>22</v>
      </c>
      <c r="E134" s="1" t="s">
        <v>35</v>
      </c>
      <c r="H134" s="1"/>
      <c r="I134" s="1"/>
      <c r="J134" s="1"/>
      <c r="K134" s="1"/>
      <c r="L134" s="1"/>
      <c r="M134" s="1"/>
      <c r="N134" s="1"/>
      <c r="O134" s="1"/>
      <c r="P134" s="1"/>
    </row>
    <row r="135" spans="2:18" x14ac:dyDescent="0.25">
      <c r="B135" s="1" t="s">
        <v>44</v>
      </c>
      <c r="C135" s="14">
        <f>((C133*C129)/C134)*(1-C131/C132)*(1-(C131/C130)^3)</f>
        <v>1.288</v>
      </c>
      <c r="D135" s="9" t="s">
        <v>21</v>
      </c>
      <c r="E135" s="1" t="s">
        <v>36</v>
      </c>
    </row>
    <row r="136" spans="2:18" x14ac:dyDescent="0.25">
      <c r="B136" s="1" t="s">
        <v>46</v>
      </c>
      <c r="C136" s="20">
        <f>(C133/C134)*C129*(1-(C131/C132))</f>
        <v>1.472</v>
      </c>
      <c r="D136" s="9"/>
      <c r="E136" s="1" t="s">
        <v>47</v>
      </c>
      <c r="F136" s="20"/>
    </row>
    <row r="137" spans="2:18" x14ac:dyDescent="0.25">
      <c r="B137" s="1" t="s">
        <v>45</v>
      </c>
      <c r="C137" s="12" t="s">
        <v>44</v>
      </c>
      <c r="D137" s="9"/>
      <c r="E137" s="1"/>
      <c r="F137" s="20"/>
    </row>
    <row r="138" spans="2:18" x14ac:dyDescent="0.25">
      <c r="B138" s="15" t="s">
        <v>37</v>
      </c>
      <c r="C138" s="19">
        <f>IF(C137="Tc_Niu_Cap5.6",0.184*C135/C129,0.184*C136/C129)</f>
        <v>8.0500000000000002E-2</v>
      </c>
      <c r="D138" s="9" t="s">
        <v>21</v>
      </c>
      <c r="E138" s="1"/>
    </row>
    <row r="141" spans="2:18" x14ac:dyDescent="0.25"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</row>
    <row r="142" spans="2:18" x14ac:dyDescent="0.25"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</row>
    <row r="145" spans="2:18" x14ac:dyDescent="0.25">
      <c r="B145" s="11" t="s">
        <v>49</v>
      </c>
      <c r="C145" s="11"/>
      <c r="D145" s="11"/>
      <c r="E145" s="11"/>
      <c r="H145" s="11" t="str">
        <f>B145</f>
        <v>$ VTP FWD SPAR STACK HOLE DOWN</v>
      </c>
      <c r="I145" s="11"/>
      <c r="J145" s="11"/>
      <c r="K145" s="11"/>
      <c r="L145" s="11"/>
      <c r="M145" s="11"/>
      <c r="N145" s="11"/>
      <c r="O145" s="11"/>
      <c r="P145" s="11"/>
      <c r="R145" t="s">
        <v>55</v>
      </c>
    </row>
    <row r="146" spans="2:18" x14ac:dyDescent="0.25">
      <c r="B146" s="1" t="s">
        <v>24</v>
      </c>
      <c r="C146" s="1" t="s">
        <v>25</v>
      </c>
      <c r="D146" s="1" t="s">
        <v>26</v>
      </c>
      <c r="E146" s="1" t="s">
        <v>27</v>
      </c>
      <c r="H146" s="1" t="s">
        <v>31</v>
      </c>
      <c r="I146" s="16">
        <v>10204</v>
      </c>
      <c r="J146" s="17">
        <v>0</v>
      </c>
      <c r="K146" s="1"/>
      <c r="L146" s="1">
        <v>50</v>
      </c>
      <c r="M146" s="1" t="s">
        <v>32</v>
      </c>
      <c r="N146" s="1">
        <v>20</v>
      </c>
      <c r="O146" s="1"/>
      <c r="P146" s="1" t="s">
        <v>33</v>
      </c>
    </row>
    <row r="147" spans="2:18" x14ac:dyDescent="0.25">
      <c r="B147" s="1" t="s">
        <v>1</v>
      </c>
      <c r="C147" s="10">
        <f>0.184*14*2</f>
        <v>5.1520000000000001</v>
      </c>
      <c r="D147" s="9" t="s">
        <v>21</v>
      </c>
      <c r="E147" s="1" t="s">
        <v>28</v>
      </c>
      <c r="H147" s="1"/>
      <c r="I147" s="1">
        <v>78001</v>
      </c>
      <c r="J147" s="1">
        <v>0.184</v>
      </c>
      <c r="K147" s="1">
        <v>45</v>
      </c>
      <c r="L147" s="1" t="s">
        <v>34</v>
      </c>
      <c r="M147" s="1">
        <v>78001</v>
      </c>
      <c r="N147" s="1">
        <v>0.184</v>
      </c>
      <c r="O147" s="1">
        <v>-45</v>
      </c>
      <c r="P147" s="1" t="s">
        <v>34</v>
      </c>
    </row>
    <row r="148" spans="2:18" x14ac:dyDescent="0.25">
      <c r="B148" s="1" t="s">
        <v>20</v>
      </c>
      <c r="C148" s="12">
        <v>326</v>
      </c>
      <c r="D148" s="9" t="s">
        <v>21</v>
      </c>
      <c r="E148" s="1" t="s">
        <v>43</v>
      </c>
      <c r="H148" s="1"/>
      <c r="I148" s="1">
        <v>78001</v>
      </c>
      <c r="J148" s="1">
        <v>0.184</v>
      </c>
      <c r="K148" s="1">
        <v>0</v>
      </c>
      <c r="L148" s="1" t="s">
        <v>34</v>
      </c>
      <c r="M148" s="1">
        <v>78001</v>
      </c>
      <c r="N148" s="1">
        <v>0.184</v>
      </c>
      <c r="O148" s="1">
        <v>0</v>
      </c>
      <c r="P148" s="1" t="s">
        <v>34</v>
      </c>
    </row>
    <row r="149" spans="2:18" x14ac:dyDescent="0.25">
      <c r="B149" s="1" t="s">
        <v>0</v>
      </c>
      <c r="C149" s="12">
        <f>C148/2</f>
        <v>163</v>
      </c>
      <c r="D149" s="9" t="s">
        <v>21</v>
      </c>
      <c r="E149" s="1" t="s">
        <v>29</v>
      </c>
      <c r="H149" s="1"/>
      <c r="I149" s="1">
        <v>78001</v>
      </c>
      <c r="J149" s="1">
        <v>0.184</v>
      </c>
      <c r="K149" s="1">
        <v>0</v>
      </c>
      <c r="L149" s="1" t="s">
        <v>34</v>
      </c>
      <c r="M149" s="1">
        <v>78001</v>
      </c>
      <c r="N149" s="1">
        <v>0.184</v>
      </c>
      <c r="O149" s="1">
        <v>90</v>
      </c>
      <c r="P149" s="1" t="s">
        <v>34</v>
      </c>
    </row>
    <row r="150" spans="2:18" x14ac:dyDescent="0.25">
      <c r="B150" s="1" t="s">
        <v>10</v>
      </c>
      <c r="C150" s="12">
        <f>C149*2</f>
        <v>326</v>
      </c>
      <c r="D150" s="9" t="s">
        <v>21</v>
      </c>
      <c r="E150" s="1" t="s">
        <v>48</v>
      </c>
      <c r="H150" s="1"/>
      <c r="I150" s="1">
        <v>78001</v>
      </c>
      <c r="J150" s="1">
        <v>0.184</v>
      </c>
      <c r="K150" s="1">
        <v>0</v>
      </c>
      <c r="L150" s="1" t="s">
        <v>34</v>
      </c>
      <c r="M150" s="1">
        <v>78001</v>
      </c>
      <c r="N150" s="1">
        <v>0.184</v>
      </c>
      <c r="O150" s="1">
        <v>0</v>
      </c>
      <c r="P150" s="1" t="s">
        <v>34</v>
      </c>
    </row>
    <row r="151" spans="2:18" x14ac:dyDescent="0.25">
      <c r="B151" s="1" t="s">
        <v>19</v>
      </c>
      <c r="C151" s="12">
        <v>19923.508236220696</v>
      </c>
      <c r="D151" s="9" t="s">
        <v>22</v>
      </c>
      <c r="E151" s="1" t="s">
        <v>30</v>
      </c>
      <c r="H151" s="1"/>
      <c r="I151" s="1">
        <v>78001</v>
      </c>
      <c r="J151" s="1">
        <v>0.184</v>
      </c>
      <c r="K151" s="1">
        <v>45</v>
      </c>
      <c r="L151" s="1" t="s">
        <v>34</v>
      </c>
      <c r="M151" s="1">
        <v>78001</v>
      </c>
      <c r="N151" s="1">
        <v>0.184</v>
      </c>
      <c r="O151" s="1">
        <v>-45</v>
      </c>
      <c r="P151" s="1" t="s">
        <v>34</v>
      </c>
    </row>
    <row r="152" spans="2:18" x14ac:dyDescent="0.25">
      <c r="B152" s="1" t="s">
        <v>23</v>
      </c>
      <c r="C152" s="13">
        <f>C151</f>
        <v>19923.508236220696</v>
      </c>
      <c r="D152" s="9" t="s">
        <v>22</v>
      </c>
      <c r="E152" s="1" t="s">
        <v>35</v>
      </c>
      <c r="H152" s="1"/>
      <c r="I152" s="1">
        <v>78001</v>
      </c>
      <c r="J152" s="1">
        <v>0.184</v>
      </c>
      <c r="K152" s="1">
        <v>0</v>
      </c>
      <c r="L152" s="1" t="s">
        <v>34</v>
      </c>
      <c r="M152" s="1">
        <v>78001</v>
      </c>
      <c r="N152" s="1">
        <v>0.184</v>
      </c>
      <c r="O152" s="1">
        <v>0</v>
      </c>
      <c r="P152" s="1" t="s">
        <v>34</v>
      </c>
    </row>
    <row r="153" spans="2:18" x14ac:dyDescent="0.25">
      <c r="B153" s="1" t="s">
        <v>44</v>
      </c>
      <c r="C153" s="14">
        <f>((C151*C147)/C152)*(1-C149/C150)*(1-(C149/C148)^3)</f>
        <v>2.254</v>
      </c>
      <c r="D153" s="9" t="s">
        <v>21</v>
      </c>
      <c r="E153" s="1" t="s">
        <v>36</v>
      </c>
      <c r="H153" s="1"/>
      <c r="I153" s="1">
        <v>78001</v>
      </c>
      <c r="J153" s="1">
        <v>0.184</v>
      </c>
      <c r="K153" s="1">
        <v>45</v>
      </c>
      <c r="L153" s="1" t="s">
        <v>34</v>
      </c>
      <c r="M153" s="1">
        <v>78001</v>
      </c>
      <c r="N153" s="1">
        <v>0.184</v>
      </c>
      <c r="O153" s="1">
        <v>-45</v>
      </c>
      <c r="P153" s="1" t="s">
        <v>34</v>
      </c>
    </row>
    <row r="154" spans="2:18" x14ac:dyDescent="0.25">
      <c r="B154" s="1" t="s">
        <v>46</v>
      </c>
      <c r="C154" s="20">
        <f>(C151/C152)*C147*(1-(C149/C150))</f>
        <v>2.5760000000000001</v>
      </c>
      <c r="D154" s="9"/>
      <c r="E154" s="1" t="s">
        <v>47</v>
      </c>
      <c r="F154" s="20"/>
    </row>
    <row r="155" spans="2:18" x14ac:dyDescent="0.25">
      <c r="B155" s="1" t="s">
        <v>45</v>
      </c>
      <c r="C155" s="12" t="s">
        <v>44</v>
      </c>
      <c r="D155" s="9"/>
      <c r="E155" s="1"/>
      <c r="F155" s="20"/>
    </row>
    <row r="156" spans="2:18" x14ac:dyDescent="0.25">
      <c r="B156" s="15" t="s">
        <v>37</v>
      </c>
      <c r="C156" s="19">
        <f>IF(C155="Tc_Niu_Cap5.6",0.184*C153/C147,0.184*C154/C147)</f>
        <v>8.0500000000000002E-2</v>
      </c>
      <c r="D156" s="9" t="s">
        <v>21</v>
      </c>
      <c r="E156" s="1"/>
    </row>
    <row r="158" spans="2:18" x14ac:dyDescent="0.25">
      <c r="B158" s="11" t="s">
        <v>50</v>
      </c>
      <c r="C158" s="11"/>
      <c r="D158" s="11"/>
      <c r="E158" s="11"/>
      <c r="H158" s="11" t="str">
        <f>B158</f>
        <v>$ VTP FWD SPAR STACK HOLE UP</v>
      </c>
      <c r="I158" s="11"/>
      <c r="J158" s="11"/>
      <c r="K158" s="11"/>
      <c r="L158" s="11"/>
      <c r="M158" s="11"/>
      <c r="N158" s="11"/>
      <c r="O158" s="11"/>
      <c r="P158" s="11"/>
      <c r="R158" t="s">
        <v>56</v>
      </c>
    </row>
    <row r="159" spans="2:18" x14ac:dyDescent="0.25">
      <c r="B159" s="1" t="s">
        <v>24</v>
      </c>
      <c r="C159" s="1" t="s">
        <v>25</v>
      </c>
      <c r="D159" s="1" t="s">
        <v>26</v>
      </c>
      <c r="E159" s="1" t="s">
        <v>27</v>
      </c>
      <c r="H159" s="1" t="s">
        <v>31</v>
      </c>
      <c r="I159" s="16">
        <v>10205</v>
      </c>
      <c r="J159" s="17">
        <v>0</v>
      </c>
      <c r="K159" s="1"/>
      <c r="L159" s="1">
        <v>50</v>
      </c>
      <c r="M159" s="1" t="s">
        <v>32</v>
      </c>
      <c r="N159" s="1">
        <v>20</v>
      </c>
      <c r="O159" s="1"/>
      <c r="P159" s="1" t="s">
        <v>33</v>
      </c>
    </row>
    <row r="160" spans="2:18" x14ac:dyDescent="0.25">
      <c r="B160" s="1" t="s">
        <v>1</v>
      </c>
      <c r="C160" s="10">
        <f>0.184*11*2</f>
        <v>4.048</v>
      </c>
      <c r="D160" s="9" t="s">
        <v>21</v>
      </c>
      <c r="E160" s="1" t="s">
        <v>28</v>
      </c>
      <c r="H160" s="1"/>
      <c r="I160" s="1">
        <v>78001</v>
      </c>
      <c r="J160" s="1">
        <v>0.184</v>
      </c>
      <c r="K160" s="1">
        <v>45</v>
      </c>
      <c r="L160" s="1" t="s">
        <v>34</v>
      </c>
      <c r="M160" s="1">
        <v>78001</v>
      </c>
      <c r="N160" s="1">
        <v>0.184</v>
      </c>
      <c r="O160" s="1">
        <v>-45</v>
      </c>
      <c r="P160" s="1" t="s">
        <v>34</v>
      </c>
    </row>
    <row r="161" spans="2:18" x14ac:dyDescent="0.25">
      <c r="B161" s="1" t="s">
        <v>20</v>
      </c>
      <c r="C161" s="12">
        <v>248</v>
      </c>
      <c r="D161" s="9" t="s">
        <v>21</v>
      </c>
      <c r="E161" s="1" t="s">
        <v>43</v>
      </c>
      <c r="H161" s="1"/>
      <c r="I161" s="1">
        <v>78001</v>
      </c>
      <c r="J161" s="1">
        <v>0.184</v>
      </c>
      <c r="K161" s="1">
        <v>0</v>
      </c>
      <c r="L161" s="1" t="s">
        <v>34</v>
      </c>
      <c r="M161" s="1">
        <v>78001</v>
      </c>
      <c r="N161" s="1">
        <v>0.184</v>
      </c>
      <c r="O161" s="1">
        <v>90</v>
      </c>
      <c r="P161" s="1" t="s">
        <v>34</v>
      </c>
    </row>
    <row r="162" spans="2:18" x14ac:dyDescent="0.25">
      <c r="B162" s="1" t="s">
        <v>0</v>
      </c>
      <c r="C162" s="12">
        <f>C161/2</f>
        <v>124</v>
      </c>
      <c r="D162" s="9" t="s">
        <v>21</v>
      </c>
      <c r="E162" s="1" t="s">
        <v>29</v>
      </c>
      <c r="H162" s="1"/>
      <c r="I162" s="1">
        <v>78001</v>
      </c>
      <c r="J162" s="1">
        <v>0.184</v>
      </c>
      <c r="K162" s="1">
        <v>0</v>
      </c>
      <c r="L162" s="1" t="s">
        <v>34</v>
      </c>
      <c r="M162" s="1">
        <v>78001</v>
      </c>
      <c r="N162" s="1">
        <v>0.184</v>
      </c>
      <c r="O162" s="1">
        <v>45</v>
      </c>
      <c r="P162" s="1" t="s">
        <v>34</v>
      </c>
    </row>
    <row r="163" spans="2:18" x14ac:dyDescent="0.25">
      <c r="B163" s="1" t="s">
        <v>10</v>
      </c>
      <c r="C163" s="12">
        <f>C162*2</f>
        <v>248</v>
      </c>
      <c r="D163" s="9" t="s">
        <v>21</v>
      </c>
      <c r="E163" s="1" t="s">
        <v>48</v>
      </c>
      <c r="H163" s="1"/>
      <c r="I163" s="1">
        <v>78001</v>
      </c>
      <c r="J163" s="1">
        <v>0.184</v>
      </c>
      <c r="K163" s="1">
        <v>-45</v>
      </c>
      <c r="L163" s="1" t="s">
        <v>34</v>
      </c>
      <c r="M163" s="1">
        <v>78001</v>
      </c>
      <c r="N163" s="1">
        <v>0.184</v>
      </c>
      <c r="O163" s="1">
        <v>0</v>
      </c>
      <c r="P163" s="1" t="s">
        <v>34</v>
      </c>
    </row>
    <row r="164" spans="2:18" x14ac:dyDescent="0.25">
      <c r="B164" s="1" t="s">
        <v>19</v>
      </c>
      <c r="C164" s="12">
        <v>24239.010482462709</v>
      </c>
      <c r="D164" s="9" t="s">
        <v>22</v>
      </c>
      <c r="E164" s="1" t="s">
        <v>30</v>
      </c>
      <c r="H164" s="1"/>
      <c r="I164" s="1">
        <v>78001</v>
      </c>
      <c r="J164" s="1">
        <v>0.184</v>
      </c>
      <c r="K164" s="1">
        <v>0</v>
      </c>
      <c r="L164" s="1" t="s">
        <v>34</v>
      </c>
      <c r="M164" s="1">
        <v>78001</v>
      </c>
      <c r="N164" s="1">
        <v>0.184</v>
      </c>
      <c r="O164" s="1">
        <v>45</v>
      </c>
      <c r="P164" s="1" t="s">
        <v>34</v>
      </c>
    </row>
    <row r="165" spans="2:18" x14ac:dyDescent="0.25">
      <c r="B165" s="1" t="s">
        <v>23</v>
      </c>
      <c r="C165" s="13">
        <f>C164</f>
        <v>24239.010482462709</v>
      </c>
      <c r="D165" s="9" t="s">
        <v>22</v>
      </c>
      <c r="E165" s="1" t="s">
        <v>35</v>
      </c>
      <c r="H165" s="1"/>
      <c r="I165" s="1">
        <v>78001</v>
      </c>
      <c r="J165" s="1">
        <v>0.184</v>
      </c>
      <c r="K165" s="1">
        <v>-45</v>
      </c>
      <c r="L165" s="1" t="s">
        <v>34</v>
      </c>
      <c r="M165" s="1"/>
      <c r="N165" s="1"/>
      <c r="O165" s="1"/>
      <c r="P165" s="1"/>
    </row>
    <row r="166" spans="2:18" x14ac:dyDescent="0.25">
      <c r="B166" s="1" t="s">
        <v>44</v>
      </c>
      <c r="C166" s="14">
        <f>((C164*C160)/C165)*(1-C162/C163)*(1-(C162/C161)^3)</f>
        <v>1.7709999999999999</v>
      </c>
      <c r="D166" s="9" t="s">
        <v>21</v>
      </c>
      <c r="E166" s="1" t="s">
        <v>36</v>
      </c>
    </row>
    <row r="167" spans="2:18" x14ac:dyDescent="0.25">
      <c r="B167" s="1" t="s">
        <v>46</v>
      </c>
      <c r="C167" s="20">
        <f>(C164/C165)*C160*(1-(C162/C163))</f>
        <v>2.024</v>
      </c>
      <c r="D167" s="9"/>
      <c r="E167" s="1" t="s">
        <v>47</v>
      </c>
      <c r="F167" s="20"/>
    </row>
    <row r="168" spans="2:18" x14ac:dyDescent="0.25">
      <c r="B168" s="1" t="s">
        <v>45</v>
      </c>
      <c r="C168" s="12" t="s">
        <v>44</v>
      </c>
      <c r="D168" s="9"/>
      <c r="E168" s="1"/>
      <c r="F168" s="20"/>
    </row>
    <row r="169" spans="2:18" x14ac:dyDescent="0.25">
      <c r="B169" s="15" t="s">
        <v>37</v>
      </c>
      <c r="C169" s="19">
        <f>IF(C168="Tc_Niu_Cap5.6",0.184*C166/C160,0.184*C167/C160)</f>
        <v>8.0500000000000002E-2</v>
      </c>
      <c r="D169" s="9" t="s">
        <v>21</v>
      </c>
      <c r="E169" s="1"/>
    </row>
    <row r="171" spans="2:18" x14ac:dyDescent="0.25">
      <c r="B171" s="11" t="s">
        <v>51</v>
      </c>
      <c r="C171" s="11"/>
      <c r="D171" s="11"/>
      <c r="E171" s="11"/>
      <c r="H171" s="11" t="str">
        <f>B171</f>
        <v>$ VTP REAR SPAR STACK HOLE DOWN (rib 4 to 5)</v>
      </c>
      <c r="I171" s="11"/>
      <c r="J171" s="11"/>
      <c r="K171" s="11"/>
      <c r="L171" s="11"/>
      <c r="M171" s="11"/>
      <c r="N171" s="11"/>
      <c r="O171" s="11"/>
      <c r="P171" s="11"/>
      <c r="R171" t="s">
        <v>53</v>
      </c>
    </row>
    <row r="172" spans="2:18" x14ac:dyDescent="0.25">
      <c r="B172" s="1" t="s">
        <v>24</v>
      </c>
      <c r="C172" s="1" t="s">
        <v>25</v>
      </c>
      <c r="D172" s="1" t="s">
        <v>26</v>
      </c>
      <c r="E172" s="1" t="s">
        <v>27</v>
      </c>
      <c r="H172" s="1" t="s">
        <v>31</v>
      </c>
      <c r="I172" s="16">
        <v>10206</v>
      </c>
      <c r="J172" s="17">
        <v>0</v>
      </c>
      <c r="K172" s="1"/>
      <c r="L172" s="1">
        <v>50</v>
      </c>
      <c r="M172" s="1" t="s">
        <v>32</v>
      </c>
      <c r="N172" s="1">
        <v>20</v>
      </c>
      <c r="O172" s="1"/>
      <c r="P172" s="1" t="s">
        <v>33</v>
      </c>
    </row>
    <row r="173" spans="2:18" x14ac:dyDescent="0.25">
      <c r="B173" s="1" t="s">
        <v>1</v>
      </c>
      <c r="C173" s="10">
        <v>2.944</v>
      </c>
      <c r="D173" s="9" t="s">
        <v>21</v>
      </c>
      <c r="E173" s="1" t="s">
        <v>28</v>
      </c>
      <c r="H173" s="1"/>
      <c r="I173" s="1">
        <v>78001</v>
      </c>
      <c r="J173" s="1">
        <v>0.184</v>
      </c>
      <c r="K173" s="1">
        <v>45</v>
      </c>
      <c r="L173" s="1" t="s">
        <v>34</v>
      </c>
      <c r="M173" s="1">
        <v>78001</v>
      </c>
      <c r="N173" s="1">
        <v>0.184</v>
      </c>
      <c r="O173" s="1">
        <v>-45</v>
      </c>
      <c r="P173" s="1" t="s">
        <v>34</v>
      </c>
    </row>
    <row r="174" spans="2:18" x14ac:dyDescent="0.25">
      <c r="B174" s="1" t="s">
        <v>20</v>
      </c>
      <c r="C174" s="12">
        <v>163</v>
      </c>
      <c r="D174" s="9" t="s">
        <v>21</v>
      </c>
      <c r="E174" s="1" t="s">
        <v>43</v>
      </c>
      <c r="H174" s="1"/>
      <c r="I174" s="1">
        <v>78001</v>
      </c>
      <c r="J174" s="1">
        <v>0.184</v>
      </c>
      <c r="K174" s="1">
        <v>0</v>
      </c>
      <c r="L174" s="1" t="s">
        <v>34</v>
      </c>
      <c r="M174" s="1">
        <v>78001</v>
      </c>
      <c r="N174" s="1">
        <v>0.184</v>
      </c>
      <c r="O174" s="1">
        <v>0</v>
      </c>
      <c r="P174" s="1" t="s">
        <v>34</v>
      </c>
    </row>
    <row r="175" spans="2:18" x14ac:dyDescent="0.25">
      <c r="B175" s="1" t="s">
        <v>0</v>
      </c>
      <c r="C175" s="12">
        <f>C174/2</f>
        <v>81.5</v>
      </c>
      <c r="D175" s="9" t="s">
        <v>21</v>
      </c>
      <c r="E175" s="1" t="s">
        <v>29</v>
      </c>
      <c r="H175" s="1"/>
      <c r="I175" s="1">
        <v>78001</v>
      </c>
      <c r="J175" s="1">
        <v>0.184</v>
      </c>
      <c r="K175" s="1">
        <v>90</v>
      </c>
      <c r="L175" s="1" t="s">
        <v>34</v>
      </c>
      <c r="M175" s="1">
        <v>78001</v>
      </c>
      <c r="N175" s="1">
        <v>0.184</v>
      </c>
      <c r="O175" s="1">
        <v>0</v>
      </c>
      <c r="P175" s="1" t="s">
        <v>34</v>
      </c>
    </row>
    <row r="176" spans="2:18" x14ac:dyDescent="0.25">
      <c r="B176" s="1" t="s">
        <v>10</v>
      </c>
      <c r="C176" s="12">
        <f>C175*2</f>
        <v>163</v>
      </c>
      <c r="D176" s="9" t="s">
        <v>21</v>
      </c>
      <c r="E176" s="1" t="s">
        <v>48</v>
      </c>
      <c r="H176" s="1"/>
      <c r="I176" s="1">
        <v>78001</v>
      </c>
      <c r="J176" s="1">
        <v>0.184</v>
      </c>
      <c r="K176" s="1">
        <v>45</v>
      </c>
      <c r="L176" s="1" t="s">
        <v>34</v>
      </c>
      <c r="M176" s="1">
        <v>78001</v>
      </c>
      <c r="N176" s="1">
        <v>0.184</v>
      </c>
      <c r="O176" s="1">
        <v>-45</v>
      </c>
      <c r="P176" s="1" t="s">
        <v>34</v>
      </c>
    </row>
    <row r="177" spans="2:18" x14ac:dyDescent="0.25">
      <c r="B177" s="1" t="s">
        <v>19</v>
      </c>
      <c r="C177" s="12">
        <v>16407.825170126656</v>
      </c>
      <c r="D177" s="9" t="s">
        <v>22</v>
      </c>
      <c r="E177" s="1" t="s">
        <v>30</v>
      </c>
      <c r="H177" s="1"/>
      <c r="I177" s="1"/>
      <c r="J177" s="1"/>
      <c r="K177" s="1"/>
      <c r="L177" s="1"/>
      <c r="M177" s="1"/>
      <c r="N177" s="1"/>
      <c r="O177" s="1"/>
      <c r="P177" s="1"/>
    </row>
    <row r="178" spans="2:18" x14ac:dyDescent="0.25">
      <c r="B178" s="1" t="s">
        <v>23</v>
      </c>
      <c r="C178" s="13">
        <f>C177</f>
        <v>16407.825170126656</v>
      </c>
      <c r="D178" s="9" t="s">
        <v>22</v>
      </c>
      <c r="E178" s="1" t="s">
        <v>35</v>
      </c>
      <c r="H178" s="1"/>
      <c r="I178" s="1"/>
      <c r="J178" s="1"/>
      <c r="K178" s="1"/>
      <c r="L178" s="1"/>
      <c r="M178" s="1"/>
      <c r="N178" s="1"/>
      <c r="O178" s="1"/>
      <c r="P178" s="1"/>
    </row>
    <row r="179" spans="2:18" x14ac:dyDescent="0.25">
      <c r="B179" s="1" t="s">
        <v>44</v>
      </c>
      <c r="C179" s="14">
        <f>((C177*C173)/C178)*(1-C175/C176)*(1-(C175/C174)^3)</f>
        <v>1.288</v>
      </c>
      <c r="D179" s="9" t="s">
        <v>21</v>
      </c>
      <c r="E179" s="1" t="s">
        <v>36</v>
      </c>
    </row>
    <row r="180" spans="2:18" x14ac:dyDescent="0.25">
      <c r="B180" s="1" t="s">
        <v>46</v>
      </c>
      <c r="C180" s="20">
        <f>(C177/C178)*C173*(1-(C175/C176))</f>
        <v>1.472</v>
      </c>
      <c r="D180" s="9"/>
      <c r="E180" s="1" t="s">
        <v>47</v>
      </c>
      <c r="F180" s="20"/>
    </row>
    <row r="181" spans="2:18" x14ac:dyDescent="0.25">
      <c r="B181" s="1" t="s">
        <v>45</v>
      </c>
      <c r="C181" s="12" t="s">
        <v>44</v>
      </c>
      <c r="D181" s="9"/>
      <c r="E181" s="1"/>
      <c r="F181" s="20"/>
    </row>
    <row r="182" spans="2:18" x14ac:dyDescent="0.25">
      <c r="B182" s="15" t="s">
        <v>37</v>
      </c>
      <c r="C182" s="19">
        <f>IF(C181="Tc_Niu_Cap5.6",0.184*C179/C173,0.184*C180/C173)</f>
        <v>8.0500000000000002E-2</v>
      </c>
      <c r="D182" s="9" t="s">
        <v>21</v>
      </c>
      <c r="E182" s="1"/>
    </row>
    <row r="184" spans="2:18" x14ac:dyDescent="0.25">
      <c r="B184" s="11" t="s">
        <v>52</v>
      </c>
      <c r="C184" s="11"/>
      <c r="D184" s="11"/>
      <c r="E184" s="11"/>
      <c r="H184" s="11" t="str">
        <f>B184</f>
        <v>$ VTP REAR SPAR STACK HOLE UP (rib 7 to 8)</v>
      </c>
      <c r="I184" s="11"/>
      <c r="J184" s="11"/>
      <c r="K184" s="11"/>
      <c r="L184" s="11"/>
      <c r="M184" s="11"/>
      <c r="N184" s="11"/>
      <c r="O184" s="11"/>
      <c r="P184" s="11"/>
      <c r="R184" t="s">
        <v>54</v>
      </c>
    </row>
    <row r="185" spans="2:18" x14ac:dyDescent="0.25">
      <c r="B185" s="1" t="s">
        <v>24</v>
      </c>
      <c r="C185" s="1" t="s">
        <v>25</v>
      </c>
      <c r="D185" s="1" t="s">
        <v>26</v>
      </c>
      <c r="E185" s="1" t="s">
        <v>27</v>
      </c>
      <c r="H185" s="1" t="s">
        <v>31</v>
      </c>
      <c r="I185" s="16">
        <v>10207</v>
      </c>
      <c r="J185" s="17">
        <v>0</v>
      </c>
      <c r="K185" s="1"/>
      <c r="L185" s="1">
        <v>50</v>
      </c>
      <c r="M185" s="1" t="s">
        <v>32</v>
      </c>
      <c r="N185" s="1">
        <v>20</v>
      </c>
      <c r="O185" s="1"/>
      <c r="P185" s="1" t="s">
        <v>33</v>
      </c>
    </row>
    <row r="186" spans="2:18" x14ac:dyDescent="0.25">
      <c r="B186" s="1" t="s">
        <v>1</v>
      </c>
      <c r="C186" s="10">
        <v>2.944</v>
      </c>
      <c r="D186" s="9" t="s">
        <v>21</v>
      </c>
      <c r="E186" s="1" t="s">
        <v>28</v>
      </c>
      <c r="H186" s="1"/>
      <c r="I186" s="1">
        <v>78001</v>
      </c>
      <c r="J186" s="1">
        <v>0.184</v>
      </c>
      <c r="K186" s="1">
        <v>45</v>
      </c>
      <c r="L186" s="1" t="s">
        <v>34</v>
      </c>
      <c r="M186" s="1">
        <v>78001</v>
      </c>
      <c r="N186" s="1">
        <v>0.184</v>
      </c>
      <c r="O186" s="1">
        <v>-45</v>
      </c>
      <c r="P186" s="1" t="s">
        <v>34</v>
      </c>
    </row>
    <row r="187" spans="2:18" x14ac:dyDescent="0.25">
      <c r="B187" s="1" t="s">
        <v>20</v>
      </c>
      <c r="C187" s="12">
        <v>131</v>
      </c>
      <c r="D187" s="9" t="s">
        <v>21</v>
      </c>
      <c r="E187" s="1" t="s">
        <v>43</v>
      </c>
      <c r="H187" s="1"/>
      <c r="I187" s="1">
        <v>78001</v>
      </c>
      <c r="J187" s="1">
        <v>0.184</v>
      </c>
      <c r="K187" s="1">
        <v>0</v>
      </c>
      <c r="L187" s="1" t="s">
        <v>34</v>
      </c>
      <c r="M187" s="1">
        <v>78001</v>
      </c>
      <c r="N187" s="1">
        <v>0.184</v>
      </c>
      <c r="O187" s="1">
        <v>0</v>
      </c>
      <c r="P187" s="1" t="s">
        <v>34</v>
      </c>
    </row>
    <row r="188" spans="2:18" x14ac:dyDescent="0.25">
      <c r="B188" s="1" t="s">
        <v>0</v>
      </c>
      <c r="C188" s="12">
        <f>C187/2</f>
        <v>65.5</v>
      </c>
      <c r="D188" s="9" t="s">
        <v>21</v>
      </c>
      <c r="E188" s="1" t="s">
        <v>29</v>
      </c>
      <c r="H188" s="1"/>
      <c r="I188" s="1">
        <v>78001</v>
      </c>
      <c r="J188" s="1">
        <v>0.184</v>
      </c>
      <c r="K188" s="1">
        <v>90</v>
      </c>
      <c r="L188" s="1" t="s">
        <v>34</v>
      </c>
      <c r="M188" s="1">
        <v>78001</v>
      </c>
      <c r="N188" s="1">
        <v>0.184</v>
      </c>
      <c r="O188" s="1">
        <v>0</v>
      </c>
      <c r="P188" s="1" t="s">
        <v>34</v>
      </c>
    </row>
    <row r="189" spans="2:18" x14ac:dyDescent="0.25">
      <c r="B189" s="1" t="s">
        <v>10</v>
      </c>
      <c r="C189" s="12">
        <f>C188*2</f>
        <v>131</v>
      </c>
      <c r="D189" s="9" t="s">
        <v>21</v>
      </c>
      <c r="E189" s="1" t="s">
        <v>48</v>
      </c>
      <c r="H189" s="1"/>
      <c r="I189" s="1">
        <v>78001</v>
      </c>
      <c r="J189" s="1">
        <v>0.184</v>
      </c>
      <c r="K189" s="1">
        <v>45</v>
      </c>
      <c r="L189" s="1" t="s">
        <v>34</v>
      </c>
      <c r="M189" s="1">
        <v>78001</v>
      </c>
      <c r="N189" s="1">
        <v>0.184</v>
      </c>
      <c r="O189" s="1">
        <v>-45</v>
      </c>
      <c r="P189" s="1" t="s">
        <v>34</v>
      </c>
    </row>
    <row r="190" spans="2:18" x14ac:dyDescent="0.25">
      <c r="B190" s="1" t="s">
        <v>19</v>
      </c>
      <c r="C190" s="12">
        <v>16407.825170126656</v>
      </c>
      <c r="D190" s="9" t="s">
        <v>22</v>
      </c>
      <c r="E190" s="1" t="s">
        <v>30</v>
      </c>
      <c r="H190" s="1"/>
      <c r="I190" s="1"/>
      <c r="J190" s="1"/>
      <c r="K190" s="1"/>
      <c r="L190" s="1"/>
      <c r="M190" s="1"/>
      <c r="N190" s="1"/>
      <c r="O190" s="1"/>
      <c r="P190" s="1"/>
    </row>
    <row r="191" spans="2:18" x14ac:dyDescent="0.25">
      <c r="B191" s="1" t="s">
        <v>23</v>
      </c>
      <c r="C191" s="13">
        <f>C190</f>
        <v>16407.825170126656</v>
      </c>
      <c r="D191" s="9" t="s">
        <v>22</v>
      </c>
      <c r="E191" s="1" t="s">
        <v>35</v>
      </c>
      <c r="H191" s="1"/>
      <c r="I191" s="1"/>
      <c r="J191" s="1"/>
      <c r="K191" s="1"/>
      <c r="L191" s="1"/>
      <c r="M191" s="1"/>
      <c r="N191" s="1"/>
      <c r="O191" s="1"/>
      <c r="P191" s="1"/>
    </row>
    <row r="192" spans="2:18" x14ac:dyDescent="0.25">
      <c r="B192" s="1" t="s">
        <v>44</v>
      </c>
      <c r="C192" s="14">
        <f>((C190*C186)/C191)*(1-C188/C189)*(1-(C188/C187)^3)</f>
        <v>1.288</v>
      </c>
      <c r="D192" s="9" t="s">
        <v>21</v>
      </c>
      <c r="E192" s="1" t="s">
        <v>36</v>
      </c>
    </row>
    <row r="193" spans="2:6" x14ac:dyDescent="0.25">
      <c r="B193" s="1" t="s">
        <v>46</v>
      </c>
      <c r="C193" s="20">
        <f>(C190/C191)*C186*(1-(C188/C189))</f>
        <v>1.472</v>
      </c>
      <c r="D193" s="9"/>
      <c r="E193" s="1" t="s">
        <v>47</v>
      </c>
      <c r="F193" s="20"/>
    </row>
    <row r="194" spans="2:6" x14ac:dyDescent="0.25">
      <c r="B194" s="1" t="s">
        <v>45</v>
      </c>
      <c r="C194" s="12" t="s">
        <v>44</v>
      </c>
      <c r="D194" s="9"/>
      <c r="E194" s="1"/>
      <c r="F194" s="20"/>
    </row>
    <row r="195" spans="2:6" x14ac:dyDescent="0.25">
      <c r="B195" s="15" t="s">
        <v>37</v>
      </c>
      <c r="C195" s="19">
        <f>IF(C194="Tc_Niu_Cap5.6",0.184*C192/C186,0.184*C193/C186)</f>
        <v>8.0500000000000002E-2</v>
      </c>
      <c r="D195" s="9" t="s">
        <v>21</v>
      </c>
      <c r="E195" s="1"/>
    </row>
  </sheetData>
  <dataValidations disablePrompts="1" count="1">
    <dataValidation type="list" allowBlank="1" showInputMessage="1" showErrorMessage="1" sqref="C81 C94 C111 C124 C137 C155 C168 C181 C194">
      <formula1>"Tc_Niu_Cap5.6,Tc_ESDU_84042"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O91"/>
  <sheetViews>
    <sheetView tabSelected="1" topLeftCell="D1" zoomScale="80" zoomScaleNormal="80" workbookViewId="0">
      <selection activeCell="O18" sqref="O18"/>
    </sheetView>
  </sheetViews>
  <sheetFormatPr baseColWidth="10" defaultRowHeight="15" x14ac:dyDescent="0.25"/>
  <cols>
    <col min="2" max="2" width="29.7109375" customWidth="1"/>
    <col min="3" max="3" width="14" bestFit="1" customWidth="1"/>
    <col min="4" max="4" width="10.140625" bestFit="1" customWidth="1"/>
    <col min="5" max="5" width="49.7109375" bestFit="1" customWidth="1"/>
    <col min="6" max="6" width="2.85546875" customWidth="1"/>
    <col min="7" max="7" width="18" bestFit="1" customWidth="1"/>
    <col min="8" max="9" width="10.140625" bestFit="1" customWidth="1"/>
    <col min="10" max="10" width="49.7109375" bestFit="1" customWidth="1"/>
    <col min="11" max="11" width="2.85546875" customWidth="1"/>
    <col min="12" max="12" width="18" bestFit="1" customWidth="1"/>
    <col min="13" max="14" width="10.140625" bestFit="1" customWidth="1"/>
    <col min="15" max="15" width="49.7109375" bestFit="1" customWidth="1"/>
    <col min="16" max="16" width="2.85546875" customWidth="1"/>
    <col min="17" max="17" width="9.85546875" bestFit="1" customWidth="1"/>
    <col min="18" max="19" width="10.140625" bestFit="1" customWidth="1"/>
    <col min="20" max="20" width="31.5703125" customWidth="1"/>
    <col min="21" max="21" width="2.85546875" customWidth="1"/>
    <col min="22" max="22" width="9.85546875" bestFit="1" customWidth="1"/>
    <col min="23" max="24" width="10.140625" bestFit="1" customWidth="1"/>
    <col min="25" max="25" width="31.5703125" customWidth="1"/>
    <col min="26" max="26" width="2.85546875" customWidth="1"/>
    <col min="27" max="27" width="9.85546875" bestFit="1" customWidth="1"/>
    <col min="28" max="29" width="10.140625" bestFit="1" customWidth="1"/>
    <col min="30" max="30" width="31.5703125" customWidth="1"/>
    <col min="31" max="31" width="2.85546875" customWidth="1"/>
    <col min="32" max="32" width="9.42578125" bestFit="1" customWidth="1"/>
    <col min="33" max="33" width="10.85546875" bestFit="1" customWidth="1"/>
    <col min="34" max="34" width="10.5703125" bestFit="1" customWidth="1"/>
    <col min="35" max="35" width="31.5703125" customWidth="1"/>
    <col min="36" max="36" width="2.85546875" customWidth="1"/>
    <col min="37" max="37" width="9.42578125" bestFit="1" customWidth="1"/>
    <col min="38" max="38" width="10.85546875" bestFit="1" customWidth="1"/>
    <col min="39" max="39" width="10.5703125" bestFit="1" customWidth="1"/>
    <col min="40" max="40" width="31.5703125" customWidth="1"/>
    <col min="41" max="41" width="2.85546875" customWidth="1"/>
    <col min="42" max="42" width="9.42578125" bestFit="1" customWidth="1"/>
    <col min="43" max="43" width="10.85546875" bestFit="1" customWidth="1"/>
    <col min="44" max="44" width="10.5703125" bestFit="1" customWidth="1"/>
    <col min="45" max="45" width="31.5703125" customWidth="1"/>
    <col min="46" max="46" width="2.85546875" customWidth="1"/>
    <col min="47" max="47" width="9" bestFit="1" customWidth="1"/>
    <col min="48" max="48" width="9.85546875" bestFit="1" customWidth="1"/>
    <col min="49" max="49" width="10" bestFit="1" customWidth="1"/>
    <col min="50" max="50" width="31.7109375" customWidth="1"/>
  </cols>
  <sheetData>
    <row r="2" spans="2:15" x14ac:dyDescent="0.25">
      <c r="B2" s="11">
        <v>1000</v>
      </c>
      <c r="C2" s="11"/>
      <c r="D2" s="11"/>
      <c r="E2" s="11"/>
      <c r="G2" s="11">
        <v>1100</v>
      </c>
      <c r="H2" s="11"/>
      <c r="I2" s="11"/>
      <c r="J2" s="11"/>
      <c r="L2" s="11">
        <v>1200</v>
      </c>
      <c r="M2" s="11"/>
      <c r="N2" s="11"/>
      <c r="O2" s="11"/>
    </row>
    <row r="4" spans="2:15" x14ac:dyDescent="0.25">
      <c r="B4" t="s">
        <v>69</v>
      </c>
    </row>
    <row r="5" spans="2:15" x14ac:dyDescent="0.25">
      <c r="B5" s="1" t="s">
        <v>0</v>
      </c>
      <c r="C5" s="12">
        <v>57</v>
      </c>
      <c r="D5" s="9" t="s">
        <v>21</v>
      </c>
      <c r="E5" s="1"/>
      <c r="G5" s="1" t="s">
        <v>0</v>
      </c>
      <c r="H5" s="12">
        <v>57</v>
      </c>
      <c r="I5" s="9" t="s">
        <v>21</v>
      </c>
      <c r="J5" s="1"/>
      <c r="L5" s="1" t="s">
        <v>0</v>
      </c>
      <c r="M5" s="12">
        <v>57</v>
      </c>
      <c r="N5" s="9" t="s">
        <v>21</v>
      </c>
      <c r="O5" s="1"/>
    </row>
    <row r="6" spans="2:15" x14ac:dyDescent="0.25">
      <c r="B6" s="1" t="s">
        <v>57</v>
      </c>
      <c r="C6" s="12">
        <v>124.6</v>
      </c>
      <c r="D6" s="9" t="s">
        <v>21</v>
      </c>
      <c r="E6" s="1"/>
      <c r="G6" s="1" t="s">
        <v>57</v>
      </c>
      <c r="H6" s="12">
        <v>118.7</v>
      </c>
      <c r="I6" s="9" t="s">
        <v>21</v>
      </c>
      <c r="J6" s="1"/>
      <c r="L6" s="1" t="s">
        <v>57</v>
      </c>
      <c r="M6" s="12">
        <v>111</v>
      </c>
      <c r="N6" s="9" t="s">
        <v>21</v>
      </c>
      <c r="O6" s="1"/>
    </row>
    <row r="7" spans="2:15" x14ac:dyDescent="0.25">
      <c r="B7" s="1" t="s">
        <v>71</v>
      </c>
      <c r="C7" s="12">
        <v>107</v>
      </c>
      <c r="D7" s="9" t="s">
        <v>21</v>
      </c>
      <c r="E7" s="1"/>
      <c r="G7" s="1" t="s">
        <v>71</v>
      </c>
      <c r="H7" s="12">
        <v>157</v>
      </c>
      <c r="I7" s="9" t="s">
        <v>21</v>
      </c>
      <c r="J7" s="1"/>
      <c r="L7" s="1" t="s">
        <v>71</v>
      </c>
      <c r="M7" s="12">
        <v>107</v>
      </c>
      <c r="N7" s="9" t="s">
        <v>21</v>
      </c>
      <c r="O7" s="1"/>
    </row>
    <row r="8" spans="2:15" x14ac:dyDescent="0.25">
      <c r="B8" s="15" t="s">
        <v>72</v>
      </c>
      <c r="C8" s="23">
        <f>C7/C5</f>
        <v>1.8771929824561404</v>
      </c>
      <c r="D8" s="1"/>
      <c r="E8" s="1" t="s">
        <v>58</v>
      </c>
      <c r="G8" s="15" t="s">
        <v>72</v>
      </c>
      <c r="H8" s="23">
        <f>H7/H5</f>
        <v>2.7543859649122808</v>
      </c>
      <c r="I8" s="1"/>
      <c r="J8" s="1" t="s">
        <v>58</v>
      </c>
      <c r="L8" s="15" t="s">
        <v>72</v>
      </c>
      <c r="M8" s="23">
        <f>M7/M5</f>
        <v>1.8771929824561404</v>
      </c>
      <c r="N8" s="1"/>
      <c r="O8" s="1" t="s">
        <v>58</v>
      </c>
    </row>
    <row r="9" spans="2:15" x14ac:dyDescent="0.25">
      <c r="B9" s="15" t="s">
        <v>59</v>
      </c>
      <c r="C9" s="8">
        <f>C5/C6</f>
        <v>0.4574638844301766</v>
      </c>
      <c r="D9" s="1"/>
      <c r="E9" s="1" t="s">
        <v>58</v>
      </c>
      <c r="G9" s="15" t="s">
        <v>59</v>
      </c>
      <c r="H9" s="8">
        <f>H5/H6</f>
        <v>0.48020219039595619</v>
      </c>
      <c r="I9" s="1"/>
      <c r="J9" s="1" t="s">
        <v>58</v>
      </c>
      <c r="L9" s="15" t="s">
        <v>59</v>
      </c>
      <c r="M9" s="8">
        <f>M5/M6</f>
        <v>0.51351351351351349</v>
      </c>
      <c r="N9" s="1"/>
      <c r="O9" s="1" t="s">
        <v>58</v>
      </c>
    </row>
    <row r="10" spans="2:15" ht="18" x14ac:dyDescent="0.35">
      <c r="B10" s="15" t="s">
        <v>77</v>
      </c>
      <c r="C10" s="8">
        <f>7.2712*C9^6-18.768*C9^5+13.59*C9^4+0.8639*C9^3-3.8117*C9^2-0.1446*C9+1.0001</f>
        <v>0.50477676517156767</v>
      </c>
      <c r="D10" s="1"/>
      <c r="E10" s="1" t="s">
        <v>61</v>
      </c>
      <c r="G10" s="15" t="s">
        <v>77</v>
      </c>
      <c r="H10" s="8">
        <f>7.2712*H9^6-18.768*H9^5+13.59*H9^4+0.8639*H9^3-3.8117*H9^2-0.1446*H9+1.0001</f>
        <v>0.47993024406067342</v>
      </c>
      <c r="I10" s="1"/>
      <c r="J10" s="1" t="s">
        <v>61</v>
      </c>
      <c r="L10" s="15" t="s">
        <v>77</v>
      </c>
      <c r="M10" s="8">
        <f>7.2712*M9^6-18.768*M9^5+13.59*M9^4+0.8639*M9^3-3.8117*M9^2-0.1446*M9+1.0001</f>
        <v>0.44585539020809117</v>
      </c>
      <c r="N10" s="1"/>
      <c r="O10" s="1" t="s">
        <v>61</v>
      </c>
    </row>
    <row r="11" spans="2:15" ht="18" x14ac:dyDescent="0.35">
      <c r="B11" s="15" t="s">
        <v>78</v>
      </c>
      <c r="C11" s="8">
        <f>-5.2288*C9^6+22.417*C9^5-37.9*C9^4+30.827*C9^3-11.137*C9^2+0.0215*C9+1.0004</f>
        <v>0.37213592751306179</v>
      </c>
      <c r="D11" s="1"/>
      <c r="E11" s="1" t="s">
        <v>63</v>
      </c>
      <c r="G11" s="15" t="s">
        <v>78</v>
      </c>
      <c r="H11" s="8">
        <f>-5.2288*H9^6+22.417*H9^5-37.9*H9^4+30.827*H9^3-11.137*H9^2+0.0215*H9+1.0004</f>
        <v>0.34913026354615551</v>
      </c>
      <c r="I11" s="1"/>
      <c r="J11" s="1" t="s">
        <v>63</v>
      </c>
      <c r="L11" s="15" t="s">
        <v>78</v>
      </c>
      <c r="M11" s="8">
        <f>-5.2288*M9^6+22.417*M9^5-37.9*M9^4+30.827*M9^3-11.137*M9^2+0.0215*M9+1.0004</f>
        <v>0.318164953981382</v>
      </c>
      <c r="N11" s="1"/>
      <c r="O11" s="1" t="s">
        <v>63</v>
      </c>
    </row>
    <row r="12" spans="2:15" ht="18" x14ac:dyDescent="0.35">
      <c r="B12" s="15" t="s">
        <v>79</v>
      </c>
      <c r="C12" s="8">
        <f>-11.928*C9^6+44.438*C9^5-65.041*C9^4+45.722*C9^3-13.937*C9^2-0.2554*C9+1.0009</f>
        <v>0.27710950428677439</v>
      </c>
      <c r="D12" s="1"/>
      <c r="E12" s="1" t="s">
        <v>62</v>
      </c>
      <c r="G12" s="15" t="s">
        <v>79</v>
      </c>
      <c r="H12" s="8">
        <f>-11.928*H9^6+44.438*H9^5-65.041*H9^4+45.722*H9^3-13.937*H9^2-0.2554*H9+1.0009</f>
        <v>0.25730685780383922</v>
      </c>
      <c r="I12" s="1"/>
      <c r="J12" s="1" t="s">
        <v>62</v>
      </c>
      <c r="L12" s="15" t="s">
        <v>79</v>
      </c>
      <c r="M12" s="8">
        <f>-11.928*M9^6+44.438*M9^5-65.041*M9^4+45.722*M9^3-13.937*M9^2-0.2554*M9+1.0009</f>
        <v>0.23128787866169676</v>
      </c>
      <c r="N12" s="1"/>
      <c r="O12" s="1" t="s">
        <v>62</v>
      </c>
    </row>
    <row r="13" spans="2:15" ht="18" x14ac:dyDescent="0.35">
      <c r="B13" s="1" t="s">
        <v>64</v>
      </c>
      <c r="C13" s="8">
        <f>IF(C8&lt;1.5,C10,C11)</f>
        <v>0.37213592751306179</v>
      </c>
      <c r="D13" s="1"/>
      <c r="E13" s="1" t="s">
        <v>66</v>
      </c>
      <c r="G13" s="1" t="s">
        <v>64</v>
      </c>
      <c r="H13" s="8">
        <f>IF(H8&lt;1.5,H10,H11)</f>
        <v>0.34913026354615551</v>
      </c>
      <c r="I13" s="1"/>
      <c r="J13" s="1" t="s">
        <v>66</v>
      </c>
      <c r="L13" s="1" t="s">
        <v>64</v>
      </c>
      <c r="M13" s="8">
        <f>IF(M8&lt;1.5,M10,M11)</f>
        <v>0.318164953981382</v>
      </c>
      <c r="N13" s="1"/>
      <c r="O13" s="1" t="s">
        <v>66</v>
      </c>
    </row>
    <row r="14" spans="2:15" ht="18" x14ac:dyDescent="0.35">
      <c r="B14" s="1" t="s">
        <v>65</v>
      </c>
      <c r="C14" s="8">
        <f>IF(C8&lt;1.5,C11,C12)</f>
        <v>0.27710950428677439</v>
      </c>
      <c r="D14" s="1"/>
      <c r="E14" s="1" t="s">
        <v>67</v>
      </c>
      <c r="G14" s="1" t="s">
        <v>65</v>
      </c>
      <c r="H14" s="8">
        <f>IF(H8&lt;1.5,H11,H12)</f>
        <v>0.25730685780383922</v>
      </c>
      <c r="I14" s="1"/>
      <c r="J14" s="1" t="s">
        <v>67</v>
      </c>
      <c r="L14" s="1" t="s">
        <v>65</v>
      </c>
      <c r="M14" s="8">
        <f>IF(M8&lt;1.5,M11,M12)</f>
        <v>0.23128787866169676</v>
      </c>
      <c r="N14" s="1"/>
      <c r="O14" s="1" t="s">
        <v>67</v>
      </c>
    </row>
    <row r="15" spans="2:15" ht="18" x14ac:dyDescent="0.35">
      <c r="B15" s="1" t="s">
        <v>60</v>
      </c>
      <c r="C15" s="8">
        <f>IF(C13=C10,((C11-C10)/(1.5-1))*(C8-1)+C10,((C12-C11)/(2-1.5))*(C8-1.5)+C11)</f>
        <v>0.30044932753533621</v>
      </c>
      <c r="D15" s="1"/>
      <c r="E15" s="1" t="s">
        <v>68</v>
      </c>
      <c r="G15" s="1" t="s">
        <v>60</v>
      </c>
      <c r="H15" s="8">
        <f>IF(H13=H10,((H11-H10)/(1.5-1))*(H8-1)+H10,((H12-H11)/(2-1.5))*(H8-1.5)+H11)</f>
        <v>0.11876628071894094</v>
      </c>
      <c r="I15" s="1"/>
      <c r="J15" s="1" t="s">
        <v>68</v>
      </c>
      <c r="L15" s="1" t="s">
        <v>60</v>
      </c>
      <c r="M15" s="8">
        <f>IF(M13=M10,((M11-M10)/(1.5-1))*(M8-1)+M10,((M12-M11)/(2-1.5))*(M8-1.5)+M11)</f>
        <v>0.25262610768758437</v>
      </c>
      <c r="N15" s="1"/>
      <c r="O15" s="1" t="s">
        <v>68</v>
      </c>
    </row>
    <row r="19" spans="1:15" x14ac:dyDescent="0.25">
      <c r="B19" t="s">
        <v>70</v>
      </c>
    </row>
    <row r="20" spans="1:15" x14ac:dyDescent="0.25">
      <c r="B20" s="1" t="s">
        <v>0</v>
      </c>
      <c r="C20" s="12">
        <v>57</v>
      </c>
      <c r="D20" s="9" t="s">
        <v>21</v>
      </c>
      <c r="E20" s="1"/>
      <c r="G20" s="1" t="s">
        <v>0</v>
      </c>
      <c r="H20" s="12">
        <v>57</v>
      </c>
      <c r="I20" s="9" t="s">
        <v>21</v>
      </c>
      <c r="J20" s="1"/>
      <c r="L20" s="1" t="s">
        <v>0</v>
      </c>
      <c r="M20" s="12">
        <v>57</v>
      </c>
      <c r="N20" s="9" t="s">
        <v>21</v>
      </c>
      <c r="O20" s="1"/>
    </row>
    <row r="21" spans="1:15" x14ac:dyDescent="0.25">
      <c r="B21" s="1" t="s">
        <v>57</v>
      </c>
      <c r="C21" s="12">
        <v>124.6</v>
      </c>
      <c r="D21" s="9" t="s">
        <v>21</v>
      </c>
      <c r="E21" s="1"/>
      <c r="G21" s="1" t="s">
        <v>57</v>
      </c>
      <c r="H21" s="12">
        <v>118.7</v>
      </c>
      <c r="I21" s="9" t="s">
        <v>21</v>
      </c>
      <c r="J21" s="1"/>
      <c r="L21" s="1" t="s">
        <v>57</v>
      </c>
      <c r="M21" s="12">
        <v>111</v>
      </c>
      <c r="N21" s="9" t="s">
        <v>21</v>
      </c>
      <c r="O21" s="1"/>
    </row>
    <row r="22" spans="1:15" x14ac:dyDescent="0.25">
      <c r="B22" s="1" t="s">
        <v>71</v>
      </c>
      <c r="C22" s="12">
        <v>107</v>
      </c>
      <c r="D22" s="9" t="s">
        <v>21</v>
      </c>
      <c r="E22" s="1"/>
      <c r="G22" s="1" t="s">
        <v>71</v>
      </c>
      <c r="H22" s="12">
        <v>157</v>
      </c>
      <c r="I22" s="9" t="s">
        <v>21</v>
      </c>
      <c r="J22" s="1"/>
      <c r="L22" s="1" t="s">
        <v>71</v>
      </c>
      <c r="M22" s="12">
        <v>107</v>
      </c>
      <c r="N22" s="9" t="s">
        <v>21</v>
      </c>
      <c r="O22" s="1"/>
    </row>
    <row r="23" spans="1:15" x14ac:dyDescent="0.25">
      <c r="B23" s="15" t="s">
        <v>72</v>
      </c>
      <c r="C23" s="23">
        <f>C22/C20</f>
        <v>1.8771929824561404</v>
      </c>
      <c r="D23" s="1"/>
      <c r="E23" s="1" t="s">
        <v>58</v>
      </c>
      <c r="G23" s="15" t="s">
        <v>72</v>
      </c>
      <c r="H23" s="23">
        <f>H22/H20</f>
        <v>2.7543859649122808</v>
      </c>
      <c r="I23" s="1"/>
      <c r="J23" s="1" t="s">
        <v>58</v>
      </c>
      <c r="L23" s="15" t="s">
        <v>72</v>
      </c>
      <c r="M23" s="23">
        <f>M22/M20</f>
        <v>1.8771929824561404</v>
      </c>
      <c r="N23" s="1"/>
      <c r="O23" s="1" t="s">
        <v>58</v>
      </c>
    </row>
    <row r="24" spans="1:15" x14ac:dyDescent="0.25">
      <c r="B24" s="15" t="s">
        <v>59</v>
      </c>
      <c r="C24" s="8">
        <f>C20/C21</f>
        <v>0.4574638844301766</v>
      </c>
      <c r="D24" s="1"/>
      <c r="E24" s="1" t="s">
        <v>58</v>
      </c>
      <c r="G24" s="15" t="s">
        <v>59</v>
      </c>
      <c r="H24" s="8">
        <f>H20/H21</f>
        <v>0.48020219039595619</v>
      </c>
      <c r="I24" s="1"/>
      <c r="J24" s="1" t="s">
        <v>58</v>
      </c>
      <c r="L24" s="15" t="s">
        <v>59</v>
      </c>
      <c r="M24" s="8">
        <f>M20/M21</f>
        <v>0.51351351351351349</v>
      </c>
      <c r="N24" s="1"/>
      <c r="O24" s="1" t="s">
        <v>58</v>
      </c>
    </row>
    <row r="25" spans="1:15" x14ac:dyDescent="0.25">
      <c r="A25" s="26"/>
      <c r="B25" s="15"/>
      <c r="C25" s="8"/>
      <c r="D25" s="1"/>
      <c r="E25" s="1"/>
      <c r="G25" s="15"/>
      <c r="H25" s="8"/>
      <c r="I25" s="1"/>
      <c r="J25" s="1"/>
      <c r="L25" s="15"/>
      <c r="M25" s="8"/>
      <c r="N25" s="1"/>
      <c r="O25" s="1"/>
    </row>
    <row r="26" spans="1:15" x14ac:dyDescent="0.25">
      <c r="B26" s="15"/>
      <c r="C26" s="8"/>
      <c r="D26" s="1"/>
      <c r="E26" s="1"/>
      <c r="G26" s="15"/>
      <c r="H26" s="8"/>
      <c r="I26" s="1"/>
      <c r="J26" s="1"/>
      <c r="L26" s="15"/>
      <c r="M26" s="8"/>
      <c r="N26" s="1"/>
      <c r="O26" s="1"/>
    </row>
    <row r="27" spans="1:15" x14ac:dyDescent="0.25">
      <c r="B27" s="15"/>
      <c r="C27" s="8"/>
      <c r="D27" s="1"/>
      <c r="E27" s="1"/>
      <c r="G27" s="15"/>
      <c r="H27" s="8"/>
      <c r="I27" s="1"/>
      <c r="J27" s="1"/>
      <c r="L27" s="15"/>
      <c r="M27" s="8"/>
      <c r="N27" s="1"/>
      <c r="O27" s="1"/>
    </row>
    <row r="28" spans="1:15" x14ac:dyDescent="0.25">
      <c r="B28" s="1"/>
      <c r="C28" s="8"/>
      <c r="D28" s="1"/>
      <c r="E28" s="1"/>
      <c r="G28" s="1"/>
      <c r="H28" s="8"/>
      <c r="I28" s="1"/>
      <c r="J28" s="1"/>
      <c r="L28" s="1"/>
      <c r="M28" s="8"/>
      <c r="N28" s="1"/>
      <c r="O28" s="1"/>
    </row>
    <row r="29" spans="1:15" x14ac:dyDescent="0.25">
      <c r="B29" s="1"/>
      <c r="C29" s="8"/>
      <c r="D29" s="1"/>
      <c r="E29" s="1"/>
      <c r="G29" s="1"/>
      <c r="H29" s="8"/>
      <c r="I29" s="1"/>
      <c r="J29" s="1"/>
      <c r="L29" s="1"/>
      <c r="M29" s="8"/>
      <c r="N29" s="1"/>
      <c r="O29" s="1"/>
    </row>
    <row r="30" spans="1:15" x14ac:dyDescent="0.25">
      <c r="B30" s="1"/>
      <c r="C30" s="8"/>
      <c r="D30" s="1"/>
      <c r="E30" s="1"/>
      <c r="G30" s="1"/>
      <c r="H30" s="8"/>
      <c r="I30" s="1"/>
      <c r="J30" s="1"/>
      <c r="L30" s="1"/>
      <c r="M30" s="8"/>
      <c r="N30" s="1"/>
      <c r="O30" s="1"/>
    </row>
    <row r="31" spans="1:15" x14ac:dyDescent="0.25">
      <c r="G31" s="24"/>
      <c r="H31" s="25"/>
      <c r="I31" s="25"/>
      <c r="J31" s="25"/>
    </row>
    <row r="32" spans="1:15" x14ac:dyDescent="0.25">
      <c r="G32" s="24"/>
      <c r="H32" s="25"/>
      <c r="I32" s="25"/>
      <c r="J32" s="25"/>
    </row>
    <row r="33" spans="7:10" x14ac:dyDescent="0.25">
      <c r="G33" s="24"/>
      <c r="H33" s="25"/>
      <c r="I33" s="25"/>
      <c r="J33" s="25"/>
    </row>
    <row r="34" spans="7:10" x14ac:dyDescent="0.25">
      <c r="G34" s="24"/>
      <c r="H34" s="25"/>
      <c r="I34" s="25"/>
      <c r="J34" s="25"/>
    </row>
    <row r="35" spans="7:10" x14ac:dyDescent="0.25">
      <c r="G35" s="24"/>
      <c r="H35" s="25"/>
      <c r="I35" s="25"/>
      <c r="J35" s="25"/>
    </row>
    <row r="36" spans="7:10" x14ac:dyDescent="0.25">
      <c r="G36" s="24"/>
      <c r="H36" s="25"/>
      <c r="I36" s="25"/>
      <c r="J36" s="25"/>
    </row>
    <row r="37" spans="7:10" x14ac:dyDescent="0.25">
      <c r="G37" s="24"/>
      <c r="H37" s="25"/>
      <c r="I37" s="25"/>
      <c r="J37" s="25"/>
    </row>
    <row r="38" spans="7:10" x14ac:dyDescent="0.25">
      <c r="G38" s="11" t="s">
        <v>73</v>
      </c>
      <c r="H38" s="11"/>
      <c r="I38" s="11"/>
      <c r="J38" s="11"/>
    </row>
    <row r="39" spans="7:10" x14ac:dyDescent="0.25">
      <c r="G39" s="1" t="s">
        <v>59</v>
      </c>
      <c r="H39" s="1" t="s">
        <v>74</v>
      </c>
      <c r="I39" s="1" t="s">
        <v>75</v>
      </c>
      <c r="J39" s="1" t="s">
        <v>76</v>
      </c>
    </row>
    <row r="40" spans="7:10" x14ac:dyDescent="0.25">
      <c r="G40" s="23">
        <v>0</v>
      </c>
      <c r="H40">
        <v>1</v>
      </c>
      <c r="I40" s="8">
        <v>1</v>
      </c>
      <c r="J40" s="8">
        <v>1</v>
      </c>
    </row>
    <row r="41" spans="7:10" x14ac:dyDescent="0.25">
      <c r="G41" s="23">
        <f>G40+0.1</f>
        <v>0.1</v>
      </c>
      <c r="H41" s="8">
        <v>0.95</v>
      </c>
      <c r="I41" s="8">
        <v>0.92</v>
      </c>
      <c r="J41" s="8">
        <v>0.88</v>
      </c>
    </row>
    <row r="42" spans="7:10" x14ac:dyDescent="0.25">
      <c r="G42" s="23">
        <f t="shared" ref="G42:G50" si="0">G41+0.1</f>
        <v>0.2</v>
      </c>
      <c r="H42" s="8">
        <v>0.84</v>
      </c>
      <c r="I42" s="8">
        <v>0.75</v>
      </c>
      <c r="J42" s="8">
        <v>0.66</v>
      </c>
    </row>
    <row r="43" spans="7:10" x14ac:dyDescent="0.25">
      <c r="G43" s="23">
        <f t="shared" si="0"/>
        <v>0.30000000000000004</v>
      </c>
      <c r="H43" s="8">
        <v>0.71</v>
      </c>
      <c r="I43" s="8">
        <v>0.57999999999999996</v>
      </c>
      <c r="J43" s="8">
        <v>0.48</v>
      </c>
    </row>
    <row r="44" spans="7:10" x14ac:dyDescent="0.25">
      <c r="G44" s="23">
        <f t="shared" si="0"/>
        <v>0.4</v>
      </c>
      <c r="H44" s="8">
        <v>0.56999999999999995</v>
      </c>
      <c r="I44" s="8">
        <v>0.44</v>
      </c>
      <c r="J44" s="8">
        <v>0.34</v>
      </c>
    </row>
    <row r="45" spans="7:10" x14ac:dyDescent="0.25">
      <c r="G45" s="23">
        <f t="shared" si="0"/>
        <v>0.5</v>
      </c>
      <c r="H45" s="8">
        <v>0.46</v>
      </c>
      <c r="I45" s="8">
        <v>0.33</v>
      </c>
      <c r="J45" s="8">
        <v>0.24</v>
      </c>
    </row>
    <row r="46" spans="7:10" x14ac:dyDescent="0.25">
      <c r="G46" s="23">
        <f t="shared" si="0"/>
        <v>0.6</v>
      </c>
      <c r="H46" s="8">
        <v>0.37</v>
      </c>
      <c r="I46" s="8">
        <v>0.25</v>
      </c>
      <c r="J46" s="8">
        <v>0.17</v>
      </c>
    </row>
    <row r="47" spans="7:10" x14ac:dyDescent="0.25">
      <c r="G47" s="23">
        <f t="shared" si="0"/>
        <v>0.7</v>
      </c>
      <c r="H47" s="8">
        <v>0.28999999999999998</v>
      </c>
      <c r="I47" s="8">
        <v>0.18</v>
      </c>
      <c r="J47" s="8">
        <v>0.13</v>
      </c>
    </row>
    <row r="48" spans="7:10" x14ac:dyDescent="0.25">
      <c r="G48" s="23">
        <f t="shared" si="0"/>
        <v>0.79999999999999993</v>
      </c>
      <c r="H48" s="8">
        <v>0.21</v>
      </c>
      <c r="I48" s="8">
        <v>0.13</v>
      </c>
      <c r="J48" s="8">
        <v>0.08</v>
      </c>
    </row>
    <row r="49" spans="7:10" x14ac:dyDescent="0.25">
      <c r="G49" s="23">
        <f t="shared" si="0"/>
        <v>0.89999999999999991</v>
      </c>
      <c r="H49" s="8">
        <v>0.11</v>
      </c>
      <c r="I49" s="8">
        <v>0.06</v>
      </c>
      <c r="J49" s="8">
        <v>0.04</v>
      </c>
    </row>
    <row r="50" spans="7:10" x14ac:dyDescent="0.25">
      <c r="G50" s="23">
        <f t="shared" si="0"/>
        <v>0.99999999999999989</v>
      </c>
      <c r="H50" s="8">
        <v>0</v>
      </c>
      <c r="I50" s="8">
        <v>0</v>
      </c>
      <c r="J50" s="8">
        <v>0</v>
      </c>
    </row>
    <row r="51" spans="7:10" x14ac:dyDescent="0.25">
      <c r="G51" s="24"/>
      <c r="H51" s="25"/>
      <c r="I51" s="25"/>
      <c r="J51" s="25"/>
    </row>
    <row r="52" spans="7:10" x14ac:dyDescent="0.25">
      <c r="G52" s="24"/>
      <c r="H52" s="25"/>
      <c r="I52" s="25"/>
      <c r="J52" s="25"/>
    </row>
    <row r="53" spans="7:10" x14ac:dyDescent="0.25">
      <c r="G53" s="24"/>
      <c r="H53" s="25"/>
      <c r="I53" s="25"/>
      <c r="J53" s="25"/>
    </row>
    <row r="54" spans="7:10" x14ac:dyDescent="0.25">
      <c r="G54" s="24"/>
      <c r="H54" s="25"/>
      <c r="I54" s="25"/>
      <c r="J54" s="25"/>
    </row>
    <row r="55" spans="7:10" x14ac:dyDescent="0.25">
      <c r="G55" s="24"/>
      <c r="H55" s="25"/>
      <c r="I55" s="25"/>
      <c r="J55" s="25"/>
    </row>
    <row r="56" spans="7:10" x14ac:dyDescent="0.25">
      <c r="G56" s="24"/>
      <c r="H56" s="25"/>
      <c r="I56" s="25"/>
      <c r="J56" s="25"/>
    </row>
    <row r="57" spans="7:10" x14ac:dyDescent="0.25">
      <c r="G57" s="24"/>
      <c r="H57" s="25"/>
      <c r="I57" s="25"/>
      <c r="J57" s="25"/>
    </row>
    <row r="58" spans="7:10" x14ac:dyDescent="0.25">
      <c r="G58" s="24"/>
      <c r="H58" s="25"/>
      <c r="I58" s="25"/>
      <c r="J58" s="25"/>
    </row>
    <row r="59" spans="7:10" x14ac:dyDescent="0.25">
      <c r="G59" s="24"/>
      <c r="H59" s="25"/>
      <c r="I59" s="25"/>
      <c r="J59" s="25"/>
    </row>
    <row r="60" spans="7:10" x14ac:dyDescent="0.25">
      <c r="G60" s="24"/>
      <c r="H60" s="25"/>
      <c r="I60" s="25"/>
      <c r="J60" s="25"/>
    </row>
    <row r="61" spans="7:10" x14ac:dyDescent="0.25">
      <c r="G61" s="24"/>
      <c r="H61" s="25"/>
      <c r="I61" s="25"/>
      <c r="J61" s="25"/>
    </row>
    <row r="62" spans="7:10" x14ac:dyDescent="0.25">
      <c r="G62" s="24"/>
      <c r="H62" s="25"/>
      <c r="I62" s="25"/>
      <c r="J62" s="25"/>
    </row>
    <row r="63" spans="7:10" x14ac:dyDescent="0.25">
      <c r="G63" s="24"/>
      <c r="H63" s="25"/>
      <c r="I63" s="25"/>
      <c r="J63" s="25"/>
    </row>
    <row r="64" spans="7:10" x14ac:dyDescent="0.25">
      <c r="G64" s="24"/>
      <c r="H64" s="25"/>
      <c r="I64" s="25"/>
      <c r="J64" s="25"/>
    </row>
    <row r="65" spans="7:10" x14ac:dyDescent="0.25">
      <c r="G65" s="24"/>
      <c r="H65" s="25"/>
      <c r="I65" s="25"/>
      <c r="J65" s="25"/>
    </row>
    <row r="66" spans="7:10" x14ac:dyDescent="0.25">
      <c r="G66" s="24"/>
      <c r="H66" s="25"/>
      <c r="I66" s="25"/>
      <c r="J66" s="25"/>
    </row>
    <row r="67" spans="7:10" x14ac:dyDescent="0.25">
      <c r="G67" s="24"/>
      <c r="H67" s="25"/>
      <c r="I67" s="25"/>
      <c r="J67" s="25"/>
    </row>
    <row r="68" spans="7:10" x14ac:dyDescent="0.25">
      <c r="G68" s="24"/>
      <c r="H68" s="25"/>
      <c r="I68" s="25"/>
      <c r="J68" s="25"/>
    </row>
    <row r="69" spans="7:10" x14ac:dyDescent="0.25">
      <c r="G69" s="24"/>
      <c r="H69" s="25"/>
      <c r="I69" s="25"/>
      <c r="J69" s="25"/>
    </row>
    <row r="70" spans="7:10" x14ac:dyDescent="0.25">
      <c r="G70" s="24"/>
      <c r="H70" s="25"/>
      <c r="I70" s="25"/>
      <c r="J70" s="25"/>
    </row>
    <row r="71" spans="7:10" x14ac:dyDescent="0.25">
      <c r="G71" s="24"/>
      <c r="H71" s="25"/>
      <c r="I71" s="25"/>
      <c r="J71" s="25"/>
    </row>
    <row r="72" spans="7:10" x14ac:dyDescent="0.25">
      <c r="G72" s="24"/>
      <c r="H72" s="25"/>
      <c r="I72" s="25"/>
      <c r="J72" s="25"/>
    </row>
    <row r="73" spans="7:10" x14ac:dyDescent="0.25">
      <c r="G73" s="24"/>
      <c r="H73" s="25"/>
      <c r="I73" s="25"/>
      <c r="J73" s="25"/>
    </row>
    <row r="74" spans="7:10" x14ac:dyDescent="0.25">
      <c r="G74" s="24"/>
      <c r="H74" s="25"/>
      <c r="I74" s="25"/>
      <c r="J74" s="25"/>
    </row>
    <row r="75" spans="7:10" x14ac:dyDescent="0.25">
      <c r="G75" s="24"/>
      <c r="H75" s="25"/>
      <c r="I75" s="25"/>
      <c r="J75" s="25"/>
    </row>
    <row r="76" spans="7:10" x14ac:dyDescent="0.25">
      <c r="G76" s="24"/>
      <c r="H76" s="25"/>
      <c r="I76" s="25"/>
      <c r="J76" s="25"/>
    </row>
    <row r="77" spans="7:10" x14ac:dyDescent="0.25">
      <c r="G77" s="24"/>
      <c r="H77" s="25"/>
      <c r="I77" s="25"/>
      <c r="J77" s="25"/>
    </row>
    <row r="78" spans="7:10" x14ac:dyDescent="0.25">
      <c r="G78" s="24"/>
      <c r="H78" s="25"/>
      <c r="I78" s="25"/>
      <c r="J78" s="25"/>
    </row>
    <row r="79" spans="7:10" x14ac:dyDescent="0.25">
      <c r="G79" s="24"/>
      <c r="H79" s="25"/>
      <c r="I79" s="25"/>
      <c r="J79" s="25"/>
    </row>
    <row r="80" spans="7:10" x14ac:dyDescent="0.25">
      <c r="G80" s="24"/>
      <c r="H80" s="25"/>
      <c r="I80" s="25"/>
      <c r="J80" s="25"/>
    </row>
    <row r="81" spans="7:10" x14ac:dyDescent="0.25">
      <c r="G81" s="24"/>
      <c r="H81" s="25"/>
      <c r="I81" s="25"/>
      <c r="J81" s="25"/>
    </row>
    <row r="82" spans="7:10" x14ac:dyDescent="0.25">
      <c r="G82" s="24"/>
      <c r="H82" s="25"/>
      <c r="I82" s="25"/>
      <c r="J82" s="25"/>
    </row>
    <row r="83" spans="7:10" x14ac:dyDescent="0.25">
      <c r="G83" s="24"/>
      <c r="H83" s="25"/>
      <c r="I83" s="25"/>
      <c r="J83" s="25"/>
    </row>
    <row r="84" spans="7:10" x14ac:dyDescent="0.25">
      <c r="G84" s="24"/>
      <c r="H84" s="25"/>
      <c r="I84" s="25"/>
      <c r="J84" s="25"/>
    </row>
    <row r="85" spans="7:10" x14ac:dyDescent="0.25">
      <c r="G85" s="24"/>
      <c r="H85" s="25"/>
      <c r="I85" s="25"/>
      <c r="J85" s="25"/>
    </row>
    <row r="86" spans="7:10" x14ac:dyDescent="0.25">
      <c r="G86" s="24"/>
      <c r="H86" s="25"/>
      <c r="I86" s="25"/>
      <c r="J86" s="25"/>
    </row>
    <row r="87" spans="7:10" x14ac:dyDescent="0.25">
      <c r="G87" s="24"/>
      <c r="H87" s="25"/>
      <c r="I87" s="25"/>
      <c r="J87" s="25"/>
    </row>
    <row r="88" spans="7:10" x14ac:dyDescent="0.25">
      <c r="G88" s="24"/>
      <c r="H88" s="25"/>
      <c r="I88" s="25"/>
      <c r="J88" s="25"/>
    </row>
    <row r="89" spans="7:10" x14ac:dyDescent="0.25">
      <c r="G89" s="24"/>
      <c r="H89" s="25"/>
      <c r="I89" s="25"/>
      <c r="J89" s="25"/>
    </row>
    <row r="90" spans="7:10" x14ac:dyDescent="0.25">
      <c r="G90" s="24"/>
      <c r="H90" s="25"/>
      <c r="I90" s="25"/>
      <c r="J90" s="25"/>
    </row>
    <row r="91" spans="7:10" x14ac:dyDescent="0.25">
      <c r="G91" s="24"/>
      <c r="H91" s="25"/>
      <c r="I91" s="25"/>
      <c r="J91" s="25"/>
    </row>
  </sheetData>
  <conditionalFormatting sqref="C9">
    <cfRule type="expression" dxfId="1" priority="68">
      <formula>C9&gt;0.5</formula>
    </cfRule>
  </conditionalFormatting>
  <conditionalFormatting sqref="M9 H9">
    <cfRule type="expression" dxfId="0" priority="65">
      <formula>H9&gt;0.5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DPI_ACD_006</vt:lpstr>
      <vt:lpstr>Spar_Ribs_Agujeros_Niu_Cap13.2</vt:lpstr>
      <vt:lpstr>ESDU_84042</vt:lpstr>
      <vt:lpstr>Spar_Ribs_Agujeros_Niu_Cap5.6</vt:lpstr>
      <vt:lpstr>NT-T-ADP-01006-A_Calculator</vt:lpstr>
    </vt:vector>
  </TitlesOfParts>
  <Company>Airbus Defence and Space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EADS</dc:creator>
  <cp:lastModifiedBy>EADS</cp:lastModifiedBy>
  <dcterms:created xsi:type="dcterms:W3CDTF">2020-10-30T09:08:01Z</dcterms:created>
  <dcterms:modified xsi:type="dcterms:W3CDTF">2022-08-12T11:05:17Z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3317110c-9f8d-4e18-a198-3052d9124b7c</vt:lpwstr>
  </property>
  <property fmtid="{D5CDD505-2E9C-101B-9397-08002B2CF9AE}" pid="3" name="LABEL">
    <vt:lpwstr>S</vt:lpwstr>
  </property>
  <property fmtid="{D5CDD505-2E9C-101B-9397-08002B2CF9AE}" pid="4" name="L1">
    <vt:lpwstr>C-ALL</vt:lpwstr>
  </property>
  <property fmtid="{D5CDD505-2E9C-101B-9397-08002B2CF9AE}" pid="5" name="L2">
    <vt:lpwstr>C-CS</vt:lpwstr>
  </property>
  <property fmtid="{D5CDD505-2E9C-101B-9397-08002B2CF9AE}" pid="6" name="L3">
    <vt:lpwstr>C-AD-AMB</vt:lpwstr>
  </property>
  <property fmtid="{D5CDD505-2E9C-101B-9397-08002B2CF9AE}" pid="7" name="CCAV">
    <vt:lpwstr/>
  </property>
  <property fmtid="{D5CDD505-2E9C-101B-9397-08002B2CF9AE}" pid="8" name="Visual">
    <vt:lpwstr>0</vt:lpwstr>
  </property>
</Properties>
</file>