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19440" windowHeight="10440" tabRatio="611" firstSheet="3" activeTab="7"/>
  </bookViews>
  <sheets>
    <sheet name="Resumen" sheetId="14" r:id="rId1"/>
    <sheet name="DASHBOARD" sheetId="23" r:id="rId2"/>
    <sheet name="Financiamiento(N)" sheetId="2" r:id="rId3"/>
    <sheet name="Caja Chica APBH" sheetId="22" r:id="rId4"/>
    <sheet name="Rubro-Partida" sheetId="3" r:id="rId5"/>
    <sheet name="Procedimientos de contratación" sheetId="4" r:id="rId6"/>
    <sheet name="Rótulos" sheetId="10" r:id="rId7"/>
    <sheet name="Estadisticas y graficos" sheetId="13" r:id="rId8"/>
  </sheets>
  <externalReferences>
    <externalReference r:id="rId9"/>
  </externalReferences>
  <definedNames>
    <definedName name="_xlnm._FilterDatabase" localSheetId="3" hidden="1">'Caja Chica APBH'!$H$14:$N$136</definedName>
    <definedName name="_xlnm._FilterDatabase" localSheetId="2" hidden="1">'Financiamiento(N)'!$B$9:$T$15</definedName>
    <definedName name="Proveedores" localSheetId="3">#REF!</definedName>
    <definedName name="Proveedores">#REF!</definedName>
    <definedName name="Rubros" localSheetId="2">'Rubro-Partida'!$B$9:$D$17,'Rubro-Partida'!$G$9</definedName>
    <definedName name="Rubros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4" l="1"/>
  <c r="I10" i="2"/>
  <c r="D22" i="14" l="1"/>
  <c r="B37" i="14"/>
  <c r="D37" i="14" s="1"/>
  <c r="B36" i="14"/>
  <c r="D36" i="14" s="1"/>
  <c r="B21" i="14"/>
  <c r="E21" i="14" s="1"/>
  <c r="F21" i="14" s="1"/>
  <c r="C37" i="14" s="1"/>
  <c r="B20" i="14"/>
  <c r="E37" i="14" l="1"/>
  <c r="L34" i="14" s="1"/>
  <c r="C19" i="14" l="1"/>
  <c r="C18" i="14"/>
  <c r="C17" i="14"/>
  <c r="C16" i="14"/>
  <c r="C15" i="14"/>
  <c r="C14" i="14"/>
  <c r="C13" i="14"/>
  <c r="C12" i="14"/>
  <c r="C22" i="14" l="1"/>
  <c r="B19" i="14" l="1"/>
  <c r="D33" i="14" l="1"/>
  <c r="B18" i="14"/>
  <c r="E20" i="14" l="1"/>
  <c r="F20" i="14" s="1"/>
  <c r="C36" i="14" s="1"/>
  <c r="E36" i="14" s="1"/>
  <c r="L33" i="14" s="1"/>
  <c r="E19" i="14"/>
  <c r="F19" i="14" s="1"/>
  <c r="C34" i="14" s="1"/>
  <c r="D34" i="14"/>
  <c r="E11" i="3"/>
  <c r="E34" i="14" l="1"/>
  <c r="E18" i="14"/>
  <c r="F18" i="14" l="1"/>
  <c r="C33" i="14" s="1"/>
  <c r="E33" i="14" s="1"/>
  <c r="E10" i="3" l="1"/>
  <c r="B17" i="14" l="1"/>
  <c r="D27" i="14" l="1"/>
  <c r="D32" i="14" l="1"/>
  <c r="D31" i="14" l="1"/>
  <c r="D30" i="14" l="1"/>
  <c r="E17" i="14" l="1"/>
  <c r="E15" i="14"/>
  <c r="N178" i="22" l="1"/>
  <c r="D35" i="14" s="1"/>
  <c r="E35" i="14" s="1"/>
  <c r="F182" i="22"/>
  <c r="H15" i="2" s="1"/>
  <c r="E189" i="22" l="1"/>
  <c r="E188" i="22"/>
  <c r="E190" i="22" l="1"/>
  <c r="E194" i="22" s="1"/>
  <c r="E9" i="3"/>
  <c r="E120" i="13" l="1"/>
  <c r="D120" i="13"/>
  <c r="E119" i="13"/>
  <c r="D119" i="13"/>
  <c r="E118" i="13"/>
  <c r="D118" i="13"/>
  <c r="E117" i="13"/>
  <c r="D117" i="13"/>
  <c r="E116" i="13"/>
  <c r="D116" i="13"/>
  <c r="E115" i="13"/>
  <c r="D115" i="13"/>
  <c r="E114" i="13"/>
  <c r="D114" i="13"/>
  <c r="E113" i="13"/>
  <c r="D113" i="13"/>
  <c r="E112" i="13"/>
  <c r="D112" i="13"/>
  <c r="E111" i="13"/>
  <c r="D111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L34" i="4"/>
  <c r="K34" i="4"/>
  <c r="I34" i="4"/>
  <c r="H34" i="4"/>
  <c r="G34" i="4"/>
  <c r="F34" i="4"/>
  <c r="E34" i="4"/>
  <c r="D34" i="4"/>
  <c r="C34" i="4"/>
  <c r="L33" i="4"/>
  <c r="K33" i="4"/>
  <c r="I33" i="4"/>
  <c r="H33" i="4"/>
  <c r="G33" i="4"/>
  <c r="F33" i="4"/>
  <c r="E33" i="4"/>
  <c r="D33" i="4"/>
  <c r="C33" i="4"/>
  <c r="K32" i="4"/>
  <c r="J32" i="4"/>
  <c r="I32" i="4"/>
  <c r="H32" i="4"/>
  <c r="G32" i="4"/>
  <c r="E32" i="4"/>
  <c r="D32" i="4"/>
  <c r="C32" i="4"/>
  <c r="L31" i="4"/>
  <c r="I31" i="4"/>
  <c r="H31" i="4"/>
  <c r="G31" i="4"/>
  <c r="F31" i="4"/>
  <c r="D31" i="4"/>
  <c r="L30" i="4"/>
  <c r="K30" i="4"/>
  <c r="J30" i="4"/>
  <c r="I30" i="4"/>
  <c r="H30" i="4"/>
  <c r="G30" i="4"/>
  <c r="F30" i="4"/>
  <c r="E30" i="4"/>
  <c r="D30" i="4"/>
  <c r="C30" i="4"/>
  <c r="I29" i="4"/>
  <c r="H29" i="4"/>
  <c r="G29" i="4"/>
  <c r="E29" i="4"/>
  <c r="D29" i="4"/>
  <c r="L27" i="4"/>
  <c r="K27" i="4"/>
  <c r="J27" i="4"/>
  <c r="I27" i="4"/>
  <c r="H27" i="4"/>
  <c r="G27" i="4"/>
  <c r="F27" i="4"/>
  <c r="E27" i="4"/>
  <c r="D27" i="4"/>
  <c r="L26" i="4"/>
  <c r="K26" i="4"/>
  <c r="J26" i="4"/>
  <c r="I26" i="4"/>
  <c r="H26" i="4"/>
  <c r="G26" i="4"/>
  <c r="F26" i="4"/>
  <c r="E26" i="4"/>
  <c r="D26" i="4"/>
  <c r="C26" i="4"/>
  <c r="K25" i="4"/>
  <c r="J25" i="4"/>
  <c r="I25" i="4"/>
  <c r="H25" i="4"/>
  <c r="G25" i="4"/>
  <c r="F25" i="4"/>
  <c r="D25" i="4"/>
  <c r="K24" i="4"/>
  <c r="H24" i="4"/>
  <c r="G24" i="4"/>
  <c r="D24" i="4"/>
  <c r="C11" i="4"/>
  <c r="C7" i="4"/>
  <c r="E63" i="3"/>
  <c r="E62" i="3"/>
  <c r="E58" i="3"/>
  <c r="Q46" i="3"/>
  <c r="J44" i="3"/>
  <c r="J43" i="3"/>
  <c r="E43" i="3"/>
  <c r="J42" i="3"/>
  <c r="J41" i="3"/>
  <c r="E41" i="3"/>
  <c r="E31" i="3"/>
  <c r="K31" i="4"/>
  <c r="J34" i="4"/>
  <c r="C8" i="4"/>
  <c r="D29" i="14"/>
  <c r="D28" i="14"/>
  <c r="D38" i="14" l="1"/>
  <c r="L32" i="4"/>
  <c r="C27" i="4"/>
  <c r="E12" i="3"/>
  <c r="N12" i="3" s="1"/>
  <c r="E64" i="3"/>
  <c r="J33" i="4"/>
  <c r="C14" i="4"/>
  <c r="E13" i="3"/>
  <c r="N13" i="3" s="1"/>
  <c r="E48" i="3"/>
  <c r="J62" i="3"/>
  <c r="E28" i="4"/>
  <c r="E31" i="4"/>
  <c r="I24" i="4"/>
  <c r="C15" i="4"/>
  <c r="E25" i="4"/>
  <c r="G28" i="4"/>
  <c r="G36" i="4" s="1"/>
  <c r="E59" i="3"/>
  <c r="E42" i="3"/>
  <c r="J31" i="4"/>
  <c r="E65" i="3"/>
  <c r="J65" i="3"/>
  <c r="J45" i="3"/>
  <c r="C13" i="4"/>
  <c r="J24" i="4"/>
  <c r="E18" i="3"/>
  <c r="J59" i="3"/>
  <c r="E66" i="3"/>
  <c r="E45" i="3"/>
  <c r="E14" i="3"/>
  <c r="N14" i="3" s="1"/>
  <c r="J63" i="3"/>
  <c r="J58" i="3"/>
  <c r="J46" i="3"/>
  <c r="L29" i="4"/>
  <c r="E17" i="3"/>
  <c r="N17" i="3" s="1"/>
  <c r="J64" i="3"/>
  <c r="J61" i="3"/>
  <c r="J28" i="4"/>
  <c r="K29" i="4"/>
  <c r="E40" i="3"/>
  <c r="F24" i="4"/>
  <c r="E16" i="3"/>
  <c r="N16" i="3" s="1"/>
  <c r="F28" i="4"/>
  <c r="F32" i="4"/>
  <c r="C25" i="4"/>
  <c r="L24" i="4"/>
  <c r="E57" i="3"/>
  <c r="J39" i="3"/>
  <c r="E44" i="3"/>
  <c r="J47" i="3"/>
  <c r="J60" i="3"/>
  <c r="E13" i="14"/>
  <c r="J29" i="4"/>
  <c r="E47" i="3"/>
  <c r="E60" i="3"/>
  <c r="E39" i="3"/>
  <c r="C24" i="4"/>
  <c r="J40" i="3"/>
  <c r="F29" i="4"/>
  <c r="C10" i="4"/>
  <c r="H28" i="4"/>
  <c r="H36" i="4" s="1"/>
  <c r="E49" i="3"/>
  <c r="L28" i="4"/>
  <c r="J28" i="3"/>
  <c r="K28" i="4"/>
  <c r="C29" i="4"/>
  <c r="E61" i="3"/>
  <c r="C31" i="4"/>
  <c r="C12" i="4"/>
  <c r="E15" i="3"/>
  <c r="N15" i="3" s="1"/>
  <c r="I28" i="4"/>
  <c r="E46" i="3"/>
  <c r="M28" i="4" l="1"/>
  <c r="M36" i="4" s="1"/>
  <c r="M38" i="4" s="1"/>
  <c r="N18" i="3"/>
  <c r="E12" i="14"/>
  <c r="J9" i="3"/>
  <c r="J19" i="3" s="1"/>
  <c r="N19" i="3" s="1"/>
  <c r="J29" i="3"/>
  <c r="J32" i="3" s="1"/>
  <c r="K28" i="3" s="1"/>
  <c r="J66" i="3"/>
  <c r="C6" i="4"/>
  <c r="L25" i="4"/>
  <c r="L36" i="4" s="1"/>
  <c r="E14" i="14"/>
  <c r="I36" i="4"/>
  <c r="I38" i="4" s="1"/>
  <c r="N11" i="3"/>
  <c r="H38" i="4"/>
  <c r="K36" i="4"/>
  <c r="K38" i="4" s="1"/>
  <c r="E16" i="14"/>
  <c r="G38" i="4"/>
  <c r="F36" i="4"/>
  <c r="F38" i="4" s="1"/>
  <c r="E24" i="4"/>
  <c r="E36" i="4" s="1"/>
  <c r="J36" i="4"/>
  <c r="J38" i="4" s="1"/>
  <c r="E29" i="3"/>
  <c r="J57" i="3"/>
  <c r="C28" i="4"/>
  <c r="C36" i="4" s="1"/>
  <c r="J48" i="3"/>
  <c r="J50" i="3" s="1"/>
  <c r="K40" i="3" s="1"/>
  <c r="E50" i="3"/>
  <c r="F46" i="3" s="1"/>
  <c r="N46" i="3"/>
  <c r="T46" i="3" s="1"/>
  <c r="E67" i="3"/>
  <c r="F60" i="3" s="1"/>
  <c r="E22" i="14" l="1"/>
  <c r="C40" i="14" s="1"/>
  <c r="N9" i="3"/>
  <c r="J67" i="3"/>
  <c r="K65" i="3" s="1"/>
  <c r="F12" i="14"/>
  <c r="L38" i="4"/>
  <c r="E38" i="4"/>
  <c r="C38" i="4"/>
  <c r="F47" i="3"/>
  <c r="F39" i="3"/>
  <c r="F43" i="3"/>
  <c r="F42" i="3"/>
  <c r="F48" i="3"/>
  <c r="F41" i="3"/>
  <c r="F45" i="3"/>
  <c r="E52" i="3"/>
  <c r="F44" i="3"/>
  <c r="F40" i="3"/>
  <c r="K48" i="3"/>
  <c r="K47" i="3"/>
  <c r="K42" i="3"/>
  <c r="J52" i="3"/>
  <c r="K43" i="3"/>
  <c r="K41" i="3"/>
  <c r="K46" i="3"/>
  <c r="K44" i="3"/>
  <c r="K39" i="3"/>
  <c r="K45" i="3"/>
  <c r="F65" i="3"/>
  <c r="F62" i="3"/>
  <c r="F63" i="3"/>
  <c r="F58" i="3"/>
  <c r="F59" i="3"/>
  <c r="F66" i="3"/>
  <c r="F64" i="3"/>
  <c r="F57" i="3"/>
  <c r="K31" i="3"/>
  <c r="K29" i="3"/>
  <c r="F61" i="3"/>
  <c r="C27" i="14" l="1"/>
  <c r="K64" i="3"/>
  <c r="K62" i="3"/>
  <c r="K66" i="3"/>
  <c r="K57" i="3"/>
  <c r="J69" i="3"/>
  <c r="K59" i="3"/>
  <c r="K61" i="3"/>
  <c r="K58" i="3"/>
  <c r="K63" i="3"/>
  <c r="K60" i="3"/>
  <c r="D28" i="4" l="1"/>
  <c r="D36" i="4" s="1"/>
  <c r="C9" i="4"/>
  <c r="I15" i="2"/>
  <c r="E19" i="3"/>
  <c r="D38" i="4" l="1"/>
  <c r="F12" i="3"/>
  <c r="F14" i="3"/>
  <c r="F18" i="3"/>
  <c r="N22" i="3"/>
  <c r="R22" i="3" s="1"/>
  <c r="J21" i="3"/>
  <c r="F9" i="3"/>
  <c r="F13" i="3"/>
  <c r="F16" i="3"/>
  <c r="F17" i="3"/>
  <c r="F11" i="3"/>
  <c r="F15" i="3"/>
  <c r="C17" i="4"/>
  <c r="E9" i="4" s="1"/>
  <c r="N10" i="3"/>
  <c r="F10" i="3"/>
  <c r="E7" i="4" l="1"/>
  <c r="D19" i="4"/>
  <c r="E6" i="4"/>
  <c r="E14" i="4"/>
  <c r="E5" i="4"/>
  <c r="E13" i="4"/>
  <c r="E12" i="4"/>
  <c r="E15" i="4"/>
  <c r="E8" i="4"/>
  <c r="E11" i="4"/>
  <c r="E10" i="4"/>
  <c r="E17" i="4" l="1"/>
  <c r="F15" i="14" l="1"/>
  <c r="C30" i="14" s="1"/>
  <c r="E30" i="14" s="1"/>
  <c r="F17" i="14" l="1"/>
  <c r="C32" i="14" s="1"/>
  <c r="E32" i="14" s="1"/>
  <c r="E27" i="14" l="1"/>
  <c r="F13" i="14" l="1"/>
  <c r="C28" i="14" l="1"/>
  <c r="F14" i="14"/>
  <c r="C29" i="14" s="1"/>
  <c r="E29" i="14" s="1"/>
  <c r="E28" i="14" l="1"/>
  <c r="L30" i="14" s="1"/>
  <c r="F16" i="14"/>
  <c r="F22" i="14" s="1"/>
  <c r="C31" i="14" l="1"/>
  <c r="C38" i="14" s="1"/>
  <c r="E31" i="14" l="1"/>
  <c r="L29" i="14" s="1"/>
  <c r="B167" i="14"/>
  <c r="C167" i="14" s="1"/>
  <c r="E38" i="14" l="1"/>
  <c r="B43" i="14"/>
  <c r="C43" i="14"/>
  <c r="D43" i="14" l="1"/>
  <c r="F29" i="3"/>
  <c r="J34" i="3"/>
  <c r="E34" i="3"/>
  <c r="F31" i="3"/>
  <c r="E32" i="3"/>
  <c r="F28" i="3"/>
  <c r="E28" i="3"/>
  <c r="E69" i="3"/>
</calcChain>
</file>

<file path=xl/sharedStrings.xml><?xml version="1.0" encoding="utf-8"?>
<sst xmlns="http://schemas.openxmlformats.org/spreadsheetml/2006/main" count="608" uniqueCount="298">
  <si>
    <t>Rubro</t>
  </si>
  <si>
    <t>Importe</t>
  </si>
  <si>
    <t>Equipamiento</t>
  </si>
  <si>
    <t>En curso</t>
  </si>
  <si>
    <t>Art. 66 Inc. 4</t>
  </si>
  <si>
    <t>Cerrado</t>
  </si>
  <si>
    <t>Art. 66 Inc. 3</t>
  </si>
  <si>
    <t>Gs. Mant. Ed.</t>
  </si>
  <si>
    <t>Gs. Mant. Eq.</t>
  </si>
  <si>
    <t>Proveedor</t>
  </si>
  <si>
    <t>Fondos Entregados</t>
  </si>
  <si>
    <t>Fondos Rendidos</t>
  </si>
  <si>
    <t>-</t>
  </si>
  <si>
    <t>Funcionamiento</t>
  </si>
  <si>
    <t>Art. 67 Inc. 1</t>
  </si>
  <si>
    <t>Bs. Consumo</t>
  </si>
  <si>
    <t>Gs. Institucionales</t>
  </si>
  <si>
    <t>Pasajes y Viáticos</t>
  </si>
  <si>
    <t>Art. 66 Inc. 1</t>
  </si>
  <si>
    <t>Art. 67 Inc. 4</t>
  </si>
  <si>
    <t>Seguros</t>
  </si>
  <si>
    <t>Art. 67 Inc. 2</t>
  </si>
  <si>
    <t>Otros Gastos</t>
  </si>
  <si>
    <t>Serv. Básicos</t>
  </si>
  <si>
    <t>Serv. 3 No Pe.</t>
  </si>
  <si>
    <t>Art. 66 Inc. 2</t>
  </si>
  <si>
    <t>TOTAL</t>
  </si>
  <si>
    <t>Nro. Partida</t>
  </si>
  <si>
    <t>Saldo</t>
  </si>
  <si>
    <t>Porcentaje</t>
  </si>
  <si>
    <t>Art. 67 Inc. 3</t>
  </si>
  <si>
    <t>Art. 67 Inc. 5</t>
  </si>
  <si>
    <t>Art. 67 Inc. 6</t>
  </si>
  <si>
    <t>Art. 67 Inc. 7</t>
  </si>
  <si>
    <t>Art.</t>
  </si>
  <si>
    <t>Importe Total</t>
  </si>
  <si>
    <t>Control fondos rendidos</t>
  </si>
  <si>
    <t xml:space="preserve">Procedimiento </t>
  </si>
  <si>
    <t>Control rubros rendidos</t>
  </si>
  <si>
    <t>Nº Factura</t>
  </si>
  <si>
    <t>Ctdo.</t>
  </si>
  <si>
    <t>Cc.</t>
  </si>
  <si>
    <t>Desierto</t>
  </si>
  <si>
    <t>Trimestre</t>
  </si>
  <si>
    <t>Orden de pago</t>
  </si>
  <si>
    <t>Desprición</t>
  </si>
  <si>
    <t>Fecha factura</t>
  </si>
  <si>
    <t>Fecha de Pago</t>
  </si>
  <si>
    <t>OK</t>
  </si>
  <si>
    <t xml:space="preserve">Cheque </t>
  </si>
  <si>
    <t>Transferencia</t>
  </si>
  <si>
    <t>1. Abastecimiento</t>
  </si>
  <si>
    <t>2. Cubierta</t>
  </si>
  <si>
    <t>3. Máquinas</t>
  </si>
  <si>
    <t>4. Operaciones</t>
  </si>
  <si>
    <t>5. Sanidad</t>
  </si>
  <si>
    <t>6. Segundo Comandante</t>
  </si>
  <si>
    <t>1.1 Cont. Del Material</t>
  </si>
  <si>
    <t>1.2 Servicios y Pañoles</t>
  </si>
  <si>
    <t>1.3 Tesorería y Revista</t>
  </si>
  <si>
    <t>2.1 Armamento</t>
  </si>
  <si>
    <t>2.2 Material Naval</t>
  </si>
  <si>
    <t>3.1 Control Averías</t>
  </si>
  <si>
    <t>3.2. Electricidad</t>
  </si>
  <si>
    <t>3.3. Propulsión</t>
  </si>
  <si>
    <t>4.1 Comunicaciones</t>
  </si>
  <si>
    <t>4.2 Gabinetes</t>
  </si>
  <si>
    <t>4.3 Reparaciones Electrónicas</t>
  </si>
  <si>
    <t>5.1 Medicina</t>
  </si>
  <si>
    <t>6.1 Detall General</t>
  </si>
  <si>
    <t>6.2 Contrainteligencia</t>
  </si>
  <si>
    <t>6.3 Navegación</t>
  </si>
  <si>
    <t>6.4 Relaciones Públicas</t>
  </si>
  <si>
    <t>1.2.1 Cámaras</t>
  </si>
  <si>
    <t>1.2.2 Cocina</t>
  </si>
  <si>
    <t>1.2.3 Lavadero</t>
  </si>
  <si>
    <t>1.2.4 Panadería</t>
  </si>
  <si>
    <t>1.2.5 Peluquería</t>
  </si>
  <si>
    <t>1.2.6 Sastrería</t>
  </si>
  <si>
    <t>1.2.7 Servicio de Equipo</t>
  </si>
  <si>
    <t>1.2.8 Víveres</t>
  </si>
  <si>
    <t>2.2.1 Embarcaciones Menores</t>
  </si>
  <si>
    <t>2.2.2 Pinturería</t>
  </si>
  <si>
    <t>3.1.1 Combustibles</t>
  </si>
  <si>
    <t>3.1.2 Lanchas</t>
  </si>
  <si>
    <t>3.1.3 Máquinas Auxiliares</t>
  </si>
  <si>
    <t>3.1.4 Reparaciones</t>
  </si>
  <si>
    <t>3.2.1 Comunicaciones Interiores</t>
  </si>
  <si>
    <t>3.2.2 Fuerza</t>
  </si>
  <si>
    <t>3.2.3 Generadores</t>
  </si>
  <si>
    <t>3.2.4 Fuerza</t>
  </si>
  <si>
    <t>3.3.1 Máquinas Principales</t>
  </si>
  <si>
    <t>4.1.1 Señales</t>
  </si>
  <si>
    <t>4.2.1 Guinches y Maniobras</t>
  </si>
  <si>
    <t>4.2.2 Meteorología</t>
  </si>
  <si>
    <t>4.2.3 Pañol y Herramientas</t>
  </si>
  <si>
    <t>5.1.1 Enfermería</t>
  </si>
  <si>
    <t>ERROR</t>
  </si>
  <si>
    <t>DDJJ</t>
  </si>
  <si>
    <t>Presupuestando</t>
  </si>
  <si>
    <t>Estado del Expediente/OC</t>
  </si>
  <si>
    <t>Estado del Expediente Comp./Lic</t>
  </si>
  <si>
    <t>Art. Comp./Lic.</t>
  </si>
  <si>
    <t>Ctdo./Cc.</t>
  </si>
  <si>
    <t>Art. CD</t>
  </si>
  <si>
    <t>APBH</t>
  </si>
  <si>
    <t>TOTAL UNIHDO</t>
  </si>
  <si>
    <t>Nº SC</t>
  </si>
  <si>
    <t>Nro. Comprobante</t>
  </si>
  <si>
    <t>3º Trimestre 13</t>
  </si>
  <si>
    <t>4º Trimestre 13</t>
  </si>
  <si>
    <t>Control</t>
  </si>
  <si>
    <t>GASTOS SEGÚN RUBROS</t>
  </si>
  <si>
    <t>RUBRO</t>
  </si>
  <si>
    <t>GASTOS</t>
  </si>
  <si>
    <t xml:space="preserve">% </t>
  </si>
  <si>
    <t>%</t>
  </si>
  <si>
    <t>Articulos</t>
  </si>
  <si>
    <t>PROPORCION DE GASTOS SEGÚN ARTICULOS</t>
  </si>
  <si>
    <t>% Acumulado</t>
  </si>
  <si>
    <t>GASTOS BANCARIOS</t>
  </si>
  <si>
    <t>Saldo ejecución</t>
  </si>
  <si>
    <t>Saldo disponible</t>
  </si>
  <si>
    <t>Art. 2016</t>
  </si>
  <si>
    <t>Art. 66 Inc. 2 - CONC. SOBRE CERRADO</t>
  </si>
  <si>
    <t>Art. 66 Inc. 3 - LICITACIÓN</t>
  </si>
  <si>
    <t>Art. 67 Inc. 1 - COMPRA DIRECTA</t>
  </si>
  <si>
    <t>Art. 66 Inc. 4 - L ICITACIÓN</t>
  </si>
  <si>
    <t>Art. 67 Inc. 2 - EXCLUSIVIDAD</t>
  </si>
  <si>
    <t>Art. 67 Inc. 3 - 2 LIC. FRACASADAS</t>
  </si>
  <si>
    <t>Art. 67 Inc. 4 - URG/EMERGENCIA</t>
  </si>
  <si>
    <t>Art. 67 Inc. 5 - EXAMEN PREVIO</t>
  </si>
  <si>
    <t>Art. 67 Inc. 6 - CONT. CON UNIV. NAC</t>
  </si>
  <si>
    <t>Art. 67 Inc. 7 - CONTR. ORG MUN/PROV/NAC</t>
  </si>
  <si>
    <t>Art. 66 Inc. 1 - TRES PRESUP.</t>
  </si>
  <si>
    <t>Actuado/OC.</t>
  </si>
  <si>
    <t>Q 20 - Pto. Deseado</t>
  </si>
  <si>
    <t>Q 21 - Austral</t>
  </si>
  <si>
    <t>---</t>
  </si>
  <si>
    <t>INN E</t>
  </si>
  <si>
    <t>COMP INN E</t>
  </si>
  <si>
    <t xml:space="preserve">CONTROL </t>
  </si>
  <si>
    <t>Procedimientos de contratación</t>
  </si>
  <si>
    <t xml:space="preserve"> Montos por procedimientos de contratación utilizados por rubro</t>
  </si>
  <si>
    <t>Puerto Deseado</t>
  </si>
  <si>
    <t>Austral</t>
  </si>
  <si>
    <t>Gs. Bancarios</t>
  </si>
  <si>
    <t>Fecha</t>
  </si>
  <si>
    <t>Concepto</t>
  </si>
  <si>
    <t>Fondos Rendidos (sumatoria de facturas)</t>
  </si>
  <si>
    <t>Nro. Factura</t>
  </si>
  <si>
    <t>Tipo de Factura</t>
  </si>
  <si>
    <t xml:space="preserve">Fondos Entregados (cheques + transf) </t>
  </si>
  <si>
    <t xml:space="preserve">Rubro </t>
  </si>
  <si>
    <t>Concepto Cheques / Transf.</t>
  </si>
  <si>
    <t xml:space="preserve">Importe </t>
  </si>
  <si>
    <t>Cheque Numero / Transf. OP Nº</t>
  </si>
  <si>
    <t>Total fondos entregados</t>
  </si>
  <si>
    <t>Total fondos rendidos</t>
  </si>
  <si>
    <t>Saldo caja chica SIAF</t>
  </si>
  <si>
    <t>Diferencia a evaluar</t>
  </si>
  <si>
    <t>CONTROL</t>
  </si>
  <si>
    <t>Apellido y Nombre</t>
  </si>
  <si>
    <r>
      <t xml:space="preserve">Saldo caja chica Excel - </t>
    </r>
    <r>
      <rPr>
        <b/>
        <sz val="11"/>
        <color theme="1"/>
        <rFont val="Calibri"/>
        <family val="2"/>
        <scheme val="minor"/>
      </rPr>
      <t>PENDIENTES DE RENDIR</t>
    </r>
  </si>
  <si>
    <r>
      <t>TABLAS Y GRAFICOS RESUMEN PLIEGOS 2017</t>
    </r>
    <r>
      <rPr>
        <b/>
        <sz val="16"/>
        <color theme="1"/>
        <rFont val="Calibri"/>
        <family val="2"/>
        <scheme val="minor"/>
      </rPr>
      <t xml:space="preserve"> UNIHDO</t>
    </r>
  </si>
  <si>
    <r>
      <t xml:space="preserve">TABLAS Y GRAFICOS RESUMEN PLIEGOS 2017 </t>
    </r>
    <r>
      <rPr>
        <b/>
        <sz val="16"/>
        <color theme="1"/>
        <rFont val="Calibri"/>
        <family val="2"/>
        <scheme val="minor"/>
      </rPr>
      <t>ARA PUERTO DESEADO</t>
    </r>
  </si>
  <si>
    <r>
      <t xml:space="preserve">TABLAS Y GRAFICOS RESUMEN PLIEGOS 2017 </t>
    </r>
    <r>
      <rPr>
        <b/>
        <sz val="16"/>
        <color theme="1"/>
        <rFont val="Calibri"/>
        <family val="2"/>
        <scheme val="minor"/>
      </rPr>
      <t>ARA AUSTRAL</t>
    </r>
  </si>
  <si>
    <r>
      <t xml:space="preserve">TABLAS Y GRAFICOS RESUMEN PLIEGOS 2017 </t>
    </r>
    <r>
      <rPr>
        <b/>
        <sz val="16"/>
        <color theme="1"/>
        <rFont val="Calibri"/>
        <family val="2"/>
        <scheme val="minor"/>
      </rPr>
      <t>GRAFICO COMPARATIVO SEGÚN RUBRO</t>
    </r>
  </si>
  <si>
    <t>Caja Chica Buque APBH</t>
  </si>
  <si>
    <t xml:space="preserve"> </t>
  </si>
  <si>
    <t>COMP CAJA CHICA APBH SALDO</t>
  </si>
  <si>
    <t>COMPRAR</t>
  </si>
  <si>
    <t>NO COMPRAR</t>
  </si>
  <si>
    <t>FONDOS FUNCIONAMIENTO JGM</t>
  </si>
  <si>
    <t>.</t>
  </si>
  <si>
    <t>TOTAL ENTREGADO</t>
  </si>
  <si>
    <t>TOTAL RENDIDO</t>
  </si>
  <si>
    <t>RENDICIÓN: CONICET Funcionamiento</t>
  </si>
  <si>
    <t>JGM DESEADO F</t>
  </si>
  <si>
    <t>JGM DESEADO E</t>
  </si>
  <si>
    <t>JGM AUSTRAL F</t>
  </si>
  <si>
    <t>JGM AUSTRAL E</t>
  </si>
  <si>
    <t>Fondos rendidos por rubro CONICET "Puerto Deseado"</t>
  </si>
  <si>
    <t>Fondos rendidos por rubro CONICET "Austral"</t>
  </si>
  <si>
    <t>Fondos rendidos por rubro JGM "Puerto Deseado"</t>
  </si>
  <si>
    <t>Fondos rendidos por rubro JGM "Austral"</t>
  </si>
  <si>
    <t xml:space="preserve">Fondos rendidos por partidas </t>
  </si>
  <si>
    <t>Fondos rendidos por rubro  CONICET-JGM</t>
  </si>
  <si>
    <t>UNIHDO TIPO B F</t>
  </si>
  <si>
    <t>COMP UNIHDO TIPO B F</t>
  </si>
  <si>
    <t>PF</t>
  </si>
  <si>
    <t>COMP PF</t>
  </si>
  <si>
    <t>CONICET F</t>
  </si>
  <si>
    <t>CONICET E</t>
  </si>
  <si>
    <t>JGM F</t>
  </si>
  <si>
    <t>JGM E</t>
  </si>
  <si>
    <t>BANCO BURDWWOD</t>
  </si>
  <si>
    <t xml:space="preserve">INN F </t>
  </si>
  <si>
    <t>INN FF</t>
  </si>
  <si>
    <t>COMP CONICET F</t>
  </si>
  <si>
    <t>COMP CONICET E</t>
  </si>
  <si>
    <t>COMP JGM F</t>
  </si>
  <si>
    <t>COMP JGM E</t>
  </si>
  <si>
    <t>COMP BANCO BURDWWOD</t>
  </si>
  <si>
    <t xml:space="preserve">COMP INN F </t>
  </si>
  <si>
    <t>COMP INN FF</t>
  </si>
  <si>
    <t>Fondos comprometidos 2018</t>
  </si>
  <si>
    <t>BANCO BURDWWOD E</t>
  </si>
  <si>
    <t>COMP BANCO BURDWWOD E</t>
  </si>
  <si>
    <t>2018 BANCO BURDWOOD</t>
  </si>
  <si>
    <t>COMP 2018 BANCO BURDWOOD</t>
  </si>
  <si>
    <t>Completo</t>
  </si>
  <si>
    <t>Incompleto</t>
  </si>
  <si>
    <t>COMPLETO</t>
  </si>
  <si>
    <t xml:space="preserve">INCOMPLETO </t>
  </si>
  <si>
    <t>CADIC BANCO BURDWOOD</t>
  </si>
  <si>
    <t>COMP CADIC BANCO BURDWOOD</t>
  </si>
  <si>
    <t>FONDOS COMPROMETIDOS 2019</t>
  </si>
  <si>
    <t>EQUIPOS Y LICITACIÓN</t>
  </si>
  <si>
    <t>|</t>
  </si>
  <si>
    <t>UPROMAR</t>
  </si>
  <si>
    <t>PA-YTEC-BB</t>
  </si>
  <si>
    <t>COMP PA-YTEC-BB</t>
  </si>
  <si>
    <t>PA-YTEC-BB E</t>
  </si>
  <si>
    <t>COMP PA-YTEC-BB E</t>
  </si>
  <si>
    <t>+</t>
  </si>
  <si>
    <t>Saldo 2019</t>
  </si>
  <si>
    <t>Fondos Asignados 2020</t>
  </si>
  <si>
    <t>Fondos Ejecutados 2020</t>
  </si>
  <si>
    <t>FONDOS ENTREGADOS 2020</t>
  </si>
  <si>
    <t>Arias Juan Anibal</t>
  </si>
  <si>
    <t>AUSTRAL FUNC</t>
  </si>
  <si>
    <t>AUSTRAL EQUIP</t>
  </si>
  <si>
    <t>COMP AUSTRAL FUNC</t>
  </si>
  <si>
    <t>COMP AUSTRAL EQUIP</t>
  </si>
  <si>
    <t>Messineo, Eugenio</t>
  </si>
  <si>
    <t>Scalzone, Fernandp</t>
  </si>
  <si>
    <t>Squilacci, Juan Manuel</t>
  </si>
  <si>
    <t>Funcionamiento Q20</t>
  </si>
  <si>
    <t>Equipamiento Q20</t>
  </si>
  <si>
    <t>Funcionamiento Q21</t>
  </si>
  <si>
    <t>Insumos ferreteria</t>
  </si>
  <si>
    <t>2--235</t>
  </si>
  <si>
    <t>C</t>
  </si>
  <si>
    <t>Fangareggi Mario Angel</t>
  </si>
  <si>
    <t>placa bronce</t>
  </si>
  <si>
    <t>Bs Consumo</t>
  </si>
  <si>
    <t>146--3262</t>
  </si>
  <si>
    <t>B</t>
  </si>
  <si>
    <t>Ingacot Comercial SA</t>
  </si>
  <si>
    <t>Adq. Pinturas</t>
  </si>
  <si>
    <t>1--3688</t>
  </si>
  <si>
    <t>Cranzi, Maximiliano</t>
  </si>
  <si>
    <t>Insumos Ferreteria</t>
  </si>
  <si>
    <t>1--3689</t>
  </si>
  <si>
    <t>002--42</t>
  </si>
  <si>
    <t>Dabos Jorge Raul</t>
  </si>
  <si>
    <t>Colocacion vidrios puente</t>
  </si>
  <si>
    <t>7--4952</t>
  </si>
  <si>
    <t>Prueba hidraulica</t>
  </si>
  <si>
    <t>Serv. 3ros</t>
  </si>
  <si>
    <t>2180/105271</t>
  </si>
  <si>
    <t>Cencosud</t>
  </si>
  <si>
    <t>2185--105715</t>
  </si>
  <si>
    <t>1-</t>
  </si>
  <si>
    <t>2-</t>
  </si>
  <si>
    <t>3-</t>
  </si>
  <si>
    <t>4-</t>
  </si>
  <si>
    <t>5-</t>
  </si>
  <si>
    <t>6-</t>
  </si>
  <si>
    <t>7-</t>
  </si>
  <si>
    <t>8-</t>
  </si>
  <si>
    <t>9-</t>
  </si>
  <si>
    <t>10-</t>
  </si>
  <si>
    <t>01-Sub-Unidad</t>
  </si>
  <si>
    <t>01-UNIDAD</t>
  </si>
  <si>
    <t>02-Proveedor</t>
  </si>
  <si>
    <t>03-Rubro</t>
  </si>
  <si>
    <t>04-Partida</t>
  </si>
  <si>
    <t>05-Procedimiento-Art.</t>
  </si>
  <si>
    <t>06-Rendición</t>
  </si>
  <si>
    <t>06-RENDICION</t>
  </si>
  <si>
    <t>PARC</t>
  </si>
  <si>
    <t>NO</t>
  </si>
  <si>
    <t>03-RUBROS</t>
  </si>
  <si>
    <t>04-PARTIDAS</t>
  </si>
  <si>
    <t>05-PROCEDIMIENTO-ART.</t>
  </si>
  <si>
    <t>02-PROVEEDORES</t>
  </si>
  <si>
    <t>07-Ctdo.-Cc.</t>
  </si>
  <si>
    <t>07-CTDO-CC</t>
  </si>
  <si>
    <t>08-Medio de Pago</t>
  </si>
  <si>
    <t>08-MEDIO DE PAGO</t>
  </si>
  <si>
    <t>09-Expediente</t>
  </si>
  <si>
    <t>09-EXPEDIENTE</t>
  </si>
  <si>
    <t>INDETERMINADO</t>
  </si>
  <si>
    <t>00-00</t>
  </si>
  <si>
    <t>00-00-000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</si>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</sst>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&quot;$&quot;\ * #,##0.00_-;\-&quot;$&quot;\ * #,##0.00_-;_-&quot;$&quot;\ * &quot;-&quot;??_-;_-@_-"/>
    <numFmt numFmtId="165" formatCode="_ &quot;$&quot;\ * #,##0.00_ ;_ &quot;$&quot;\ * \-#,##0.00_ ;_ &quot;$&quot;\ * &quot;-&quot;??_ ;_ @_ "/>
    <numFmt numFmtId="166" formatCode="dd\-mm\-yy;@"/>
    <numFmt numFmtId="167" formatCode="[$$-2C0A]\ #,##0.00"/>
    <numFmt numFmtId="168" formatCode="&quot;$&quot;\ #,##0.00"/>
    <numFmt numFmtId="169" formatCode="[$$-340A]\ #,##0.00"/>
  </numFmts>
  <fonts count="2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Arial"/>
      <family val="2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3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59"/>
      </right>
      <top style="medium">
        <color indexed="64"/>
      </top>
      <bottom style="medium">
        <color indexed="64"/>
      </bottom>
      <diagonal/>
    </border>
    <border>
      <left style="thin">
        <color indexed="59"/>
      </left>
      <right style="thin">
        <color indexed="59"/>
      </right>
      <top style="medium">
        <color indexed="64"/>
      </top>
      <bottom style="medium">
        <color indexed="64"/>
      </bottom>
      <diagonal/>
    </border>
    <border>
      <left style="thin">
        <color indexed="5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59"/>
      </left>
      <right style="thin">
        <color indexed="59"/>
      </right>
      <top style="medium">
        <color indexed="64"/>
      </top>
      <bottom/>
      <diagonal/>
    </border>
    <border>
      <left/>
      <right style="thin">
        <color indexed="59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59"/>
      </right>
      <top style="medium">
        <color indexed="64"/>
      </top>
      <bottom/>
      <diagonal/>
    </border>
    <border>
      <left style="medium">
        <color indexed="59"/>
      </left>
      <right/>
      <top style="medium">
        <color indexed="64"/>
      </top>
      <bottom/>
      <diagonal/>
    </border>
    <border>
      <left style="medium">
        <color indexed="59"/>
      </left>
      <right style="medium">
        <color indexed="59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59"/>
      </right>
      <top/>
      <bottom style="medium">
        <color indexed="64"/>
      </bottom>
      <diagonal/>
    </border>
    <border>
      <left/>
      <right style="thin">
        <color indexed="59"/>
      </right>
      <top/>
      <bottom style="medium">
        <color indexed="64"/>
      </bottom>
      <diagonal/>
    </border>
    <border>
      <left style="thin">
        <color indexed="59"/>
      </left>
      <right style="thin">
        <color indexed="59"/>
      </right>
      <top/>
      <bottom style="medium">
        <color indexed="64"/>
      </bottom>
      <diagonal/>
    </border>
    <border>
      <left style="thin">
        <color indexed="59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5" fillId="0" borderId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" fillId="0" borderId="0"/>
  </cellStyleXfs>
  <cellXfs count="41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Border="1" applyAlignment="1">
      <alignment wrapText="1"/>
    </xf>
    <xf numFmtId="0" fontId="3" fillId="0" borderId="0" xfId="0" applyFont="1" applyAlignment="1"/>
    <xf numFmtId="0" fontId="1" fillId="0" borderId="0" xfId="0" applyFont="1" applyBorder="1" applyAlignment="1"/>
    <xf numFmtId="0" fontId="13" fillId="3" borderId="0" xfId="0" applyFont="1" applyFill="1"/>
    <xf numFmtId="0" fontId="13" fillId="0" borderId="0" xfId="0" applyFont="1"/>
    <xf numFmtId="0" fontId="7" fillId="5" borderId="0" xfId="0" applyFont="1" applyFill="1" applyAlignment="1">
      <alignment horizontal="center" vertical="center"/>
    </xf>
    <xf numFmtId="10" fontId="7" fillId="5" borderId="0" xfId="0" applyNumberFormat="1" applyFont="1" applyFill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168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0" borderId="0" xfId="0" applyFill="1" applyBorder="1"/>
    <xf numFmtId="0" fontId="0" fillId="4" borderId="0" xfId="0" applyFill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168" fontId="13" fillId="3" borderId="0" xfId="0" applyNumberFormat="1" applyFont="1" applyFill="1" applyAlignment="1">
      <alignment horizontal="center" vertical="center"/>
    </xf>
    <xf numFmtId="168" fontId="13" fillId="0" borderId="0" xfId="0" applyNumberFormat="1" applyFont="1" applyAlignment="1">
      <alignment horizontal="center" vertical="center"/>
    </xf>
    <xf numFmtId="168" fontId="13" fillId="5" borderId="3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167" fontId="0" fillId="0" borderId="0" xfId="0" applyNumberFormat="1"/>
    <xf numFmtId="1" fontId="5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7" fontId="5" fillId="3" borderId="0" xfId="0" applyNumberFormat="1" applyFont="1" applyFill="1" applyBorder="1" applyAlignment="1">
      <alignment horizontal="center" vertical="center"/>
    </xf>
    <xf numFmtId="4" fontId="5" fillId="3" borderId="0" xfId="0" applyNumberFormat="1" applyFont="1" applyFill="1" applyBorder="1" applyAlignment="1">
      <alignment horizontal="center" vertical="center"/>
    </xf>
    <xf numFmtId="167" fontId="5" fillId="0" borderId="0" xfId="0" applyNumberFormat="1" applyFont="1" applyFill="1" applyBorder="1" applyAlignment="1">
      <alignment horizontal="center" vertical="center"/>
    </xf>
    <xf numFmtId="4" fontId="5" fillId="0" borderId="0" xfId="0" applyNumberFormat="1" applyFont="1" applyFill="1" applyBorder="1" applyAlignment="1">
      <alignment horizontal="center" vertical="center"/>
    </xf>
    <xf numFmtId="167" fontId="5" fillId="0" borderId="7" xfId="0" applyNumberFormat="1" applyFont="1" applyFill="1" applyBorder="1" applyAlignment="1">
      <alignment horizontal="center" vertical="center"/>
    </xf>
    <xf numFmtId="167" fontId="5" fillId="3" borderId="7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9" fillId="5" borderId="0" xfId="0" applyFont="1" applyFill="1" applyBorder="1"/>
    <xf numFmtId="0" fontId="0" fillId="0" borderId="12" xfId="0" applyBorder="1"/>
    <xf numFmtId="168" fontId="5" fillId="3" borderId="0" xfId="0" applyNumberFormat="1" applyFont="1" applyFill="1" applyBorder="1" applyAlignment="1">
      <alignment vertical="center"/>
    </xf>
    <xf numFmtId="0" fontId="5" fillId="3" borderId="0" xfId="0" applyNumberFormat="1" applyFont="1" applyFill="1" applyBorder="1" applyAlignment="1">
      <alignment horizontal="center" vertical="center"/>
    </xf>
    <xf numFmtId="168" fontId="5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167" fontId="5" fillId="0" borderId="0" xfId="0" applyNumberFormat="1" applyFont="1" applyBorder="1" applyAlignment="1">
      <alignment horizontal="center" vertical="center"/>
    </xf>
    <xf numFmtId="2" fontId="5" fillId="3" borderId="7" xfId="0" applyNumberFormat="1" applyFont="1" applyFill="1" applyBorder="1" applyAlignment="1">
      <alignment horizontal="center" vertical="center"/>
    </xf>
    <xf numFmtId="0" fontId="0" fillId="4" borderId="0" xfId="0" applyFill="1" applyBorder="1"/>
    <xf numFmtId="165" fontId="0" fillId="0" borderId="0" xfId="0" applyNumberFormat="1"/>
    <xf numFmtId="165" fontId="0" fillId="0" borderId="32" xfId="2" applyFont="1" applyBorder="1"/>
    <xf numFmtId="165" fontId="0" fillId="0" borderId="33" xfId="2" applyFont="1" applyBorder="1"/>
    <xf numFmtId="0" fontId="0" fillId="9" borderId="18" xfId="0" applyFill="1" applyBorder="1" applyAlignment="1">
      <alignment horizontal="center"/>
    </xf>
    <xf numFmtId="0" fontId="5" fillId="4" borderId="34" xfId="0" applyFont="1" applyFill="1" applyBorder="1" applyAlignment="1">
      <alignment horizontal="left" vertical="top"/>
    </xf>
    <xf numFmtId="0" fontId="0" fillId="0" borderId="34" xfId="0" applyBorder="1"/>
    <xf numFmtId="0" fontId="0" fillId="0" borderId="35" xfId="0" applyBorder="1"/>
    <xf numFmtId="0" fontId="0" fillId="9" borderId="18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0" borderId="38" xfId="0" applyBorder="1"/>
    <xf numFmtId="0" fontId="0" fillId="9" borderId="18" xfId="0" applyFill="1" applyBorder="1"/>
    <xf numFmtId="0" fontId="5" fillId="4" borderId="35" xfId="0" applyFont="1" applyFill="1" applyBorder="1" applyAlignment="1">
      <alignment horizontal="left" vertical="top"/>
    </xf>
    <xf numFmtId="0" fontId="5" fillId="4" borderId="38" xfId="0" applyFont="1" applyFill="1" applyBorder="1" applyAlignment="1">
      <alignment horizontal="left" vertical="top"/>
    </xf>
    <xf numFmtId="0" fontId="5" fillId="9" borderId="18" xfId="0" applyFont="1" applyFill="1" applyBorder="1" applyAlignment="1">
      <alignment horizontal="left" vertical="top"/>
    </xf>
    <xf numFmtId="0" fontId="0" fillId="4" borderId="8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7" xfId="0" applyFill="1" applyBorder="1"/>
    <xf numFmtId="0" fontId="0" fillId="4" borderId="14" xfId="0" applyFill="1" applyBorder="1"/>
    <xf numFmtId="0" fontId="0" fillId="4" borderId="6" xfId="0" applyFill="1" applyBorder="1"/>
    <xf numFmtId="0" fontId="0" fillId="4" borderId="15" xfId="0" applyFill="1" applyBorder="1"/>
    <xf numFmtId="165" fontId="0" fillId="0" borderId="24" xfId="2" applyFont="1" applyBorder="1"/>
    <xf numFmtId="165" fontId="0" fillId="0" borderId="39" xfId="2" applyFont="1" applyBorder="1"/>
    <xf numFmtId="165" fontId="0" fillId="0" borderId="39" xfId="0" applyNumberFormat="1" applyBorder="1"/>
    <xf numFmtId="0" fontId="0" fillId="4" borderId="18" xfId="0" applyFill="1" applyBorder="1" applyAlignment="1">
      <alignment horizontal="center" vertical="center"/>
    </xf>
    <xf numFmtId="10" fontId="0" fillId="0" borderId="40" xfId="3" applyNumberFormat="1" applyFont="1" applyBorder="1"/>
    <xf numFmtId="10" fontId="0" fillId="0" borderId="17" xfId="3" applyNumberFormat="1" applyFont="1" applyBorder="1"/>
    <xf numFmtId="10" fontId="0" fillId="4" borderId="5" xfId="0" applyNumberFormat="1" applyFill="1" applyBorder="1"/>
    <xf numFmtId="10" fontId="0" fillId="4" borderId="1" xfId="0" applyNumberFormat="1" applyFill="1" applyBorder="1"/>
    <xf numFmtId="0" fontId="0" fillId="9" borderId="18" xfId="0" applyFill="1" applyBorder="1" applyAlignment="1">
      <alignment horizontal="center" vertical="center" wrapText="1"/>
    </xf>
    <xf numFmtId="17" fontId="0" fillId="0" borderId="0" xfId="0" applyNumberFormat="1" applyAlignment="1">
      <alignment horizontal="center"/>
    </xf>
    <xf numFmtId="0" fontId="2" fillId="6" borderId="11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2" fontId="0" fillId="10" borderId="3" xfId="0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1" fontId="5" fillId="10" borderId="3" xfId="0" applyNumberFormat="1" applyFont="1" applyFill="1" applyBorder="1" applyAlignment="1">
      <alignment horizontal="center" vertical="center"/>
    </xf>
    <xf numFmtId="4" fontId="18" fillId="10" borderId="3" xfId="0" applyNumberFormat="1" applyFont="1" applyFill="1" applyBorder="1" applyAlignment="1">
      <alignment horizontal="center"/>
    </xf>
    <xf numFmtId="167" fontId="14" fillId="6" borderId="2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 wrapText="1"/>
    </xf>
    <xf numFmtId="0" fontId="14" fillId="6" borderId="19" xfId="0" applyFont="1" applyFill="1" applyBorder="1" applyAlignment="1">
      <alignment horizontal="center" vertical="center"/>
    </xf>
    <xf numFmtId="167" fontId="14" fillId="6" borderId="2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7" fontId="14" fillId="6" borderId="23" xfId="0" applyNumberFormat="1" applyFont="1" applyFill="1" applyBorder="1" applyAlignment="1">
      <alignment horizontal="center" vertical="center"/>
    </xf>
    <xf numFmtId="4" fontId="0" fillId="10" borderId="3" xfId="0" applyNumberForma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7" fontId="5" fillId="4" borderId="0" xfId="0" applyNumberFormat="1" applyFont="1" applyFill="1" applyBorder="1" applyAlignment="1">
      <alignment vertical="center"/>
    </xf>
    <xf numFmtId="0" fontId="5" fillId="4" borderId="7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" fontId="5" fillId="4" borderId="7" xfId="0" applyNumberFormat="1" applyFont="1" applyFill="1" applyBorder="1" applyAlignment="1">
      <alignment horizontal="center" vertical="center"/>
    </xf>
    <xf numFmtId="10" fontId="0" fillId="0" borderId="37" xfId="0" applyNumberFormat="1" applyBorder="1" applyAlignment="1">
      <alignment horizontal="center" vertical="center"/>
    </xf>
    <xf numFmtId="168" fontId="13" fillId="0" borderId="0" xfId="0" applyNumberFormat="1" applyFont="1" applyFill="1" applyAlignment="1">
      <alignment horizontal="center" vertical="center"/>
    </xf>
    <xf numFmtId="168" fontId="13" fillId="5" borderId="3" xfId="0" applyNumberFormat="1" applyFont="1" applyFill="1" applyBorder="1" applyAlignment="1">
      <alignment horizontal="center"/>
    </xf>
    <xf numFmtId="168" fontId="13" fillId="5" borderId="4" xfId="0" applyNumberFormat="1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169" fontId="14" fillId="5" borderId="4" xfId="0" applyNumberFormat="1" applyFont="1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165" fontId="0" fillId="4" borderId="0" xfId="2" applyFont="1" applyFill="1" applyBorder="1"/>
    <xf numFmtId="10" fontId="0" fillId="4" borderId="0" xfId="3" applyNumberFormat="1" applyFont="1" applyFill="1" applyBorder="1"/>
    <xf numFmtId="10" fontId="0" fillId="4" borderId="0" xfId="0" applyNumberFormat="1" applyFill="1" applyBorder="1"/>
    <xf numFmtId="10" fontId="0" fillId="4" borderId="0" xfId="0" applyNumberForma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top"/>
    </xf>
    <xf numFmtId="0" fontId="5" fillId="4" borderId="34" xfId="0" applyFont="1" applyFill="1" applyBorder="1" applyAlignment="1">
      <alignment horizontal="center" vertical="top"/>
    </xf>
    <xf numFmtId="0" fontId="0" fillId="4" borderId="0" xfId="0" applyFill="1" applyBorder="1" applyAlignment="1">
      <alignment horizontal="center" wrapText="1"/>
    </xf>
    <xf numFmtId="0" fontId="0" fillId="8" borderId="18" xfId="0" applyFill="1" applyBorder="1" applyAlignment="1">
      <alignment horizontal="center"/>
    </xf>
    <xf numFmtId="0" fontId="5" fillId="4" borderId="43" xfId="0" applyFont="1" applyFill="1" applyBorder="1" applyAlignment="1">
      <alignment horizontal="center" vertical="top"/>
    </xf>
    <xf numFmtId="0" fontId="14" fillId="4" borderId="44" xfId="0" applyFont="1" applyFill="1" applyBorder="1" applyAlignment="1">
      <alignment horizontal="center" vertical="center"/>
    </xf>
    <xf numFmtId="165" fontId="0" fillId="0" borderId="35" xfId="3" applyNumberFormat="1" applyFont="1" applyBorder="1" applyAlignment="1">
      <alignment horizontal="center"/>
    </xf>
    <xf numFmtId="165" fontId="0" fillId="0" borderId="42" xfId="3" applyNumberFormat="1" applyFont="1" applyBorder="1" applyAlignment="1">
      <alignment horizontal="center"/>
    </xf>
    <xf numFmtId="165" fontId="0" fillId="0" borderId="35" xfId="2" applyFont="1" applyBorder="1" applyAlignment="1">
      <alignment horizontal="center"/>
    </xf>
    <xf numFmtId="165" fontId="0" fillId="0" borderId="42" xfId="2" applyFont="1" applyBorder="1" applyAlignment="1">
      <alignment horizontal="center"/>
    </xf>
    <xf numFmtId="167" fontId="0" fillId="0" borderId="0" xfId="0" applyNumberFormat="1" applyBorder="1"/>
    <xf numFmtId="167" fontId="14" fillId="0" borderId="0" xfId="0" applyNumberFormat="1" applyFont="1"/>
    <xf numFmtId="9" fontId="0" fillId="0" borderId="37" xfId="3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 wrapText="1"/>
    </xf>
    <xf numFmtId="0" fontId="20" fillId="0" borderId="0" xfId="0" applyFont="1"/>
    <xf numFmtId="4" fontId="0" fillId="0" borderId="0" xfId="0" applyNumberFormat="1"/>
    <xf numFmtId="0" fontId="14" fillId="0" borderId="1" xfId="0" applyFont="1" applyBorder="1" applyAlignment="1">
      <alignment horizontal="center" vertical="center" wrapText="1"/>
    </xf>
    <xf numFmtId="0" fontId="21" fillId="0" borderId="0" xfId="0" applyFont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4" fontId="0" fillId="0" borderId="0" xfId="0" applyNumberFormat="1" applyFill="1" applyAlignment="1">
      <alignment horizontal="center"/>
    </xf>
    <xf numFmtId="0" fontId="7" fillId="2" borderId="45" xfId="0" applyFont="1" applyFill="1" applyBorder="1" applyAlignment="1">
      <alignment horizontal="center" vertical="center" wrapText="1"/>
    </xf>
    <xf numFmtId="0" fontId="7" fillId="2" borderId="46" xfId="0" applyFont="1" applyFill="1" applyBorder="1" applyAlignment="1">
      <alignment horizontal="center" vertical="center" wrapText="1"/>
    </xf>
    <xf numFmtId="0" fontId="7" fillId="2" borderId="47" xfId="0" applyFont="1" applyFill="1" applyBorder="1" applyAlignment="1">
      <alignment horizontal="center" vertical="center" wrapText="1"/>
    </xf>
    <xf numFmtId="0" fontId="7" fillId="2" borderId="48" xfId="0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/>
    </xf>
    <xf numFmtId="0" fontId="14" fillId="11" borderId="0" xfId="0" applyFont="1" applyFill="1"/>
    <xf numFmtId="0" fontId="14" fillId="14" borderId="0" xfId="0" applyFont="1" applyFill="1"/>
    <xf numFmtId="167" fontId="14" fillId="0" borderId="14" xfId="0" applyNumberFormat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" fontId="18" fillId="0" borderId="4" xfId="0" applyNumberFormat="1" applyFont="1" applyFill="1" applyBorder="1" applyAlignment="1">
      <alignment horizontal="center" vertical="center"/>
    </xf>
    <xf numFmtId="4" fontId="4" fillId="12" borderId="2" xfId="0" applyNumberFormat="1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  <xf numFmtId="4" fontId="4" fillId="0" borderId="4" xfId="0" applyNumberFormat="1" applyFont="1" applyFill="1" applyBorder="1" applyAlignment="1">
      <alignment horizontal="center" vertical="center" wrapText="1"/>
    </xf>
    <xf numFmtId="16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" fontId="0" fillId="0" borderId="0" xfId="0" applyNumberFormat="1" applyFont="1" applyFill="1" applyBorder="1" applyAlignment="1">
      <alignment horizontal="center" vertical="center"/>
    </xf>
    <xf numFmtId="4" fontId="0" fillId="4" borderId="27" xfId="0" applyNumberFormat="1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12" xfId="0" applyFont="1" applyBorder="1"/>
    <xf numFmtId="0" fontId="0" fillId="0" borderId="14" xfId="0" applyFont="1" applyBorder="1"/>
    <xf numFmtId="0" fontId="0" fillId="0" borderId="6" xfId="0" applyFont="1" applyBorder="1"/>
    <xf numFmtId="4" fontId="0" fillId="0" borderId="15" xfId="0" applyNumberFormat="1" applyFont="1" applyBorder="1"/>
    <xf numFmtId="0" fontId="5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4" fontId="7" fillId="0" borderId="27" xfId="0" applyNumberFormat="1" applyFont="1" applyFill="1" applyBorder="1" applyAlignment="1">
      <alignment horizontal="center" vertical="center" wrapText="1"/>
    </xf>
    <xf numFmtId="14" fontId="5" fillId="4" borderId="13" xfId="0" applyNumberFormat="1" applyFont="1" applyFill="1" applyBorder="1" applyAlignment="1">
      <alignment horizontal="center" vertical="center" wrapText="1"/>
    </xf>
    <xf numFmtId="4" fontId="5" fillId="12" borderId="1" xfId="0" applyNumberFormat="1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 wrapText="1"/>
    </xf>
    <xf numFmtId="4" fontId="5" fillId="12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4" fontId="5" fillId="0" borderId="0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" fontId="7" fillId="0" borderId="10" xfId="0" applyNumberFormat="1" applyFont="1" applyBorder="1" applyAlignment="1">
      <alignment horizontal="center" vertical="center" wrapText="1"/>
    </xf>
    <xf numFmtId="14" fontId="5" fillId="0" borderId="16" xfId="0" applyNumberFormat="1" applyFont="1" applyFill="1" applyBorder="1" applyAlignment="1">
      <alignment horizontal="center" vertical="center" wrapText="1"/>
    </xf>
    <xf numFmtId="4" fontId="5" fillId="12" borderId="28" xfId="0" applyNumberFormat="1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4" fontId="5" fillId="0" borderId="29" xfId="0" applyNumberFormat="1" applyFont="1" applyFill="1" applyBorder="1" applyAlignment="1">
      <alignment horizontal="center" vertical="center" wrapText="1"/>
    </xf>
    <xf numFmtId="0" fontId="22" fillId="0" borderId="0" xfId="0" applyFont="1"/>
    <xf numFmtId="14" fontId="11" fillId="0" borderId="49" xfId="0" applyNumberFormat="1" applyFont="1" applyFill="1" applyBorder="1" applyAlignment="1">
      <alignment horizontal="center" vertical="center" wrapText="1"/>
    </xf>
    <xf numFmtId="4" fontId="11" fillId="12" borderId="50" xfId="0" applyNumberFormat="1" applyFont="1" applyFill="1" applyBorder="1" applyAlignment="1">
      <alignment horizontal="center" vertical="center" wrapText="1"/>
    </xf>
    <xf numFmtId="166" fontId="22" fillId="0" borderId="49" xfId="0" applyNumberFormat="1" applyFont="1" applyFill="1" applyBorder="1" applyAlignment="1">
      <alignment horizontal="center" vertical="center"/>
    </xf>
    <xf numFmtId="0" fontId="22" fillId="0" borderId="36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 wrapText="1"/>
    </xf>
    <xf numFmtId="0" fontId="11" fillId="0" borderId="50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4" fontId="0" fillId="0" borderId="0" xfId="0" applyNumberFormat="1" applyFont="1"/>
    <xf numFmtId="0" fontId="0" fillId="0" borderId="0" xfId="0" applyFont="1" applyFill="1" applyBorder="1"/>
    <xf numFmtId="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7" fontId="5" fillId="3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168" fontId="10" fillId="0" borderId="0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7" fontId="5" fillId="4" borderId="1" xfId="0" applyNumberFormat="1" applyFont="1" applyFill="1" applyBorder="1" applyAlignment="1">
      <alignment horizontal="center" vertical="center"/>
    </xf>
    <xf numFmtId="14" fontId="0" fillId="0" borderId="0" xfId="0" applyNumberFormat="1" applyFont="1" applyBorder="1"/>
    <xf numFmtId="0" fontId="0" fillId="4" borderId="0" xfId="0" applyFill="1" applyAlignment="1">
      <alignment horizontal="center" vertical="center"/>
    </xf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ont="1"/>
    <xf numFmtId="14" fontId="5" fillId="0" borderId="13" xfId="0" applyNumberFormat="1" applyFont="1" applyFill="1" applyBorder="1" applyAlignment="1">
      <alignment horizontal="center" vertical="center" wrapText="1"/>
    </xf>
    <xf numFmtId="4" fontId="5" fillId="0" borderId="27" xfId="0" applyNumberFormat="1" applyFont="1" applyFill="1" applyBorder="1" applyAlignment="1">
      <alignment horizontal="center" vertical="center" wrapText="1"/>
    </xf>
    <xf numFmtId="4" fontId="5" fillId="12" borderId="1" xfId="0" applyNumberFormat="1" applyFont="1" applyFill="1" applyBorder="1" applyAlignment="1">
      <alignment horizontal="center" vertical="center" wrapText="1"/>
    </xf>
    <xf numFmtId="167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166" fontId="5" fillId="4" borderId="25" xfId="0" applyNumberFormat="1" applyFont="1" applyFill="1" applyBorder="1" applyAlignment="1">
      <alignment horizontal="center" vertical="center"/>
    </xf>
    <xf numFmtId="0" fontId="0" fillId="4" borderId="25" xfId="0" applyFill="1" applyBorder="1" applyAlignment="1">
      <alignment horizontal="center"/>
    </xf>
    <xf numFmtId="167" fontId="5" fillId="4" borderId="25" xfId="0" applyNumberFormat="1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/>
    </xf>
    <xf numFmtId="1" fontId="5" fillId="4" borderId="25" xfId="0" applyNumberFormat="1" applyFont="1" applyFill="1" applyBorder="1" applyAlignment="1">
      <alignment horizontal="center" vertical="center"/>
    </xf>
    <xf numFmtId="166" fontId="5" fillId="4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5" fillId="4" borderId="0" xfId="0" applyFont="1" applyFill="1"/>
    <xf numFmtId="0" fontId="5" fillId="4" borderId="0" xfId="0" applyFont="1" applyFill="1" applyBorder="1"/>
    <xf numFmtId="167" fontId="0" fillId="4" borderId="1" xfId="0" applyNumberFormat="1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66" fontId="5" fillId="4" borderId="5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1" fontId="5" fillId="4" borderId="5" xfId="0" applyNumberFormat="1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4" fillId="10" borderId="2" xfId="0" applyNumberFormat="1" applyFont="1" applyFill="1" applyBorder="1" applyAlignment="1">
      <alignment vertical="center"/>
    </xf>
    <xf numFmtId="0" fontId="4" fillId="10" borderId="3" xfId="0" applyNumberFormat="1" applyFont="1" applyFill="1" applyBorder="1" applyAlignment="1">
      <alignment vertical="center"/>
    </xf>
    <xf numFmtId="167" fontId="5" fillId="4" borderId="27" xfId="0" applyNumberFormat="1" applyFont="1" applyFill="1" applyBorder="1" applyAlignment="1">
      <alignment horizontal="center" vertical="center"/>
    </xf>
    <xf numFmtId="4" fontId="5" fillId="4" borderId="1" xfId="0" applyNumberFormat="1" applyFont="1" applyFill="1" applyBorder="1" applyAlignment="1">
      <alignment horizontal="center" vertical="center" wrapText="1"/>
    </xf>
    <xf numFmtId="4" fontId="5" fillId="4" borderId="28" xfId="0" applyNumberFormat="1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4" fontId="5" fillId="4" borderId="29" xfId="0" applyNumberFormat="1" applyFont="1" applyFill="1" applyBorder="1" applyAlignment="1">
      <alignment horizontal="center" vertical="center" wrapText="1"/>
    </xf>
    <xf numFmtId="4" fontId="0" fillId="4" borderId="28" xfId="0" applyNumberFormat="1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4" fillId="12" borderId="0" xfId="0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4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right" vertical="center" wrapText="1"/>
    </xf>
    <xf numFmtId="4" fontId="18" fillId="0" borderId="0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6" fontId="0" fillId="4" borderId="13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" fontId="0" fillId="4" borderId="1" xfId="0" applyNumberFormat="1" applyFont="1" applyFill="1" applyBorder="1" applyAlignment="1">
      <alignment horizontal="center" vertical="center"/>
    </xf>
    <xf numFmtId="4" fontId="5" fillId="4" borderId="27" xfId="0" applyNumberFormat="1" applyFont="1" applyFill="1" applyBorder="1" applyAlignment="1">
      <alignment horizontal="center" vertical="center" wrapText="1"/>
    </xf>
    <xf numFmtId="4" fontId="5" fillId="4" borderId="1" xfId="0" applyNumberFormat="1" applyFont="1" applyFill="1" applyBorder="1" applyAlignment="1">
      <alignment horizontal="center" vertical="center" wrapText="1"/>
    </xf>
    <xf numFmtId="4" fontId="0" fillId="0" borderId="7" xfId="0" applyNumberFormat="1" applyFont="1" applyBorder="1"/>
    <xf numFmtId="0" fontId="5" fillId="0" borderId="0" xfId="0" applyFont="1" applyFill="1" applyAlignment="1">
      <alignment horizontal="center"/>
    </xf>
    <xf numFmtId="0" fontId="0" fillId="0" borderId="0" xfId="0" applyNumberFormat="1"/>
    <xf numFmtId="0" fontId="0" fillId="4" borderId="0" xfId="0" applyFill="1" applyAlignment="1">
      <alignment horizontal="center" vertical="center"/>
    </xf>
    <xf numFmtId="167" fontId="0" fillId="0" borderId="0" xfId="0" applyNumberFormat="1" applyFill="1" applyAlignment="1">
      <alignment horizontal="center"/>
    </xf>
    <xf numFmtId="4" fontId="0" fillId="0" borderId="27" xfId="0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11" borderId="0" xfId="0" applyFont="1" applyFill="1" applyAlignment="1">
      <alignment vertical="center"/>
    </xf>
    <xf numFmtId="0" fontId="0" fillId="14" borderId="0" xfId="0" applyFont="1" applyFill="1" applyAlignment="1">
      <alignment vertical="center"/>
    </xf>
    <xf numFmtId="0" fontId="7" fillId="16" borderId="46" xfId="0" applyFont="1" applyFill="1" applyBorder="1" applyAlignment="1">
      <alignment horizontal="center" vertical="center" wrapText="1"/>
    </xf>
    <xf numFmtId="17" fontId="0" fillId="4" borderId="1" xfId="0" applyNumberFormat="1" applyFont="1" applyFill="1" applyBorder="1" applyAlignment="1">
      <alignment horizontal="center" vertical="center"/>
    </xf>
    <xf numFmtId="165" fontId="0" fillId="0" borderId="0" xfId="2" applyFont="1"/>
    <xf numFmtId="164" fontId="0" fillId="0" borderId="0" xfId="0" applyNumberFormat="1"/>
    <xf numFmtId="1" fontId="0" fillId="4" borderId="1" xfId="0" applyNumberFormat="1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0" fontId="7" fillId="16" borderId="22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/>
    </xf>
    <xf numFmtId="167" fontId="14" fillId="6" borderId="52" xfId="0" applyNumberFormat="1" applyFont="1" applyFill="1" applyBorder="1" applyAlignment="1">
      <alignment horizontal="center" vertical="center"/>
    </xf>
    <xf numFmtId="167" fontId="14" fillId="6" borderId="53" xfId="0" applyNumberFormat="1" applyFont="1" applyFill="1" applyBorder="1" applyAlignment="1">
      <alignment horizontal="center" vertical="center"/>
    </xf>
    <xf numFmtId="167" fontId="14" fillId="6" borderId="54" xfId="0" applyNumberFormat="1" applyFont="1" applyFill="1" applyBorder="1" applyAlignment="1">
      <alignment horizontal="center" vertical="center"/>
    </xf>
    <xf numFmtId="167" fontId="5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0" fontId="0" fillId="17" borderId="13" xfId="0" applyFont="1" applyFill="1" applyBorder="1" applyAlignment="1">
      <alignment horizontal="center" vertical="center"/>
    </xf>
    <xf numFmtId="167" fontId="0" fillId="17" borderId="32" xfId="0" applyNumberFormat="1" applyFont="1" applyFill="1" applyBorder="1" applyAlignment="1">
      <alignment horizontal="center" vertical="center"/>
    </xf>
    <xf numFmtId="167" fontId="0" fillId="17" borderId="1" xfId="0" applyNumberFormat="1" applyFill="1" applyBorder="1" applyAlignment="1">
      <alignment horizontal="center" vertical="center"/>
    </xf>
    <xf numFmtId="167" fontId="0" fillId="17" borderId="27" xfId="0" applyNumberFormat="1" applyFill="1" applyBorder="1" applyAlignment="1">
      <alignment horizontal="center" vertical="center"/>
    </xf>
    <xf numFmtId="167" fontId="5" fillId="4" borderId="32" xfId="0" applyNumberFormat="1" applyFont="1" applyFill="1" applyBorder="1" applyAlignment="1">
      <alignment horizontal="center" vertical="center"/>
    </xf>
    <xf numFmtId="0" fontId="0" fillId="0" borderId="1" xfId="0" applyBorder="1"/>
    <xf numFmtId="0" fontId="23" fillId="18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23" fillId="18" borderId="1" xfId="0" applyFont="1" applyFill="1" applyBorder="1"/>
    <xf numFmtId="0" fontId="0" fillId="4" borderId="1" xfId="0" quotePrefix="1" applyFont="1" applyFill="1" applyBorder="1" applyAlignment="1">
      <alignment vertical="center"/>
    </xf>
    <xf numFmtId="0" fontId="23" fillId="18" borderId="32" xfId="0" applyFont="1" applyFill="1" applyBorder="1"/>
    <xf numFmtId="0" fontId="23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4" fillId="10" borderId="3" xfId="0" applyNumberFormat="1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167" fontId="5" fillId="0" borderId="1" xfId="0" applyNumberFormat="1" applyFont="1" applyFill="1" applyBorder="1" applyAlignment="1">
      <alignment horizontal="center" vertical="center"/>
    </xf>
    <xf numFmtId="167" fontId="5" fillId="0" borderId="1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7" fontId="5" fillId="0" borderId="1" xfId="0" applyNumberFormat="1" applyFont="1" applyFill="1" applyBorder="1" applyAlignment="1">
      <alignment horizontal="center" vertical="center"/>
    </xf>
    <xf numFmtId="0" fontId="0" fillId="18" borderId="0" xfId="0" applyFill="1"/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4" fillId="10" borderId="2" xfId="0" applyNumberFormat="1" applyFont="1" applyFill="1" applyBorder="1" applyAlignment="1">
      <alignment horizontal="center" vertical="center"/>
    </xf>
    <xf numFmtId="0" fontId="4" fillId="10" borderId="3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4" xfId="0" applyFont="1" applyFill="1" applyBorder="1" applyAlignment="1">
      <alignment horizontal="center"/>
    </xf>
    <xf numFmtId="0" fontId="14" fillId="13" borderId="8" xfId="0" applyFont="1" applyFill="1" applyBorder="1" applyAlignment="1">
      <alignment horizontal="center" vertical="center" wrapText="1"/>
    </xf>
    <xf numFmtId="0" fontId="14" fillId="13" borderId="9" xfId="0" applyFont="1" applyFill="1" applyBorder="1" applyAlignment="1">
      <alignment horizontal="center" vertical="center" wrapText="1"/>
    </xf>
    <xf numFmtId="0" fontId="14" fillId="13" borderId="10" xfId="0" applyFont="1" applyFill="1" applyBorder="1" applyAlignment="1">
      <alignment horizontal="center" vertical="center" wrapText="1"/>
    </xf>
    <xf numFmtId="0" fontId="14" fillId="13" borderId="14" xfId="0" applyFont="1" applyFill="1" applyBorder="1" applyAlignment="1">
      <alignment horizontal="center" vertical="center" wrapText="1"/>
    </xf>
    <xf numFmtId="0" fontId="14" fillId="13" borderId="6" xfId="0" applyFont="1" applyFill="1" applyBorder="1" applyAlignment="1">
      <alignment horizontal="center" vertical="center" wrapText="1"/>
    </xf>
    <xf numFmtId="0" fontId="14" fillId="13" borderId="15" xfId="0" applyFont="1" applyFill="1" applyBorder="1" applyAlignment="1">
      <alignment horizontal="center" vertical="center" wrapText="1"/>
    </xf>
    <xf numFmtId="4" fontId="7" fillId="13" borderId="2" xfId="0" applyNumberFormat="1" applyFont="1" applyFill="1" applyBorder="1" applyAlignment="1">
      <alignment horizontal="center" vertical="center"/>
    </xf>
    <xf numFmtId="4" fontId="7" fillId="13" borderId="3" xfId="0" applyNumberFormat="1" applyFont="1" applyFill="1" applyBorder="1" applyAlignment="1">
      <alignment horizontal="center" vertical="center"/>
    </xf>
    <xf numFmtId="4" fontId="7" fillId="13" borderId="4" xfId="0" applyNumberFormat="1" applyFont="1" applyFill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3" borderId="3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4" fontId="7" fillId="15" borderId="2" xfId="0" applyNumberFormat="1" applyFont="1" applyFill="1" applyBorder="1" applyAlignment="1">
      <alignment horizontal="left" vertical="center"/>
    </xf>
    <xf numFmtId="4" fontId="7" fillId="15" borderId="3" xfId="0" applyNumberFormat="1" applyFont="1" applyFill="1" applyBorder="1" applyAlignment="1">
      <alignment horizontal="left" vertical="center"/>
    </xf>
    <xf numFmtId="4" fontId="7" fillId="15" borderId="4" xfId="0" applyNumberFormat="1" applyFont="1" applyFill="1" applyBorder="1" applyAlignment="1">
      <alignment horizontal="left" vertical="center"/>
    </xf>
    <xf numFmtId="0" fontId="7" fillId="15" borderId="2" xfId="0" applyFont="1" applyFill="1" applyBorder="1" applyAlignment="1">
      <alignment horizontal="left" vertical="center"/>
    </xf>
    <xf numFmtId="0" fontId="7" fillId="15" borderId="3" xfId="0" applyFont="1" applyFill="1" applyBorder="1" applyAlignment="1">
      <alignment horizontal="left" vertical="center"/>
    </xf>
    <xf numFmtId="0" fontId="7" fillId="15" borderId="4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67" fontId="8" fillId="5" borderId="0" xfId="0" applyNumberFormat="1" applyFont="1" applyFill="1" applyBorder="1" applyAlignment="1">
      <alignment horizontal="center"/>
    </xf>
    <xf numFmtId="167" fontId="8" fillId="5" borderId="7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67" fontId="5" fillId="3" borderId="0" xfId="0" applyNumberFormat="1" applyFont="1" applyFill="1" applyBorder="1" applyAlignment="1">
      <alignment horizontal="center" vertical="center"/>
    </xf>
    <xf numFmtId="167" fontId="5" fillId="3" borderId="7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4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7" fontId="0" fillId="0" borderId="0" xfId="0" applyNumberFormat="1" applyBorder="1" applyAlignment="1">
      <alignment horizontal="center" vertical="center"/>
    </xf>
    <xf numFmtId="2" fontId="5" fillId="4" borderId="7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5" borderId="8" xfId="0" applyFont="1" applyFill="1" applyBorder="1" applyAlignment="1">
      <alignment horizontal="justify" vertical="center"/>
    </xf>
    <xf numFmtId="0" fontId="2" fillId="5" borderId="12" xfId="0" applyFont="1" applyFill="1" applyBorder="1" applyAlignment="1">
      <alignment horizontal="justify" vertical="center"/>
    </xf>
    <xf numFmtId="0" fontId="2" fillId="5" borderId="14" xfId="0" applyFont="1" applyFill="1" applyBorder="1" applyAlignment="1">
      <alignment horizontal="justify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8" fontId="13" fillId="3" borderId="0" xfId="0" applyNumberFormat="1" applyFont="1" applyFill="1" applyAlignment="1">
      <alignment horizontal="center"/>
    </xf>
    <xf numFmtId="4" fontId="13" fillId="3" borderId="0" xfId="0" applyNumberFormat="1" applyFont="1" applyFill="1" applyAlignment="1">
      <alignment horizontal="center"/>
    </xf>
    <xf numFmtId="4" fontId="7" fillId="5" borderId="9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68" fontId="13" fillId="0" borderId="0" xfId="0" applyNumberFormat="1" applyFont="1" applyAlignment="1">
      <alignment horizontal="center"/>
    </xf>
    <xf numFmtId="4" fontId="13" fillId="0" borderId="0" xfId="0" applyNumberFormat="1" applyFont="1" applyAlignment="1">
      <alignment horizontal="center"/>
    </xf>
    <xf numFmtId="168" fontId="7" fillId="5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4" borderId="8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" xfId="0" applyFill="1" applyBorder="1" applyAlignment="1">
      <alignment horizontal="center" wrapText="1"/>
    </xf>
    <xf numFmtId="0" fontId="0" fillId="8" borderId="3" xfId="0" applyFill="1" applyBorder="1" applyAlignment="1">
      <alignment horizontal="center" wrapText="1"/>
    </xf>
    <xf numFmtId="0" fontId="0" fillId="8" borderId="4" xfId="0" applyFill="1" applyBorder="1" applyAlignment="1">
      <alignment horizontal="center" wrapText="1"/>
    </xf>
  </cellXfs>
  <cellStyles count="5">
    <cellStyle name="Moneda" xfId="2" builtinId="4"/>
    <cellStyle name="Normal" xfId="0" builtinId="0"/>
    <cellStyle name="Normal 2" xfId="1"/>
    <cellStyle name="Normal 2 2" xfId="4"/>
    <cellStyle name="Porcentaje" xfId="3" builtinId="5"/>
  </cellStyles>
  <dxfs count="10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GASTOS</a:t>
            </a:r>
            <a:r>
              <a:rPr lang="es-AR" baseline="0"/>
              <a:t> SEGUN RUBROS</a:t>
            </a:r>
            <a:endParaRPr lang="es-AR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'Estadisticas y graficos'!$C$6:$C$15</c:f>
              <c:strCache>
                <c:ptCount val="10"/>
                <c:pt idx="0">
                  <c:v>Bs. Consumo</c:v>
                </c:pt>
                <c:pt idx="1">
                  <c:v>Gs. Institucionales</c:v>
                </c:pt>
                <c:pt idx="2">
                  <c:v>Gs. Mant. Ed.</c:v>
                </c:pt>
                <c:pt idx="3">
                  <c:v>Gs. Mant. Eq.</c:v>
                </c:pt>
                <c:pt idx="4">
                  <c:v>Otros Gastos</c:v>
                </c:pt>
                <c:pt idx="5">
                  <c:v>Pasajes y Viáticos</c:v>
                </c:pt>
                <c:pt idx="6">
                  <c:v>Seguros</c:v>
                </c:pt>
                <c:pt idx="7">
                  <c:v>Serv. 3 No Pe.</c:v>
                </c:pt>
                <c:pt idx="8">
                  <c:v>Serv. Básicos</c:v>
                </c:pt>
                <c:pt idx="9">
                  <c:v>Equipamiento</c:v>
                </c:pt>
              </c:strCache>
            </c:strRef>
          </c:cat>
          <c:val>
            <c:numRef>
              <c:f>'Estadisticas y graficos'!$D$6:$D$15</c:f>
              <c:numCache>
                <c:formatCode>_ "$"\ * #,##0.00_ ;_ "$"\ * \-#,##0.00_ ;_ "$"\ * "-"??_ ;_ @_ 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98-42CC-8465-B3B254CFD7F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2956802283530953"/>
          <c:y val="0.16618943544604481"/>
          <c:w val="0.25369557181510272"/>
          <c:h val="0.77902817280919989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GASTOS</a:t>
            </a:r>
            <a:r>
              <a:rPr lang="es-AR" baseline="0"/>
              <a:t> SEGUN ARTICULOS</a:t>
            </a:r>
            <a:endParaRPr lang="es-AR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'Estadisticas y graficos'!$C$21:$C$31</c:f>
              <c:strCache>
                <c:ptCount val="11"/>
                <c:pt idx="0">
                  <c:v>Art. 66 Inc. 1 - TRES PRESUP.</c:v>
                </c:pt>
                <c:pt idx="1">
                  <c:v>Art. 66 Inc. 2 - CONC. SOBRE CERRADO</c:v>
                </c:pt>
                <c:pt idx="2">
                  <c:v>Art. 66 Inc. 3 - LICITACIÓN</c:v>
                </c:pt>
                <c:pt idx="3">
                  <c:v>Art. 66 Inc. 4 - L ICITACIÓN</c:v>
                </c:pt>
                <c:pt idx="4">
                  <c:v>Art. 67 Inc. 1 - COMPRA DIRECTA</c:v>
                </c:pt>
                <c:pt idx="5">
                  <c:v>Art. 67 Inc. 2 - EXCLUSIVIDAD</c:v>
                </c:pt>
                <c:pt idx="6">
                  <c:v>Art. 67 Inc. 3 - 2 LIC. FRACASADAS</c:v>
                </c:pt>
                <c:pt idx="7">
                  <c:v>Art. 67 Inc. 4 - URG/EMERGENCIA</c:v>
                </c:pt>
                <c:pt idx="8">
                  <c:v>Art. 67 Inc. 5 - EXAMEN PREVIO</c:v>
                </c:pt>
                <c:pt idx="9">
                  <c:v>Art. 67 Inc. 6 - CONT. CON UNIV. NAC</c:v>
                </c:pt>
                <c:pt idx="10">
                  <c:v>Art. 67 Inc. 7 - CONTR. ORG MUN/PROV/NAC</c:v>
                </c:pt>
              </c:strCache>
            </c:strRef>
          </c:cat>
          <c:val>
            <c:numRef>
              <c:f>'Estadisticas y graficos'!$D$21:$D$31</c:f>
              <c:numCache>
                <c:formatCode>_ "$"\ * #,##0.00_ ;_ "$"\ * \-#,##0.00_ ;_ "$"\ * "-"??_ ;_ @_ </c:formatCode>
                <c:ptCount val="1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CD-4E1D-BC2C-FF4B9467FB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4360851120025164"/>
          <c:y val="0.11883872810642078"/>
          <c:w val="0.3396200003301485"/>
          <c:h val="0.85646040449961969"/>
        </c:manualLayout>
      </c:layout>
      <c:overlay val="0"/>
      <c:txPr>
        <a:bodyPr/>
        <a:lstStyle/>
        <a:p>
          <a:pPr>
            <a:defRPr sz="800"/>
          </a:pPr>
          <a:endParaRPr lang="es-AR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GASTOS</a:t>
            </a:r>
            <a:r>
              <a:rPr lang="es-AR" baseline="0"/>
              <a:t> SEGUN RUBROS</a:t>
            </a:r>
            <a:endParaRPr lang="es-AR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'Estadisticas y graficos'!$C$41:$C$50</c:f>
              <c:strCache>
                <c:ptCount val="10"/>
                <c:pt idx="0">
                  <c:v>Bs. Consumo</c:v>
                </c:pt>
                <c:pt idx="1">
                  <c:v>Gs. Institucionales</c:v>
                </c:pt>
                <c:pt idx="2">
                  <c:v>Gs. Mant. Ed.</c:v>
                </c:pt>
                <c:pt idx="3">
                  <c:v>Gs. Mant. Eq.</c:v>
                </c:pt>
                <c:pt idx="4">
                  <c:v>Otros Gastos</c:v>
                </c:pt>
                <c:pt idx="5">
                  <c:v>Pasajes y Viáticos</c:v>
                </c:pt>
                <c:pt idx="6">
                  <c:v>Seguros</c:v>
                </c:pt>
                <c:pt idx="7">
                  <c:v>Serv. 3 No Pe.</c:v>
                </c:pt>
                <c:pt idx="8">
                  <c:v>Serv. Básicos</c:v>
                </c:pt>
                <c:pt idx="9">
                  <c:v>Equipamiento</c:v>
                </c:pt>
              </c:strCache>
            </c:strRef>
          </c:cat>
          <c:val>
            <c:numRef>
              <c:f>'Estadisticas y graficos'!$D$41:$D$50</c:f>
              <c:numCache>
                <c:formatCode>_ "$"\ * #,##0.00_ ;_ "$"\ * \-#,##0.00_ ;_ "$"\ * "-"??_ ;_ @_ 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98-41DF-9716-D6D789474CF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2956802283530953"/>
          <c:y val="0.16111972695428267"/>
          <c:w val="0.25369557181510272"/>
          <c:h val="0.78409788130095859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GASTOS</a:t>
            </a:r>
            <a:r>
              <a:rPr lang="es-AR" baseline="0"/>
              <a:t> SEGUN ARTICULOS</a:t>
            </a:r>
            <a:endParaRPr lang="es-AR"/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'Estadisticas y graficos'!$C$56:$C$66</c:f>
              <c:strCache>
                <c:ptCount val="11"/>
                <c:pt idx="0">
                  <c:v>Art. 66 Inc. 1 - TRES PRESUP.</c:v>
                </c:pt>
                <c:pt idx="1">
                  <c:v>Art. 66 Inc. 2 - CONC. SOBRE CERRADO</c:v>
                </c:pt>
                <c:pt idx="2">
                  <c:v>Art. 66 Inc. 3 - LICITACIÓN</c:v>
                </c:pt>
                <c:pt idx="3">
                  <c:v>Art. 66 Inc. 4 - L ICITACIÓN</c:v>
                </c:pt>
                <c:pt idx="4">
                  <c:v>Art. 67 Inc. 1 - COMPRA DIRECTA</c:v>
                </c:pt>
                <c:pt idx="5">
                  <c:v>Art. 67 Inc. 2 - EXCLUSIVIDAD</c:v>
                </c:pt>
                <c:pt idx="6">
                  <c:v>Art. 67 Inc. 3 - 2 LIC. FRACASADAS</c:v>
                </c:pt>
                <c:pt idx="7">
                  <c:v>Art. 67 Inc. 4 - URG/EMERGENCIA</c:v>
                </c:pt>
                <c:pt idx="8">
                  <c:v>Art. 67 Inc. 5 - EXAMEN PREVIO</c:v>
                </c:pt>
                <c:pt idx="9">
                  <c:v>Art. 67 Inc. 6 - CONT. CON UNIV. NAC</c:v>
                </c:pt>
                <c:pt idx="10">
                  <c:v>Art. 67 Inc. 7 - CONTR. ORG MUN/PROV/NAC</c:v>
                </c:pt>
              </c:strCache>
            </c:strRef>
          </c:cat>
          <c:val>
            <c:numRef>
              <c:f>'Estadisticas y graficos'!$D$56:$D$66</c:f>
              <c:numCache>
                <c:formatCode>_ "$"\ * #,##0.00_ ;_ "$"\ * \-#,##0.00_ ;_ "$"\ * "-"??_ ;_ @_ </c:formatCode>
                <c:ptCount val="1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06-4D80-A51E-49771C0FFA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4360851120025164"/>
          <c:y val="0.11883872810642078"/>
          <c:w val="0.3396200003301485"/>
          <c:h val="0.85646040449961969"/>
        </c:manualLayout>
      </c:layout>
      <c:overlay val="0"/>
      <c:txPr>
        <a:bodyPr/>
        <a:lstStyle/>
        <a:p>
          <a:pPr>
            <a:defRPr sz="800"/>
          </a:pPr>
          <a:endParaRPr lang="es-AR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GASTOS</a:t>
            </a:r>
            <a:r>
              <a:rPr lang="es-AR" baseline="0"/>
              <a:t> SEGUN RUBROS</a:t>
            </a:r>
            <a:endParaRPr lang="es-AR"/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'Estadisticas y graficos'!$C$76:$C$85</c:f>
              <c:strCache>
                <c:ptCount val="10"/>
                <c:pt idx="0">
                  <c:v>Bs. Consumo</c:v>
                </c:pt>
                <c:pt idx="1">
                  <c:v>Gs. Institucionales</c:v>
                </c:pt>
                <c:pt idx="2">
                  <c:v>Gs. Mant. Ed.</c:v>
                </c:pt>
                <c:pt idx="3">
                  <c:v>Gs. Mant. Eq.</c:v>
                </c:pt>
                <c:pt idx="4">
                  <c:v>Otros Gastos</c:v>
                </c:pt>
                <c:pt idx="5">
                  <c:v>Pasajes y Viáticos</c:v>
                </c:pt>
                <c:pt idx="6">
                  <c:v>Seguros</c:v>
                </c:pt>
                <c:pt idx="7">
                  <c:v>Serv. 3 No Pe.</c:v>
                </c:pt>
                <c:pt idx="8">
                  <c:v>Serv. Básicos</c:v>
                </c:pt>
                <c:pt idx="9">
                  <c:v>Equipamiento</c:v>
                </c:pt>
              </c:strCache>
            </c:strRef>
          </c:cat>
          <c:val>
            <c:numRef>
              <c:f>'Estadisticas y graficos'!$D$76:$D$85</c:f>
              <c:numCache>
                <c:formatCode>_ "$"\ * #,##0.00_ ;_ "$"\ * \-#,##0.00_ ;_ "$"\ * "-"??_ ;_ @_ 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75-4597-BC39-84C5CE22548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2956802283530953"/>
          <c:y val="0.11549235052842732"/>
          <c:w val="0.25369557181510272"/>
          <c:h val="0.82972525772681593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GASTOS</a:t>
            </a:r>
            <a:r>
              <a:rPr lang="es-AR" baseline="0"/>
              <a:t> SEGUN ARTICULOS</a:t>
            </a:r>
            <a:endParaRPr lang="es-AR"/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'Estadisticas y graficos'!$C$91:$C$101</c:f>
              <c:strCache>
                <c:ptCount val="11"/>
                <c:pt idx="0">
                  <c:v>Art. 66 Inc. 1 - TRES PRESUP.</c:v>
                </c:pt>
                <c:pt idx="1">
                  <c:v>Art. 66 Inc. 2 - CONC. SOBRE CERRADO</c:v>
                </c:pt>
                <c:pt idx="2">
                  <c:v>Art. 66 Inc. 3 - LICITACIÓN</c:v>
                </c:pt>
                <c:pt idx="3">
                  <c:v>Art. 66 Inc. 4 - L ICITACIÓN</c:v>
                </c:pt>
                <c:pt idx="4">
                  <c:v>Art. 67 Inc. 1 - COMPRA DIRECTA</c:v>
                </c:pt>
                <c:pt idx="5">
                  <c:v>Art. 67 Inc. 2 - EXCLUSIVIDAD</c:v>
                </c:pt>
                <c:pt idx="6">
                  <c:v>Art. 67 Inc. 3 - 2 LIC. FRACASADAS</c:v>
                </c:pt>
                <c:pt idx="7">
                  <c:v>Art. 67 Inc. 4 - URG/EMERGENCIA</c:v>
                </c:pt>
                <c:pt idx="8">
                  <c:v>Art. 67 Inc. 5 - EXAMEN PREVIO</c:v>
                </c:pt>
                <c:pt idx="9">
                  <c:v>Art. 67 Inc. 6 - CONT. CON UNIV. NAC</c:v>
                </c:pt>
                <c:pt idx="10">
                  <c:v>Art. 67 Inc. 7 - CONTR. ORG MUN/PROV/NAC</c:v>
                </c:pt>
              </c:strCache>
            </c:strRef>
          </c:cat>
          <c:val>
            <c:numRef>
              <c:f>'Estadisticas y graficos'!$D$91:$D$101</c:f>
              <c:numCache>
                <c:formatCode>_ "$"\ * #,##0.00_ ;_ "$"\ * \-#,##0.00_ ;_ "$"\ * "-"??_ ;_ @_ </c:formatCode>
                <c:ptCount val="1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4E-4A90-A2CA-07EB5F1153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4360851120025164"/>
          <c:y val="0.11883872810642078"/>
          <c:w val="0.3396200003301485"/>
          <c:h val="0.85646040449961969"/>
        </c:manualLayout>
      </c:layout>
      <c:overlay val="0"/>
      <c:txPr>
        <a:bodyPr/>
        <a:lstStyle/>
        <a:p>
          <a:pPr>
            <a:defRPr sz="800"/>
          </a:pPr>
          <a:endParaRPr lang="es-AR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Puerto Deseado</c:v>
          </c:tx>
          <c:invertIfNegative val="0"/>
          <c:cat>
            <c:strRef>
              <c:f>'Estadisticas y graficos'!$C$111:$C$120</c:f>
              <c:strCache>
                <c:ptCount val="10"/>
                <c:pt idx="0">
                  <c:v>Bs. Consumo</c:v>
                </c:pt>
                <c:pt idx="1">
                  <c:v>Gs. Institucionales</c:v>
                </c:pt>
                <c:pt idx="2">
                  <c:v>Gs. Mant. Ed.</c:v>
                </c:pt>
                <c:pt idx="3">
                  <c:v>Gs. Mant. Eq.</c:v>
                </c:pt>
                <c:pt idx="4">
                  <c:v>Otros Gastos</c:v>
                </c:pt>
                <c:pt idx="5">
                  <c:v>Pasajes y Viáticos</c:v>
                </c:pt>
                <c:pt idx="6">
                  <c:v>Seguros</c:v>
                </c:pt>
                <c:pt idx="7">
                  <c:v>Serv. 3 No Pe.</c:v>
                </c:pt>
                <c:pt idx="8">
                  <c:v>Serv. Básicos</c:v>
                </c:pt>
                <c:pt idx="9">
                  <c:v>Equipamiento</c:v>
                </c:pt>
              </c:strCache>
            </c:strRef>
          </c:cat>
          <c:val>
            <c:numRef>
              <c:f>'Estadisticas y graficos'!$D$111:$D$120</c:f>
              <c:numCache>
                <c:formatCode>_ "$"\ * #,##0.00_ ;_ "$"\ * \-#,##0.00_ ;_ "$"\ * "-"??_ ;_ 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ED-4714-8392-33D377CF7862}"/>
            </c:ext>
          </c:extLst>
        </c:ser>
        <c:ser>
          <c:idx val="1"/>
          <c:order val="1"/>
          <c:tx>
            <c:v>Austral</c:v>
          </c:tx>
          <c:invertIfNegative val="0"/>
          <c:cat>
            <c:strRef>
              <c:f>'Estadisticas y graficos'!$C$111:$C$120</c:f>
              <c:strCache>
                <c:ptCount val="10"/>
                <c:pt idx="0">
                  <c:v>Bs. Consumo</c:v>
                </c:pt>
                <c:pt idx="1">
                  <c:v>Gs. Institucionales</c:v>
                </c:pt>
                <c:pt idx="2">
                  <c:v>Gs. Mant. Ed.</c:v>
                </c:pt>
                <c:pt idx="3">
                  <c:v>Gs. Mant. Eq.</c:v>
                </c:pt>
                <c:pt idx="4">
                  <c:v>Otros Gastos</c:v>
                </c:pt>
                <c:pt idx="5">
                  <c:v>Pasajes y Viáticos</c:v>
                </c:pt>
                <c:pt idx="6">
                  <c:v>Seguros</c:v>
                </c:pt>
                <c:pt idx="7">
                  <c:v>Serv. 3 No Pe.</c:v>
                </c:pt>
                <c:pt idx="8">
                  <c:v>Serv. Básicos</c:v>
                </c:pt>
                <c:pt idx="9">
                  <c:v>Equipamiento</c:v>
                </c:pt>
              </c:strCache>
            </c:strRef>
          </c:cat>
          <c:val>
            <c:numRef>
              <c:f>'Estadisticas y graficos'!$E$111:$E$120</c:f>
              <c:numCache>
                <c:formatCode>_ "$"\ * #,##0.00_ ;_ "$"\ * \-#,##0.00_ ;_ "$"\ * "-"??_ ;_ 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4ED-4714-8392-33D377CF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331040640"/>
        <c:axId val="331042176"/>
        <c:axId val="0"/>
      </c:bar3DChart>
      <c:catAx>
        <c:axId val="331040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31042176"/>
        <c:crosses val="autoZero"/>
        <c:auto val="1"/>
        <c:lblAlgn val="ctr"/>
        <c:lblOffset val="100"/>
        <c:noMultiLvlLbl val="0"/>
      </c:catAx>
      <c:valAx>
        <c:axId val="331042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PORCENTAJE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3310406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Rubro-Partida'!A1"/><Relationship Id="rId7" Type="http://schemas.openxmlformats.org/officeDocument/2006/relationships/image" Target="../media/image1.jpeg"/><Relationship Id="rId2" Type="http://schemas.openxmlformats.org/officeDocument/2006/relationships/hyperlink" Target="#'Caja Chica APBH'!A1"/><Relationship Id="rId1" Type="http://schemas.openxmlformats.org/officeDocument/2006/relationships/hyperlink" Target="#Financiamiento!A1"/><Relationship Id="rId6" Type="http://schemas.openxmlformats.org/officeDocument/2006/relationships/hyperlink" Target="#DASHBOARD!A1"/><Relationship Id="rId5" Type="http://schemas.openxmlformats.org/officeDocument/2006/relationships/hyperlink" Target="#R&#243;tulos!A1"/><Relationship Id="rId4" Type="http://schemas.openxmlformats.org/officeDocument/2006/relationships/hyperlink" Target="#'Procedimientos de contrataci&#243;n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Rubro-Partida'!A1"/><Relationship Id="rId2" Type="http://schemas.openxmlformats.org/officeDocument/2006/relationships/hyperlink" Target="#'Caja Chica APBH'!A1"/><Relationship Id="rId1" Type="http://schemas.openxmlformats.org/officeDocument/2006/relationships/hyperlink" Target="#Financiamiento!A1"/><Relationship Id="rId6" Type="http://schemas.openxmlformats.org/officeDocument/2006/relationships/hyperlink" Target="#Resumen!A1"/><Relationship Id="rId5" Type="http://schemas.openxmlformats.org/officeDocument/2006/relationships/hyperlink" Target="#R&#243;tulos!A1"/><Relationship Id="rId4" Type="http://schemas.openxmlformats.org/officeDocument/2006/relationships/hyperlink" Target="#'Procedimientos de contrataci&#243;n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Rubro-Partida'!A1"/><Relationship Id="rId2" Type="http://schemas.openxmlformats.org/officeDocument/2006/relationships/hyperlink" Target="#'Caja Chica APBH'!A1"/><Relationship Id="rId1" Type="http://schemas.openxmlformats.org/officeDocument/2006/relationships/hyperlink" Target="#Resumen!A1"/><Relationship Id="rId6" Type="http://schemas.openxmlformats.org/officeDocument/2006/relationships/hyperlink" Target="#DASHBOARD!A1"/><Relationship Id="rId5" Type="http://schemas.openxmlformats.org/officeDocument/2006/relationships/hyperlink" Target="#R&#243;tulos!A1"/><Relationship Id="rId4" Type="http://schemas.openxmlformats.org/officeDocument/2006/relationships/hyperlink" Target="#'Procedimientos de contrataci&#243;n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Caja Chica APBH'!A1"/><Relationship Id="rId7" Type="http://schemas.openxmlformats.org/officeDocument/2006/relationships/hyperlink" Target="#DASHBOARD!A1"/><Relationship Id="rId2" Type="http://schemas.openxmlformats.org/officeDocument/2006/relationships/hyperlink" Target="#Financiamiento!A1"/><Relationship Id="rId1" Type="http://schemas.openxmlformats.org/officeDocument/2006/relationships/image" Target="../media/image2.png"/><Relationship Id="rId6" Type="http://schemas.openxmlformats.org/officeDocument/2006/relationships/hyperlink" Target="#R&#243;tulos!A1"/><Relationship Id="rId5" Type="http://schemas.openxmlformats.org/officeDocument/2006/relationships/hyperlink" Target="#'Procedimientos de contrataci&#243;n'!A1"/><Relationship Id="rId4" Type="http://schemas.openxmlformats.org/officeDocument/2006/relationships/hyperlink" Target="#'Rubro-Partida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Caja Chica APBH'!A1"/><Relationship Id="rId7" Type="http://schemas.openxmlformats.org/officeDocument/2006/relationships/hyperlink" Target="#DASHBOARD!A1"/><Relationship Id="rId2" Type="http://schemas.openxmlformats.org/officeDocument/2006/relationships/hyperlink" Target="#Financiamiento!A1"/><Relationship Id="rId1" Type="http://schemas.openxmlformats.org/officeDocument/2006/relationships/image" Target="../media/image2.png"/><Relationship Id="rId6" Type="http://schemas.openxmlformats.org/officeDocument/2006/relationships/hyperlink" Target="#R&#243;tulos!A1"/><Relationship Id="rId5" Type="http://schemas.openxmlformats.org/officeDocument/2006/relationships/hyperlink" Target="#'Procedimientos de contrataci&#243;n'!A1"/><Relationship Id="rId4" Type="http://schemas.openxmlformats.org/officeDocument/2006/relationships/hyperlink" Target="#'Rubro-Partida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Financiamiento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6</xdr:row>
      <xdr:rowOff>104775</xdr:rowOff>
    </xdr:from>
    <xdr:to>
      <xdr:col>9</xdr:col>
      <xdr:colOff>438150</xdr:colOff>
      <xdr:row>14</xdr:row>
      <xdr:rowOff>28575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B1B2B702-FF22-7764-2A33-15BAC89F9CCF}"/>
            </a:ext>
          </a:extLst>
        </xdr:cNvPr>
        <xdr:cNvSpPr/>
      </xdr:nvSpPr>
      <xdr:spPr>
        <a:xfrm>
          <a:off x="7905750" y="1247775"/>
          <a:ext cx="2438400" cy="1800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295275</xdr:colOff>
      <xdr:row>0</xdr:row>
      <xdr:rowOff>161925</xdr:rowOff>
    </xdr:from>
    <xdr:to>
      <xdr:col>4</xdr:col>
      <xdr:colOff>1000124</xdr:colOff>
      <xdr:row>5</xdr:row>
      <xdr:rowOff>1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/>
      </xdr:nvSpPr>
      <xdr:spPr>
        <a:xfrm>
          <a:off x="295275" y="161925"/>
          <a:ext cx="5524499" cy="79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44000" algn="r">
            <a:spcBef>
              <a:spcPts val="600"/>
            </a:spcBef>
          </a:pPr>
          <a:r>
            <a:rPr lang="es-AR" sz="1100" b="1"/>
            <a:t>UNIHDO</a:t>
          </a:r>
          <a:r>
            <a:rPr lang="es-AR" sz="1100" b="1" baseline="0"/>
            <a:t>UNIHDO</a:t>
          </a:r>
        </a:p>
        <a:p>
          <a:pPr marL="144000" algn="r">
            <a:spcBef>
              <a:spcPts val="600"/>
            </a:spcBef>
          </a:pPr>
          <a:r>
            <a:rPr lang="es-AR" sz="1100" b="1" baseline="0"/>
            <a:t>Planilla: RESUMEN</a:t>
          </a:r>
        </a:p>
        <a:p>
          <a:pPr marL="144000" algn="r">
            <a:spcBef>
              <a:spcPts val="600"/>
            </a:spcBef>
          </a:pPr>
          <a:endParaRPr lang="es-AR" sz="1100" b="1" baseline="0"/>
        </a:p>
        <a:p>
          <a:pPr marL="144000" algn="r">
            <a:spcBef>
              <a:spcPts val="600"/>
            </a:spcBef>
          </a:pPr>
          <a:endParaRPr lang="es-AR" sz="1100" b="1"/>
        </a:p>
      </xdr:txBody>
    </xdr:sp>
    <xdr:clientData/>
  </xdr:twoCellAnchor>
  <xdr:twoCellAnchor>
    <xdr:from>
      <xdr:col>6</xdr:col>
      <xdr:colOff>857250</xdr:colOff>
      <xdr:row>7</xdr:row>
      <xdr:rowOff>9525</xdr:rowOff>
    </xdr:from>
    <xdr:to>
      <xdr:col>8</xdr:col>
      <xdr:colOff>25400</xdr:colOff>
      <xdr:row>9</xdr:row>
      <xdr:rowOff>47625</xdr:rowOff>
    </xdr:to>
    <xdr:sp macro="" textlink="">
      <xdr:nvSpPr>
        <xdr:cNvPr id="7" name="Rectángul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1662923-D38A-4244-9D4C-00AC56C7C01F}"/>
            </a:ext>
          </a:extLst>
        </xdr:cNvPr>
        <xdr:cNvSpPr/>
      </xdr:nvSpPr>
      <xdr:spPr>
        <a:xfrm>
          <a:off x="8039100" y="1343025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FINANCIA</a:t>
          </a:r>
        </a:p>
      </xdr:txBody>
    </xdr:sp>
    <xdr:clientData/>
  </xdr:twoCellAnchor>
  <xdr:twoCellAnchor>
    <xdr:from>
      <xdr:col>8</xdr:col>
      <xdr:colOff>209550</xdr:colOff>
      <xdr:row>7</xdr:row>
      <xdr:rowOff>0</xdr:rowOff>
    </xdr:from>
    <xdr:to>
      <xdr:col>9</xdr:col>
      <xdr:colOff>254000</xdr:colOff>
      <xdr:row>9</xdr:row>
      <xdr:rowOff>38100</xdr:rowOff>
    </xdr:to>
    <xdr:sp macro="" textlink="">
      <xdr:nvSpPr>
        <xdr:cNvPr id="9" name="Rectá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71972325-AACD-4941-8E73-BC651182F1B2}"/>
            </a:ext>
          </a:extLst>
        </xdr:cNvPr>
        <xdr:cNvSpPr/>
      </xdr:nvSpPr>
      <xdr:spPr>
        <a:xfrm>
          <a:off x="9191625" y="1333500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CAJA</a:t>
          </a:r>
          <a:r>
            <a:rPr lang="es-AR" sz="1100" baseline="0"/>
            <a:t> CHICA</a:t>
          </a:r>
          <a:endParaRPr lang="es-AR" sz="1100"/>
        </a:p>
      </xdr:txBody>
    </xdr:sp>
    <xdr:clientData/>
  </xdr:twoCellAnchor>
  <xdr:twoCellAnchor>
    <xdr:from>
      <xdr:col>6</xdr:col>
      <xdr:colOff>866775</xdr:colOff>
      <xdr:row>9</xdr:row>
      <xdr:rowOff>190500</xdr:rowOff>
    </xdr:from>
    <xdr:to>
      <xdr:col>8</xdr:col>
      <xdr:colOff>34925</xdr:colOff>
      <xdr:row>11</xdr:row>
      <xdr:rowOff>66675</xdr:rowOff>
    </xdr:to>
    <xdr:sp macro="" textlink="">
      <xdr:nvSpPr>
        <xdr:cNvPr id="10" name="Rectá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7E0D7279-B24D-470F-A30B-BB6B384B691C}"/>
            </a:ext>
          </a:extLst>
        </xdr:cNvPr>
        <xdr:cNvSpPr/>
      </xdr:nvSpPr>
      <xdr:spPr>
        <a:xfrm>
          <a:off x="8048625" y="1914525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RUBRO-PART</a:t>
          </a:r>
        </a:p>
      </xdr:txBody>
    </xdr:sp>
    <xdr:clientData/>
  </xdr:twoCellAnchor>
  <xdr:twoCellAnchor>
    <xdr:from>
      <xdr:col>8</xdr:col>
      <xdr:colOff>180975</xdr:colOff>
      <xdr:row>9</xdr:row>
      <xdr:rowOff>180975</xdr:rowOff>
    </xdr:from>
    <xdr:to>
      <xdr:col>9</xdr:col>
      <xdr:colOff>225425</xdr:colOff>
      <xdr:row>11</xdr:row>
      <xdr:rowOff>57150</xdr:rowOff>
    </xdr:to>
    <xdr:sp macro="" textlink="">
      <xdr:nvSpPr>
        <xdr:cNvPr id="11" name="Rectá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635C8D96-4923-4608-BF5E-F736C1279601}"/>
            </a:ext>
          </a:extLst>
        </xdr:cNvPr>
        <xdr:cNvSpPr/>
      </xdr:nvSpPr>
      <xdr:spPr>
        <a:xfrm>
          <a:off x="9163050" y="1905000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PROCEDI.</a:t>
          </a:r>
        </a:p>
      </xdr:txBody>
    </xdr:sp>
    <xdr:clientData/>
  </xdr:twoCellAnchor>
  <xdr:twoCellAnchor>
    <xdr:from>
      <xdr:col>6</xdr:col>
      <xdr:colOff>885825</xdr:colOff>
      <xdr:row>11</xdr:row>
      <xdr:rowOff>219075</xdr:rowOff>
    </xdr:from>
    <xdr:to>
      <xdr:col>8</xdr:col>
      <xdr:colOff>53975</xdr:colOff>
      <xdr:row>13</xdr:row>
      <xdr:rowOff>152400</xdr:rowOff>
    </xdr:to>
    <xdr:sp macro="" textlink="">
      <xdr:nvSpPr>
        <xdr:cNvPr id="12" name="Rectángul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54FB5120-8004-4A9E-9AF9-3C444D1D7039}"/>
            </a:ext>
          </a:extLst>
        </xdr:cNvPr>
        <xdr:cNvSpPr/>
      </xdr:nvSpPr>
      <xdr:spPr>
        <a:xfrm>
          <a:off x="8067675" y="2495550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ROTULOS</a:t>
          </a:r>
        </a:p>
      </xdr:txBody>
    </xdr:sp>
    <xdr:clientData/>
  </xdr:twoCellAnchor>
  <xdr:twoCellAnchor>
    <xdr:from>
      <xdr:col>8</xdr:col>
      <xdr:colOff>190500</xdr:colOff>
      <xdr:row>11</xdr:row>
      <xdr:rowOff>228600</xdr:rowOff>
    </xdr:from>
    <xdr:to>
      <xdr:col>9</xdr:col>
      <xdr:colOff>234950</xdr:colOff>
      <xdr:row>13</xdr:row>
      <xdr:rowOff>161925</xdr:rowOff>
    </xdr:to>
    <xdr:sp macro="" textlink="">
      <xdr:nvSpPr>
        <xdr:cNvPr id="13" name="Rectángulo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F72B325B-0436-4EC9-99A2-CAE861815B9D}"/>
            </a:ext>
          </a:extLst>
        </xdr:cNvPr>
        <xdr:cNvSpPr/>
      </xdr:nvSpPr>
      <xdr:spPr>
        <a:xfrm>
          <a:off x="9172575" y="2505075"/>
          <a:ext cx="968375" cy="428625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DASHBOARD</a:t>
          </a:r>
        </a:p>
      </xdr:txBody>
    </xdr:sp>
    <xdr:clientData/>
  </xdr:twoCellAnchor>
  <xdr:twoCellAnchor editAs="oneCell">
    <xdr:from>
      <xdr:col>0</xdr:col>
      <xdr:colOff>114300</xdr:colOff>
      <xdr:row>0</xdr:row>
      <xdr:rowOff>0</xdr:rowOff>
    </xdr:from>
    <xdr:to>
      <xdr:col>8</xdr:col>
      <xdr:colOff>581025</xdr:colOff>
      <xdr:row>5</xdr:row>
      <xdr:rowOff>85725</xdr:rowOff>
    </xdr:to>
    <xdr:pic>
      <xdr:nvPicPr>
        <xdr:cNvPr id="4" name="Imagen 3" descr="http://www.e-chin.com.ar/clients/AL89JHY90/cabecera.jpg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9448800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13</xdr:col>
      <xdr:colOff>152400</xdr:colOff>
      <xdr:row>14</xdr:row>
      <xdr:rowOff>85725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21C783BD-E855-4F7E-B50F-BFA35E57C12C}"/>
            </a:ext>
          </a:extLst>
        </xdr:cNvPr>
        <xdr:cNvSpPr/>
      </xdr:nvSpPr>
      <xdr:spPr>
        <a:xfrm>
          <a:off x="7620000" y="952500"/>
          <a:ext cx="2438400" cy="1800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133350</xdr:colOff>
      <xdr:row>5</xdr:row>
      <xdr:rowOff>95250</xdr:rowOff>
    </xdr:from>
    <xdr:to>
      <xdr:col>11</xdr:col>
      <xdr:colOff>339725</xdr:colOff>
      <xdr:row>7</xdr:row>
      <xdr:rowOff>142875</xdr:rowOff>
    </xdr:to>
    <xdr:sp macro="" textlink="">
      <xdr:nvSpPr>
        <xdr:cNvPr id="3" name="Rectá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8C54CCC-9CAF-4A3D-AF46-C5DB1EA6657C}"/>
            </a:ext>
          </a:extLst>
        </xdr:cNvPr>
        <xdr:cNvSpPr/>
      </xdr:nvSpPr>
      <xdr:spPr>
        <a:xfrm>
          <a:off x="7753350" y="1047750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FINANCIA</a:t>
          </a:r>
        </a:p>
      </xdr:txBody>
    </xdr:sp>
    <xdr:clientData/>
  </xdr:twoCellAnchor>
  <xdr:twoCellAnchor>
    <xdr:from>
      <xdr:col>11</xdr:col>
      <xdr:colOff>523875</xdr:colOff>
      <xdr:row>5</xdr:row>
      <xdr:rowOff>85725</xdr:rowOff>
    </xdr:from>
    <xdr:to>
      <xdr:col>12</xdr:col>
      <xdr:colOff>730250</xdr:colOff>
      <xdr:row>7</xdr:row>
      <xdr:rowOff>133350</xdr:rowOff>
    </xdr:to>
    <xdr:sp macro="" textlink="">
      <xdr:nvSpPr>
        <xdr:cNvPr id="4" name="Rectá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3004E0AA-D22B-418C-A359-B17860BCBA9B}"/>
            </a:ext>
          </a:extLst>
        </xdr:cNvPr>
        <xdr:cNvSpPr/>
      </xdr:nvSpPr>
      <xdr:spPr>
        <a:xfrm>
          <a:off x="8905875" y="1038225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CAJA</a:t>
          </a:r>
          <a:r>
            <a:rPr lang="es-AR" sz="1100" baseline="0"/>
            <a:t> CHICA</a:t>
          </a:r>
          <a:endParaRPr lang="es-AR" sz="1100"/>
        </a:p>
      </xdr:txBody>
    </xdr:sp>
    <xdr:clientData/>
  </xdr:twoCellAnchor>
  <xdr:twoCellAnchor>
    <xdr:from>
      <xdr:col>10</xdr:col>
      <xdr:colOff>142875</xdr:colOff>
      <xdr:row>8</xdr:row>
      <xdr:rowOff>95250</xdr:rowOff>
    </xdr:from>
    <xdr:to>
      <xdr:col>11</xdr:col>
      <xdr:colOff>349250</xdr:colOff>
      <xdr:row>10</xdr:row>
      <xdr:rowOff>142875</xdr:rowOff>
    </xdr:to>
    <xdr:sp macro="" textlink="">
      <xdr:nvSpPr>
        <xdr:cNvPr id="5" name="Rectá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D43CEBDC-5166-4175-9E4E-65B58A41D368}"/>
            </a:ext>
          </a:extLst>
        </xdr:cNvPr>
        <xdr:cNvSpPr/>
      </xdr:nvSpPr>
      <xdr:spPr>
        <a:xfrm>
          <a:off x="7762875" y="1619250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RUBRO-PART</a:t>
          </a:r>
        </a:p>
      </xdr:txBody>
    </xdr:sp>
    <xdr:clientData/>
  </xdr:twoCellAnchor>
  <xdr:twoCellAnchor>
    <xdr:from>
      <xdr:col>11</xdr:col>
      <xdr:colOff>495300</xdr:colOff>
      <xdr:row>8</xdr:row>
      <xdr:rowOff>85725</xdr:rowOff>
    </xdr:from>
    <xdr:to>
      <xdr:col>12</xdr:col>
      <xdr:colOff>701675</xdr:colOff>
      <xdr:row>10</xdr:row>
      <xdr:rowOff>133350</xdr:rowOff>
    </xdr:to>
    <xdr:sp macro="" textlink="">
      <xdr:nvSpPr>
        <xdr:cNvPr id="6" name="Rectá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2FB764E6-1D58-4E33-800B-3EB544EE9698}"/>
            </a:ext>
          </a:extLst>
        </xdr:cNvPr>
        <xdr:cNvSpPr/>
      </xdr:nvSpPr>
      <xdr:spPr>
        <a:xfrm>
          <a:off x="8877300" y="1609725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PROCEDI.</a:t>
          </a:r>
        </a:p>
      </xdr:txBody>
    </xdr:sp>
    <xdr:clientData/>
  </xdr:twoCellAnchor>
  <xdr:twoCellAnchor>
    <xdr:from>
      <xdr:col>10</xdr:col>
      <xdr:colOff>161925</xdr:colOff>
      <xdr:row>11</xdr:row>
      <xdr:rowOff>104775</xdr:rowOff>
    </xdr:from>
    <xdr:to>
      <xdr:col>11</xdr:col>
      <xdr:colOff>368300</xdr:colOff>
      <xdr:row>13</xdr:row>
      <xdr:rowOff>152400</xdr:rowOff>
    </xdr:to>
    <xdr:sp macro="" textlink="">
      <xdr:nvSpPr>
        <xdr:cNvPr id="7" name="Rectá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F4747A53-F563-43BF-9809-AB8881F2AC72}"/>
            </a:ext>
          </a:extLst>
        </xdr:cNvPr>
        <xdr:cNvSpPr/>
      </xdr:nvSpPr>
      <xdr:spPr>
        <a:xfrm>
          <a:off x="7781925" y="2200275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ROTULOS</a:t>
          </a:r>
        </a:p>
      </xdr:txBody>
    </xdr:sp>
    <xdr:clientData/>
  </xdr:twoCellAnchor>
  <xdr:twoCellAnchor>
    <xdr:from>
      <xdr:col>11</xdr:col>
      <xdr:colOff>504825</xdr:colOff>
      <xdr:row>11</xdr:row>
      <xdr:rowOff>114300</xdr:rowOff>
    </xdr:from>
    <xdr:to>
      <xdr:col>12</xdr:col>
      <xdr:colOff>711200</xdr:colOff>
      <xdr:row>13</xdr:row>
      <xdr:rowOff>161925</xdr:rowOff>
    </xdr:to>
    <xdr:sp macro="" textlink="">
      <xdr:nvSpPr>
        <xdr:cNvPr id="8" name="Rectángul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BBFCFF2B-C3EA-4BB5-B4E2-674A27A9B16C}"/>
            </a:ext>
          </a:extLst>
        </xdr:cNvPr>
        <xdr:cNvSpPr/>
      </xdr:nvSpPr>
      <xdr:spPr>
        <a:xfrm>
          <a:off x="8886825" y="2209800"/>
          <a:ext cx="968375" cy="428625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RESUMEN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4</xdr:row>
      <xdr:rowOff>184150</xdr:rowOff>
    </xdr:from>
    <xdr:to>
      <xdr:col>9</xdr:col>
      <xdr:colOff>1549400</xdr:colOff>
      <xdr:row>7</xdr:row>
      <xdr:rowOff>41275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xmlns="" id="{D884871C-261A-468C-8821-A33ADD9AD0E2}"/>
            </a:ext>
          </a:extLst>
        </xdr:cNvPr>
        <xdr:cNvSpPr/>
      </xdr:nvSpPr>
      <xdr:spPr>
        <a:xfrm>
          <a:off x="16741775" y="946150"/>
          <a:ext cx="968375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19050</xdr:colOff>
      <xdr:row>4</xdr:row>
      <xdr:rowOff>34925</xdr:rowOff>
    </xdr:from>
    <xdr:to>
      <xdr:col>1</xdr:col>
      <xdr:colOff>841375</xdr:colOff>
      <xdr:row>7</xdr:row>
      <xdr:rowOff>15875</xdr:rowOff>
    </xdr:to>
    <xdr:sp macro="[0]!IngreSOL_FIN" textlink="">
      <xdr:nvSpPr>
        <xdr:cNvPr id="7" name="Rectángulo 6">
          <a:extLst>
            <a:ext uri="{FF2B5EF4-FFF2-40B4-BE49-F238E27FC236}">
              <a16:creationId xmlns:a16="http://schemas.microsoft.com/office/drawing/2014/main" xmlns="" id="{996231FD-0921-415F-86CE-D3D617117865}"/>
            </a:ext>
          </a:extLst>
        </xdr:cNvPr>
        <xdr:cNvSpPr/>
      </xdr:nvSpPr>
      <xdr:spPr>
        <a:xfrm>
          <a:off x="527050" y="796925"/>
          <a:ext cx="82232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INGRESAR</a:t>
          </a:r>
          <a:r>
            <a:rPr lang="es-AR" sz="1100" baseline="0"/>
            <a:t> SOLICITUD</a:t>
          </a:r>
          <a:endParaRPr lang="es-AR" sz="1100"/>
        </a:p>
      </xdr:txBody>
    </xdr:sp>
    <xdr:clientData/>
  </xdr:twoCellAnchor>
  <xdr:twoCellAnchor>
    <xdr:from>
      <xdr:col>10</xdr:col>
      <xdr:colOff>1028700</xdr:colOff>
      <xdr:row>4</xdr:row>
      <xdr:rowOff>171450</xdr:rowOff>
    </xdr:from>
    <xdr:to>
      <xdr:col>10</xdr:col>
      <xdr:colOff>1997075</xdr:colOff>
      <xdr:row>7</xdr:row>
      <xdr:rowOff>28575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xmlns="" id="{9FAFFC75-61D9-4D29-8F2C-B5A9A0B3D5B1}"/>
            </a:ext>
          </a:extLst>
        </xdr:cNvPr>
        <xdr:cNvSpPr/>
      </xdr:nvSpPr>
      <xdr:spPr>
        <a:xfrm>
          <a:off x="19110325" y="933450"/>
          <a:ext cx="968375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20</xdr:col>
      <xdr:colOff>158750</xdr:colOff>
      <xdr:row>0</xdr:row>
      <xdr:rowOff>95250</xdr:rowOff>
    </xdr:from>
    <xdr:to>
      <xdr:col>23</xdr:col>
      <xdr:colOff>311150</xdr:colOff>
      <xdr:row>8</xdr:row>
      <xdr:rowOff>371475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xmlns="" id="{D07D4EF2-2939-4CE0-A732-34286BB82202}"/>
            </a:ext>
          </a:extLst>
        </xdr:cNvPr>
        <xdr:cNvSpPr/>
      </xdr:nvSpPr>
      <xdr:spPr>
        <a:xfrm>
          <a:off x="30734000" y="95250"/>
          <a:ext cx="2438400" cy="1800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20</xdr:col>
      <xdr:colOff>292100</xdr:colOff>
      <xdr:row>1</xdr:row>
      <xdr:rowOff>0</xdr:rowOff>
    </xdr:from>
    <xdr:to>
      <xdr:col>21</xdr:col>
      <xdr:colOff>498475</xdr:colOff>
      <xdr:row>3</xdr:row>
      <xdr:rowOff>47625</xdr:rowOff>
    </xdr:to>
    <xdr:sp macro="" textlink="">
      <xdr:nvSpPr>
        <xdr:cNvPr id="10" name="Rectá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5CC7793-850D-45CC-A3C1-707066EFC0B9}"/>
            </a:ext>
          </a:extLst>
        </xdr:cNvPr>
        <xdr:cNvSpPr/>
      </xdr:nvSpPr>
      <xdr:spPr>
        <a:xfrm>
          <a:off x="30867350" y="190500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RESUMEN</a:t>
          </a:r>
        </a:p>
      </xdr:txBody>
    </xdr:sp>
    <xdr:clientData/>
  </xdr:twoCellAnchor>
  <xdr:twoCellAnchor>
    <xdr:from>
      <xdr:col>21</xdr:col>
      <xdr:colOff>682625</xdr:colOff>
      <xdr:row>0</xdr:row>
      <xdr:rowOff>180975</xdr:rowOff>
    </xdr:from>
    <xdr:to>
      <xdr:col>23</xdr:col>
      <xdr:colOff>127000</xdr:colOff>
      <xdr:row>3</xdr:row>
      <xdr:rowOff>38100</xdr:rowOff>
    </xdr:to>
    <xdr:sp macro="" textlink="">
      <xdr:nvSpPr>
        <xdr:cNvPr id="11" name="Rectá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40E65C5-8CB5-4F7B-B2C7-6AD7E127D3B4}"/>
            </a:ext>
          </a:extLst>
        </xdr:cNvPr>
        <xdr:cNvSpPr/>
      </xdr:nvSpPr>
      <xdr:spPr>
        <a:xfrm>
          <a:off x="32019875" y="180975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CAJA</a:t>
          </a:r>
          <a:r>
            <a:rPr lang="es-AR" sz="1100" baseline="0"/>
            <a:t> CHICA</a:t>
          </a:r>
          <a:endParaRPr lang="es-AR" sz="1100"/>
        </a:p>
      </xdr:txBody>
    </xdr:sp>
    <xdr:clientData/>
  </xdr:twoCellAnchor>
  <xdr:twoCellAnchor>
    <xdr:from>
      <xdr:col>20</xdr:col>
      <xdr:colOff>301625</xdr:colOff>
      <xdr:row>4</xdr:row>
      <xdr:rowOff>0</xdr:rowOff>
    </xdr:from>
    <xdr:to>
      <xdr:col>21</xdr:col>
      <xdr:colOff>508000</xdr:colOff>
      <xdr:row>6</xdr:row>
      <xdr:rowOff>47625</xdr:rowOff>
    </xdr:to>
    <xdr:sp macro="" textlink="">
      <xdr:nvSpPr>
        <xdr:cNvPr id="12" name="Rectá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B3FD2D0B-0639-4EC2-A369-10317807F182}"/>
            </a:ext>
          </a:extLst>
        </xdr:cNvPr>
        <xdr:cNvSpPr/>
      </xdr:nvSpPr>
      <xdr:spPr>
        <a:xfrm>
          <a:off x="30876875" y="762000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RUBRO-PART</a:t>
          </a:r>
        </a:p>
      </xdr:txBody>
    </xdr:sp>
    <xdr:clientData/>
  </xdr:twoCellAnchor>
  <xdr:twoCellAnchor>
    <xdr:from>
      <xdr:col>21</xdr:col>
      <xdr:colOff>654050</xdr:colOff>
      <xdr:row>3</xdr:row>
      <xdr:rowOff>180975</xdr:rowOff>
    </xdr:from>
    <xdr:to>
      <xdr:col>23</xdr:col>
      <xdr:colOff>98425</xdr:colOff>
      <xdr:row>6</xdr:row>
      <xdr:rowOff>38100</xdr:rowOff>
    </xdr:to>
    <xdr:sp macro="" textlink="">
      <xdr:nvSpPr>
        <xdr:cNvPr id="13" name="Rectá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6017C631-7458-43FE-86FC-261D19C97411}"/>
            </a:ext>
          </a:extLst>
        </xdr:cNvPr>
        <xdr:cNvSpPr/>
      </xdr:nvSpPr>
      <xdr:spPr>
        <a:xfrm>
          <a:off x="31991300" y="752475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PROCEDI.</a:t>
          </a:r>
        </a:p>
      </xdr:txBody>
    </xdr:sp>
    <xdr:clientData/>
  </xdr:twoCellAnchor>
  <xdr:twoCellAnchor>
    <xdr:from>
      <xdr:col>20</xdr:col>
      <xdr:colOff>320675</xdr:colOff>
      <xdr:row>7</xdr:row>
      <xdr:rowOff>9525</xdr:rowOff>
    </xdr:from>
    <xdr:to>
      <xdr:col>21</xdr:col>
      <xdr:colOff>527050</xdr:colOff>
      <xdr:row>8</xdr:row>
      <xdr:rowOff>247650</xdr:rowOff>
    </xdr:to>
    <xdr:sp macro="" textlink="">
      <xdr:nvSpPr>
        <xdr:cNvPr id="14" name="Rectá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C8EE0C50-0A86-42DC-BCB8-40BA9FB25285}"/>
            </a:ext>
          </a:extLst>
        </xdr:cNvPr>
        <xdr:cNvSpPr/>
      </xdr:nvSpPr>
      <xdr:spPr>
        <a:xfrm>
          <a:off x="30895925" y="1343025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ROTULOS</a:t>
          </a:r>
        </a:p>
      </xdr:txBody>
    </xdr:sp>
    <xdr:clientData/>
  </xdr:twoCellAnchor>
  <xdr:twoCellAnchor>
    <xdr:from>
      <xdr:col>21</xdr:col>
      <xdr:colOff>663575</xdr:colOff>
      <xdr:row>7</xdr:row>
      <xdr:rowOff>19050</xdr:rowOff>
    </xdr:from>
    <xdr:to>
      <xdr:col>23</xdr:col>
      <xdr:colOff>107950</xdr:colOff>
      <xdr:row>8</xdr:row>
      <xdr:rowOff>257175</xdr:rowOff>
    </xdr:to>
    <xdr:sp macro="" textlink="">
      <xdr:nvSpPr>
        <xdr:cNvPr id="15" name="Rectá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7F9E3A76-6105-454A-8F02-A4D803E4BD4B}"/>
            </a:ext>
          </a:extLst>
        </xdr:cNvPr>
        <xdr:cNvSpPr/>
      </xdr:nvSpPr>
      <xdr:spPr>
        <a:xfrm>
          <a:off x="32000825" y="1352550"/>
          <a:ext cx="968375" cy="428625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DASHBOARD</a:t>
          </a:r>
        </a:p>
      </xdr:txBody>
    </xdr:sp>
    <xdr:clientData/>
  </xdr:twoCellAnchor>
  <xdr:twoCellAnchor>
    <xdr:from>
      <xdr:col>1</xdr:col>
      <xdr:colOff>1003300</xdr:colOff>
      <xdr:row>4</xdr:row>
      <xdr:rowOff>34925</xdr:rowOff>
    </xdr:from>
    <xdr:to>
      <xdr:col>2</xdr:col>
      <xdr:colOff>460375</xdr:colOff>
      <xdr:row>7</xdr:row>
      <xdr:rowOff>15875</xdr:rowOff>
    </xdr:to>
    <xdr:sp macro="[0]!IngreSOL_FIN" textlink="">
      <xdr:nvSpPr>
        <xdr:cNvPr id="16" name="Rectángulo 15">
          <a:extLst>
            <a:ext uri="{FF2B5EF4-FFF2-40B4-BE49-F238E27FC236}">
              <a16:creationId xmlns:a16="http://schemas.microsoft.com/office/drawing/2014/main" xmlns="" id="{6DD9E4EE-9C39-F189-238A-87676E02A946}"/>
            </a:ext>
          </a:extLst>
        </xdr:cNvPr>
        <xdr:cNvSpPr/>
      </xdr:nvSpPr>
      <xdr:spPr>
        <a:xfrm>
          <a:off x="1511300" y="796925"/>
          <a:ext cx="82232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INGRESAR</a:t>
          </a:r>
          <a:r>
            <a:rPr lang="es-AR" sz="1100" baseline="0"/>
            <a:t> EQUIPO</a:t>
          </a:r>
          <a:endParaRPr lang="es-AR" sz="1100"/>
        </a:p>
      </xdr:txBody>
    </xdr:sp>
    <xdr:clientData/>
  </xdr:twoCellAnchor>
  <xdr:twoCellAnchor>
    <xdr:from>
      <xdr:col>2</xdr:col>
      <xdr:colOff>685800</xdr:colOff>
      <xdr:row>4</xdr:row>
      <xdr:rowOff>34925</xdr:rowOff>
    </xdr:from>
    <xdr:to>
      <xdr:col>3</xdr:col>
      <xdr:colOff>63500</xdr:colOff>
      <xdr:row>7</xdr:row>
      <xdr:rowOff>15875</xdr:rowOff>
    </xdr:to>
    <xdr:sp macro="[0]!IngreSOL_FIN" textlink="">
      <xdr:nvSpPr>
        <xdr:cNvPr id="17" name="Rectángulo 16">
          <a:extLst>
            <a:ext uri="{FF2B5EF4-FFF2-40B4-BE49-F238E27FC236}">
              <a16:creationId xmlns:a16="http://schemas.microsoft.com/office/drawing/2014/main" xmlns="" id="{F14311E1-8A82-FA24-27E7-72B155F70E6B}"/>
            </a:ext>
          </a:extLst>
        </xdr:cNvPr>
        <xdr:cNvSpPr/>
      </xdr:nvSpPr>
      <xdr:spPr>
        <a:xfrm>
          <a:off x="2559050" y="796925"/>
          <a:ext cx="82232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GASTOS</a:t>
          </a:r>
          <a:r>
            <a:rPr lang="es-AR" sz="1100" baseline="0"/>
            <a:t> BANCARIO</a:t>
          </a:r>
          <a:endParaRPr lang="es-A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3</xdr:col>
      <xdr:colOff>1143000</xdr:colOff>
      <xdr:row>0</xdr:row>
      <xdr:rowOff>0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/>
      </xdr:nvGrpSpPr>
      <xdr:grpSpPr>
        <a:xfrm>
          <a:off x="526596" y="0"/>
          <a:ext cx="3895725" cy="0"/>
          <a:chOff x="314325" y="190500"/>
          <a:chExt cx="4238625" cy="790576"/>
        </a:xfrm>
      </xdr:grpSpPr>
      <xdr:sp macro="" textlink="">
        <xdr:nvSpPr>
          <xdr:cNvPr id="3" name="2 CuadroTexto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SpPr txBox="1"/>
        </xdr:nvSpPr>
        <xdr:spPr>
          <a:xfrm>
            <a:off x="314325" y="190500"/>
            <a:ext cx="4238625" cy="79057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144000" algn="r">
              <a:spcBef>
                <a:spcPts val="600"/>
              </a:spcBef>
            </a:pPr>
            <a:r>
              <a:rPr lang="es-AR" sz="1100" b="1"/>
              <a:t>CCT CONICET</a:t>
            </a:r>
            <a:r>
              <a:rPr lang="es-AR" sz="1100" b="1" baseline="0"/>
              <a:t> MAR DEL PLATA</a:t>
            </a:r>
          </a:p>
          <a:p>
            <a:pPr marL="144000" algn="r">
              <a:spcBef>
                <a:spcPts val="600"/>
              </a:spcBef>
            </a:pPr>
            <a:r>
              <a:rPr lang="es-AR" sz="1100" b="1" baseline="0"/>
              <a:t>UNIHDO</a:t>
            </a:r>
          </a:p>
          <a:p>
            <a:pPr marL="144000" algn="r">
              <a:spcBef>
                <a:spcPts val="600"/>
              </a:spcBef>
            </a:pPr>
            <a:r>
              <a:rPr lang="es-AR" sz="1100" b="1" baseline="0"/>
              <a:t>Planilla: Caja Chica Austral </a:t>
            </a:r>
          </a:p>
          <a:p>
            <a:pPr marL="144000" algn="r">
              <a:spcBef>
                <a:spcPts val="600"/>
              </a:spcBef>
            </a:pPr>
            <a:endParaRPr lang="es-AR" sz="1100" b="1"/>
          </a:p>
        </xdr:txBody>
      </xdr:sp>
      <xdr:pic>
        <xdr:nvPicPr>
          <xdr:cNvPr id="4" name="3 Imagen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0525" y="276225"/>
            <a:ext cx="1028700" cy="661223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136071</xdr:colOff>
      <xdr:row>6</xdr:row>
      <xdr:rowOff>108857</xdr:rowOff>
    </xdr:from>
    <xdr:to>
      <xdr:col>17</xdr:col>
      <xdr:colOff>288471</xdr:colOff>
      <xdr:row>13</xdr:row>
      <xdr:rowOff>357868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xmlns="" id="{F72A3EAD-E5D9-429B-8E2A-5E45FB523483}"/>
            </a:ext>
          </a:extLst>
        </xdr:cNvPr>
        <xdr:cNvSpPr/>
      </xdr:nvSpPr>
      <xdr:spPr>
        <a:xfrm>
          <a:off x="18587357" y="108857"/>
          <a:ext cx="2438400" cy="1800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14</xdr:col>
      <xdr:colOff>269421</xdr:colOff>
      <xdr:row>7</xdr:row>
      <xdr:rowOff>13607</xdr:rowOff>
    </xdr:from>
    <xdr:to>
      <xdr:col>15</xdr:col>
      <xdr:colOff>475796</xdr:colOff>
      <xdr:row>9</xdr:row>
      <xdr:rowOff>47625</xdr:rowOff>
    </xdr:to>
    <xdr:sp macro="" textlink="">
      <xdr:nvSpPr>
        <xdr:cNvPr id="6" name="Rectá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EDF5E0D8-8B5F-462A-B738-58327D6DAFAC}"/>
            </a:ext>
          </a:extLst>
        </xdr:cNvPr>
        <xdr:cNvSpPr/>
      </xdr:nvSpPr>
      <xdr:spPr>
        <a:xfrm>
          <a:off x="18720707" y="204107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FINANCIA</a:t>
          </a:r>
        </a:p>
      </xdr:txBody>
    </xdr:sp>
    <xdr:clientData/>
  </xdr:twoCellAnchor>
  <xdr:twoCellAnchor>
    <xdr:from>
      <xdr:col>15</xdr:col>
      <xdr:colOff>659946</xdr:colOff>
      <xdr:row>7</xdr:row>
      <xdr:rowOff>4082</xdr:rowOff>
    </xdr:from>
    <xdr:to>
      <xdr:col>17</xdr:col>
      <xdr:colOff>104321</xdr:colOff>
      <xdr:row>9</xdr:row>
      <xdr:rowOff>38100</xdr:rowOff>
    </xdr:to>
    <xdr:sp macro="" textlink="">
      <xdr:nvSpPr>
        <xdr:cNvPr id="7" name="Rectá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D75C9781-4400-4E1A-BCAC-368DF0921F7B}"/>
            </a:ext>
          </a:extLst>
        </xdr:cNvPr>
        <xdr:cNvSpPr/>
      </xdr:nvSpPr>
      <xdr:spPr>
        <a:xfrm>
          <a:off x="19873232" y="194582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RESUMEN</a:t>
          </a:r>
        </a:p>
      </xdr:txBody>
    </xdr:sp>
    <xdr:clientData/>
  </xdr:twoCellAnchor>
  <xdr:twoCellAnchor>
    <xdr:from>
      <xdr:col>14</xdr:col>
      <xdr:colOff>278946</xdr:colOff>
      <xdr:row>9</xdr:row>
      <xdr:rowOff>190500</xdr:rowOff>
    </xdr:from>
    <xdr:to>
      <xdr:col>15</xdr:col>
      <xdr:colOff>485321</xdr:colOff>
      <xdr:row>11</xdr:row>
      <xdr:rowOff>102053</xdr:rowOff>
    </xdr:to>
    <xdr:sp macro="" textlink="">
      <xdr:nvSpPr>
        <xdr:cNvPr id="8" name="Rectá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C4BD16FC-2618-4E86-9D96-0CAF60103BC2}"/>
            </a:ext>
          </a:extLst>
        </xdr:cNvPr>
        <xdr:cNvSpPr/>
      </xdr:nvSpPr>
      <xdr:spPr>
        <a:xfrm>
          <a:off x="18730232" y="775607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RUBRO-PART</a:t>
          </a:r>
        </a:p>
      </xdr:txBody>
    </xdr:sp>
    <xdr:clientData/>
  </xdr:twoCellAnchor>
  <xdr:twoCellAnchor>
    <xdr:from>
      <xdr:col>15</xdr:col>
      <xdr:colOff>631371</xdr:colOff>
      <xdr:row>9</xdr:row>
      <xdr:rowOff>180975</xdr:rowOff>
    </xdr:from>
    <xdr:to>
      <xdr:col>17</xdr:col>
      <xdr:colOff>75746</xdr:colOff>
      <xdr:row>11</xdr:row>
      <xdr:rowOff>92528</xdr:rowOff>
    </xdr:to>
    <xdr:sp macro="" textlink="">
      <xdr:nvSpPr>
        <xdr:cNvPr id="9" name="Rectá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88BF688F-E08F-47D4-8B26-9ABC3DC671E8}"/>
            </a:ext>
          </a:extLst>
        </xdr:cNvPr>
        <xdr:cNvSpPr/>
      </xdr:nvSpPr>
      <xdr:spPr>
        <a:xfrm>
          <a:off x="19844657" y="766082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PROCEDI.</a:t>
          </a:r>
        </a:p>
      </xdr:txBody>
    </xdr:sp>
    <xdr:clientData/>
  </xdr:twoCellAnchor>
  <xdr:twoCellAnchor>
    <xdr:from>
      <xdr:col>14</xdr:col>
      <xdr:colOff>297996</xdr:colOff>
      <xdr:row>12</xdr:row>
      <xdr:rowOff>50346</xdr:rowOff>
    </xdr:from>
    <xdr:to>
      <xdr:col>15</xdr:col>
      <xdr:colOff>504371</xdr:colOff>
      <xdr:row>13</xdr:row>
      <xdr:rowOff>234043</xdr:rowOff>
    </xdr:to>
    <xdr:sp macro="" textlink="">
      <xdr:nvSpPr>
        <xdr:cNvPr id="10" name="Rectá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90336EDE-F2CC-4BA4-94C6-98CFEDF44E26}"/>
            </a:ext>
          </a:extLst>
        </xdr:cNvPr>
        <xdr:cNvSpPr/>
      </xdr:nvSpPr>
      <xdr:spPr>
        <a:xfrm>
          <a:off x="18749282" y="1356632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ROTULOS</a:t>
          </a:r>
        </a:p>
      </xdr:txBody>
    </xdr:sp>
    <xdr:clientData/>
  </xdr:twoCellAnchor>
  <xdr:twoCellAnchor>
    <xdr:from>
      <xdr:col>15</xdr:col>
      <xdr:colOff>640896</xdr:colOff>
      <xdr:row>12</xdr:row>
      <xdr:rowOff>59871</xdr:rowOff>
    </xdr:from>
    <xdr:to>
      <xdr:col>17</xdr:col>
      <xdr:colOff>85271</xdr:colOff>
      <xdr:row>13</xdr:row>
      <xdr:rowOff>243568</xdr:rowOff>
    </xdr:to>
    <xdr:sp macro="" textlink="">
      <xdr:nvSpPr>
        <xdr:cNvPr id="11" name="Rectá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87A03683-8293-405C-B2D0-27A5D48C340F}"/>
            </a:ext>
          </a:extLst>
        </xdr:cNvPr>
        <xdr:cNvSpPr/>
      </xdr:nvSpPr>
      <xdr:spPr>
        <a:xfrm>
          <a:off x="19854182" y="1366157"/>
          <a:ext cx="968375" cy="428625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DASHBOARD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5</xdr:col>
      <xdr:colOff>771525</xdr:colOff>
      <xdr:row>5</xdr:row>
      <xdr:rowOff>28576</xdr:rowOff>
    </xdr:to>
    <xdr:grpSp>
      <xdr:nvGrpSpPr>
        <xdr:cNvPr id="3" name="2 Grupo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pSpPr/>
      </xdr:nvGrpSpPr>
      <xdr:grpSpPr>
        <a:xfrm>
          <a:off x="323850" y="190500"/>
          <a:ext cx="4200525" cy="790576"/>
          <a:chOff x="171450" y="38100"/>
          <a:chExt cx="4238625" cy="790576"/>
        </a:xfrm>
      </xdr:grpSpPr>
      <xdr:sp macro="" textlink="">
        <xdr:nvSpPr>
          <xdr:cNvPr id="4" name="3 CuadroTexto">
            <a:extLst>
              <a:ext uri="{FF2B5EF4-FFF2-40B4-BE49-F238E27FC236}">
                <a16:creationId xmlns:a16="http://schemas.microsoft.com/office/drawing/2014/main" xmlns="" id="{00000000-0008-0000-0300-000004000000}"/>
              </a:ext>
            </a:extLst>
          </xdr:cNvPr>
          <xdr:cNvSpPr txBox="1"/>
        </xdr:nvSpPr>
        <xdr:spPr>
          <a:xfrm>
            <a:off x="171450" y="38100"/>
            <a:ext cx="4238625" cy="79057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144000" algn="r">
              <a:spcBef>
                <a:spcPts val="600"/>
              </a:spcBef>
            </a:pPr>
            <a:r>
              <a:rPr lang="es-AR" sz="1100" b="1"/>
              <a:t>CCT CONICET</a:t>
            </a:r>
            <a:r>
              <a:rPr lang="es-AR" sz="1100" b="1" baseline="0"/>
              <a:t> MAR DEL PLATA</a:t>
            </a:r>
          </a:p>
          <a:p>
            <a:pPr marL="144000" algn="r">
              <a:spcBef>
                <a:spcPts val="600"/>
              </a:spcBef>
            </a:pPr>
            <a:r>
              <a:rPr lang="es-AR" sz="1100" b="1" baseline="0"/>
              <a:t>UNIHDO</a:t>
            </a:r>
          </a:p>
          <a:p>
            <a:pPr marL="144000" algn="r">
              <a:spcBef>
                <a:spcPts val="600"/>
              </a:spcBef>
            </a:pPr>
            <a:r>
              <a:rPr lang="es-AR" sz="1100" b="1" baseline="0"/>
              <a:t>Planilla: RUBRO-PARTIDA</a:t>
            </a:r>
            <a:endParaRPr lang="es-AR" sz="1100" b="1"/>
          </a:p>
        </xdr:txBody>
      </xdr:sp>
      <xdr:pic>
        <xdr:nvPicPr>
          <xdr:cNvPr id="5" name="4 Imagen">
            <a:extLst>
              <a:ext uri="{FF2B5EF4-FFF2-40B4-BE49-F238E27FC236}">
                <a16:creationId xmlns:a16="http://schemas.microsoft.com/office/drawing/2014/main" xmlns="" id="{00000000-0008-0000-03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8125" y="123825"/>
            <a:ext cx="1028700" cy="661223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19050</xdr:colOff>
      <xdr:row>0</xdr:row>
      <xdr:rowOff>161925</xdr:rowOff>
    </xdr:from>
    <xdr:to>
      <xdr:col>13</xdr:col>
      <xdr:colOff>457200</xdr:colOff>
      <xdr:row>6</xdr:row>
      <xdr:rowOff>152400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xmlns="" id="{54C72513-72B2-4025-BA8F-AD829121D8A9}"/>
            </a:ext>
          </a:extLst>
        </xdr:cNvPr>
        <xdr:cNvSpPr/>
      </xdr:nvSpPr>
      <xdr:spPr>
        <a:xfrm>
          <a:off x="7067550" y="161925"/>
          <a:ext cx="3971925" cy="113347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742950</xdr:colOff>
      <xdr:row>1</xdr:row>
      <xdr:rowOff>66675</xdr:rowOff>
    </xdr:from>
    <xdr:to>
      <xdr:col>12</xdr:col>
      <xdr:colOff>63500</xdr:colOff>
      <xdr:row>3</xdr:row>
      <xdr:rowOff>114300</xdr:rowOff>
    </xdr:to>
    <xdr:sp macro="" textlink="">
      <xdr:nvSpPr>
        <xdr:cNvPr id="14" name="Rectángulo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9808813D-0939-490B-8C7A-85D415C27330}"/>
            </a:ext>
          </a:extLst>
        </xdr:cNvPr>
        <xdr:cNvSpPr/>
      </xdr:nvSpPr>
      <xdr:spPr>
        <a:xfrm>
          <a:off x="8734425" y="257175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FINANCIA</a:t>
          </a:r>
        </a:p>
      </xdr:txBody>
    </xdr:sp>
    <xdr:clientData/>
  </xdr:twoCellAnchor>
  <xdr:twoCellAnchor>
    <xdr:from>
      <xdr:col>12</xdr:col>
      <xdr:colOff>247650</xdr:colOff>
      <xdr:row>1</xdr:row>
      <xdr:rowOff>57150</xdr:rowOff>
    </xdr:from>
    <xdr:to>
      <xdr:col>13</xdr:col>
      <xdr:colOff>273050</xdr:colOff>
      <xdr:row>3</xdr:row>
      <xdr:rowOff>104775</xdr:rowOff>
    </xdr:to>
    <xdr:sp macro="" textlink="">
      <xdr:nvSpPr>
        <xdr:cNvPr id="15" name="Rectá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1A3AF1B7-B57F-44EC-9788-48467D8B1C93}"/>
            </a:ext>
          </a:extLst>
        </xdr:cNvPr>
        <xdr:cNvSpPr/>
      </xdr:nvSpPr>
      <xdr:spPr>
        <a:xfrm>
          <a:off x="9886950" y="247650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CAJA</a:t>
          </a:r>
          <a:r>
            <a:rPr lang="es-AR" sz="1100" baseline="0"/>
            <a:t> CHICA</a:t>
          </a:r>
          <a:endParaRPr lang="es-AR" sz="1100"/>
        </a:p>
      </xdr:txBody>
    </xdr:sp>
    <xdr:clientData/>
  </xdr:twoCellAnchor>
  <xdr:twoCellAnchor>
    <xdr:from>
      <xdr:col>10</xdr:col>
      <xdr:colOff>752475</xdr:colOff>
      <xdr:row>4</xdr:row>
      <xdr:rowOff>66675</xdr:rowOff>
    </xdr:from>
    <xdr:to>
      <xdr:col>12</xdr:col>
      <xdr:colOff>73025</xdr:colOff>
      <xdr:row>6</xdr:row>
      <xdr:rowOff>114300</xdr:rowOff>
    </xdr:to>
    <xdr:sp macro="" textlink="">
      <xdr:nvSpPr>
        <xdr:cNvPr id="16" name="Rectángulo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4AA50CDF-F01D-46CB-93DF-2D2A31AEAE61}"/>
            </a:ext>
          </a:extLst>
        </xdr:cNvPr>
        <xdr:cNvSpPr/>
      </xdr:nvSpPr>
      <xdr:spPr>
        <a:xfrm>
          <a:off x="8743950" y="828675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RESUMEN</a:t>
          </a:r>
        </a:p>
      </xdr:txBody>
    </xdr:sp>
    <xdr:clientData/>
  </xdr:twoCellAnchor>
  <xdr:twoCellAnchor>
    <xdr:from>
      <xdr:col>12</xdr:col>
      <xdr:colOff>219075</xdr:colOff>
      <xdr:row>4</xdr:row>
      <xdr:rowOff>57150</xdr:rowOff>
    </xdr:from>
    <xdr:to>
      <xdr:col>13</xdr:col>
      <xdr:colOff>244475</xdr:colOff>
      <xdr:row>6</xdr:row>
      <xdr:rowOff>104775</xdr:rowOff>
    </xdr:to>
    <xdr:sp macro="" textlink="">
      <xdr:nvSpPr>
        <xdr:cNvPr id="17" name="Rectángulo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7050059B-7C33-40AC-90DB-A77F812D6A7E}"/>
            </a:ext>
          </a:extLst>
        </xdr:cNvPr>
        <xdr:cNvSpPr/>
      </xdr:nvSpPr>
      <xdr:spPr>
        <a:xfrm>
          <a:off x="9858375" y="819150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PROCEDI.</a:t>
          </a:r>
        </a:p>
      </xdr:txBody>
    </xdr:sp>
    <xdr:clientData/>
  </xdr:twoCellAnchor>
  <xdr:twoCellAnchor>
    <xdr:from>
      <xdr:col>9</xdr:col>
      <xdr:colOff>571500</xdr:colOff>
      <xdr:row>1</xdr:row>
      <xdr:rowOff>76200</xdr:rowOff>
    </xdr:from>
    <xdr:to>
      <xdr:col>10</xdr:col>
      <xdr:colOff>596900</xdr:colOff>
      <xdr:row>3</xdr:row>
      <xdr:rowOff>123825</xdr:rowOff>
    </xdr:to>
    <xdr:sp macro="" textlink="">
      <xdr:nvSpPr>
        <xdr:cNvPr id="18" name="Rectángulo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FE0C3F87-FFA4-495B-B1DC-AE5D648FB60C}"/>
            </a:ext>
          </a:extLst>
        </xdr:cNvPr>
        <xdr:cNvSpPr/>
      </xdr:nvSpPr>
      <xdr:spPr>
        <a:xfrm>
          <a:off x="7620000" y="266700"/>
          <a:ext cx="968375" cy="428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ROTULOS</a:t>
          </a:r>
        </a:p>
      </xdr:txBody>
    </xdr:sp>
    <xdr:clientData/>
  </xdr:twoCellAnchor>
  <xdr:twoCellAnchor>
    <xdr:from>
      <xdr:col>9</xdr:col>
      <xdr:colOff>581025</xdr:colOff>
      <xdr:row>4</xdr:row>
      <xdr:rowOff>57150</xdr:rowOff>
    </xdr:from>
    <xdr:to>
      <xdr:col>10</xdr:col>
      <xdr:colOff>606425</xdr:colOff>
      <xdr:row>6</xdr:row>
      <xdr:rowOff>104775</xdr:rowOff>
    </xdr:to>
    <xdr:sp macro="" textlink="">
      <xdr:nvSpPr>
        <xdr:cNvPr id="19" name="Rectángulo 1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CA8DCDA5-999F-44FE-A9B9-68F652F2A0CA}"/>
            </a:ext>
          </a:extLst>
        </xdr:cNvPr>
        <xdr:cNvSpPr/>
      </xdr:nvSpPr>
      <xdr:spPr>
        <a:xfrm>
          <a:off x="7629525" y="819150"/>
          <a:ext cx="968375" cy="428625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DASHBOARD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24</xdr:row>
      <xdr:rowOff>103909</xdr:rowOff>
    </xdr:from>
    <xdr:to>
      <xdr:col>10</xdr:col>
      <xdr:colOff>588818</xdr:colOff>
      <xdr:row>29</xdr:row>
      <xdr:rowOff>138545</xdr:rowOff>
    </xdr:to>
    <xdr:sp macro="" textlink="">
      <xdr:nvSpPr>
        <xdr:cNvPr id="2" name="1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13473545" y="4675909"/>
          <a:ext cx="1524000" cy="9871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9525</xdr:rowOff>
    </xdr:from>
    <xdr:to>
      <xdr:col>12</xdr:col>
      <xdr:colOff>742949</xdr:colOff>
      <xdr:row>16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195262</xdr:rowOff>
    </xdr:from>
    <xdr:to>
      <xdr:col>13</xdr:col>
      <xdr:colOff>28575</xdr:colOff>
      <xdr:row>32</xdr:row>
      <xdr:rowOff>104775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38</xdr:row>
      <xdr:rowOff>9525</xdr:rowOff>
    </xdr:from>
    <xdr:to>
      <xdr:col>12</xdr:col>
      <xdr:colOff>742949</xdr:colOff>
      <xdr:row>51</xdr:row>
      <xdr:rowOff>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52</xdr:row>
      <xdr:rowOff>195262</xdr:rowOff>
    </xdr:from>
    <xdr:to>
      <xdr:col>13</xdr:col>
      <xdr:colOff>28575</xdr:colOff>
      <xdr:row>67</xdr:row>
      <xdr:rowOff>104775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73</xdr:row>
      <xdr:rowOff>9525</xdr:rowOff>
    </xdr:from>
    <xdr:to>
      <xdr:col>12</xdr:col>
      <xdr:colOff>742949</xdr:colOff>
      <xdr:row>86</xdr:row>
      <xdr:rowOff>0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xmlns="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87</xdr:row>
      <xdr:rowOff>195262</xdr:rowOff>
    </xdr:from>
    <xdr:to>
      <xdr:col>13</xdr:col>
      <xdr:colOff>28575</xdr:colOff>
      <xdr:row>102</xdr:row>
      <xdr:rowOff>104775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9523</xdr:colOff>
      <xdr:row>107</xdr:row>
      <xdr:rowOff>114299</xdr:rowOff>
    </xdr:from>
    <xdr:to>
      <xdr:col>12</xdr:col>
      <xdr:colOff>600074</xdr:colOff>
      <xdr:row>132</xdr:row>
      <xdr:rowOff>180974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4\01.%20Finanzas\2019\(ULTIMO)%20Financiamiento%20UNIHDO%20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Fondos 2018"/>
      <sheetName val="Financiamiento"/>
      <sheetName val="Caja Chica Pto Deseado"/>
      <sheetName val="Caja Chica Austral"/>
      <sheetName val="Caja Chica APBH"/>
      <sheetName val="Rubro-Partida"/>
      <sheetName val="Procedimientos de contratación"/>
      <sheetName val="Navegaciones"/>
      <sheetName val="Rótulos"/>
      <sheetName val="Estadisticas y graficos"/>
      <sheetName val="Hoja1"/>
      <sheetName val="Hoja2"/>
      <sheetName val="Hoja3"/>
      <sheetName val="Hoja4"/>
    </sheetNames>
    <sheetDataSet>
      <sheetData sheetId="0">
        <row r="12">
          <cell r="F12">
            <v>11255.87</v>
          </cell>
        </row>
        <row r="13">
          <cell r="F13">
            <v>99230.784000000451</v>
          </cell>
        </row>
        <row r="16">
          <cell r="F16">
            <v>21352.220000000671</v>
          </cell>
        </row>
        <row r="18">
          <cell r="F18">
            <v>153826.61999999918</v>
          </cell>
        </row>
        <row r="19">
          <cell r="F19">
            <v>471040.40000000037</v>
          </cell>
        </row>
        <row r="24">
          <cell r="F24">
            <v>8099.9999999987776</v>
          </cell>
        </row>
        <row r="25">
          <cell r="F25">
            <v>7036350.3300000001</v>
          </cell>
        </row>
        <row r="26">
          <cell r="F26">
            <v>48439.729999998584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a:spPr>
      <a:bodyPr vertOverflow="clip" horzOverflow="clip" wrap="square" rtlCol="0" anchor="t"/>
      <a:lstStyle>
        <a:defPPr marL="144000" algn="r">
          <a:spcBef>
            <a:spcPts val="600"/>
          </a:spcBef>
          <a:defRPr sz="11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9:Q167"/>
  <sheetViews>
    <sheetView topLeftCell="A13" workbookViewId="0">
      <selection activeCell="B42" sqref="B42"/>
    </sheetView>
  </sheetViews>
  <sheetFormatPr baseColWidth="10" defaultRowHeight="15" x14ac:dyDescent="0.25"/>
  <cols>
    <col min="1" max="1" width="4.7109375" customWidth="1"/>
    <col min="2" max="2" width="30.85546875" bestFit="1" customWidth="1"/>
    <col min="3" max="3" width="14.140625" bestFit="1" customWidth="1"/>
    <col min="4" max="4" width="24.28515625" customWidth="1"/>
    <col min="5" max="5" width="19.5703125" customWidth="1"/>
    <col min="6" max="6" width="14.140625" bestFit="1" customWidth="1"/>
    <col min="7" max="7" width="13.85546875" bestFit="1" customWidth="1"/>
    <col min="8" max="8" width="13.140625" bestFit="1" customWidth="1"/>
    <col min="9" max="9" width="13.85546875" bestFit="1" customWidth="1"/>
    <col min="10" max="10" width="15.42578125" bestFit="1" customWidth="1"/>
    <col min="11" max="11" width="19.140625" bestFit="1" customWidth="1"/>
    <col min="12" max="12" width="14.140625" bestFit="1" customWidth="1"/>
  </cols>
  <sheetData>
    <row r="9" spans="2:17" ht="15.75" thickBot="1" x14ac:dyDescent="0.3"/>
    <row r="10" spans="2:17" ht="17.100000000000001" customHeight="1" thickBot="1" x14ac:dyDescent="0.3">
      <c r="B10" s="317" t="s">
        <v>229</v>
      </c>
      <c r="C10" s="318"/>
      <c r="D10" s="318"/>
      <c r="E10" s="318"/>
      <c r="F10" s="319"/>
    </row>
    <row r="11" spans="2:17" ht="27" customHeight="1" x14ac:dyDescent="0.25">
      <c r="B11" s="90" t="s">
        <v>27</v>
      </c>
      <c r="C11" s="98" t="s">
        <v>226</v>
      </c>
      <c r="D11" s="91" t="s">
        <v>227</v>
      </c>
      <c r="E11" s="91" t="s">
        <v>228</v>
      </c>
      <c r="F11" s="92" t="s">
        <v>28</v>
      </c>
      <c r="G11" s="34"/>
    </row>
    <row r="12" spans="2:17" s="34" customFormat="1" ht="20.100000000000001" customHeight="1" x14ac:dyDescent="0.25">
      <c r="B12" s="290" t="s">
        <v>192</v>
      </c>
      <c r="C12" s="291">
        <f>+[1]Resumen!$F$12</f>
        <v>11255.87</v>
      </c>
      <c r="D12" s="292">
        <v>3269432.25</v>
      </c>
      <c r="E12" s="292">
        <f>SUMIF('Financiamiento(N)'!$J$10:$J$14,B12,'Financiamiento(N)'!$I$10:$I$14)</f>
        <v>0</v>
      </c>
      <c r="F12" s="293">
        <f t="shared" ref="F12:F19" si="0">+C12+D12-E12</f>
        <v>3280688.12</v>
      </c>
      <c r="H12" s="223"/>
    </row>
    <row r="13" spans="2:17" s="34" customFormat="1" ht="20.100000000000001" customHeight="1" x14ac:dyDescent="0.25">
      <c r="B13" s="241" t="s">
        <v>193</v>
      </c>
      <c r="C13" s="294">
        <f>+[1]Resumen!$F$13</f>
        <v>99230.784000000451</v>
      </c>
      <c r="D13" s="211">
        <v>0</v>
      </c>
      <c r="E13" s="211">
        <f>SUMIF('Financiamiento(N)'!$J$10:$J$14,B13,'Financiamiento(N)'!$I$10:$I$14)</f>
        <v>0</v>
      </c>
      <c r="F13" s="245">
        <f t="shared" si="0"/>
        <v>99230.784000000451</v>
      </c>
      <c r="G13" s="142"/>
      <c r="H13" s="213"/>
      <c r="N13" s="221"/>
    </row>
    <row r="14" spans="2:17" s="34" customFormat="1" ht="20.100000000000001" customHeight="1" x14ac:dyDescent="0.25">
      <c r="B14" s="290" t="s">
        <v>188</v>
      </c>
      <c r="C14" s="291">
        <f>+[1]Resumen!$F$16</f>
        <v>21352.220000000671</v>
      </c>
      <c r="D14" s="292">
        <v>1900000</v>
      </c>
      <c r="E14" s="292">
        <f>SUMIF('Financiamiento(N)'!$J$10:$J$14,B14,'Financiamiento(N)'!$I$10:$I$14)</f>
        <v>0</v>
      </c>
      <c r="F14" s="293">
        <f t="shared" si="0"/>
        <v>1921352.2200000007</v>
      </c>
      <c r="H14" s="274"/>
      <c r="I14" s="221"/>
      <c r="J14" s="221"/>
      <c r="K14" s="221"/>
      <c r="L14" s="221"/>
      <c r="M14" s="221"/>
      <c r="N14" s="221"/>
      <c r="O14" s="221"/>
      <c r="P14" s="221"/>
      <c r="Q14" s="221"/>
    </row>
    <row r="15" spans="2:17" s="221" customFormat="1" ht="20.100000000000001" customHeight="1" x14ac:dyDescent="0.25">
      <c r="B15" s="241" t="s">
        <v>207</v>
      </c>
      <c r="C15" s="294">
        <f>+[1]Resumen!$F$18</f>
        <v>153826.61999999918</v>
      </c>
      <c r="D15" s="211">
        <v>0</v>
      </c>
      <c r="E15" s="211">
        <f>SUMIF('Financiamiento(N)'!$J$10:$J$14,B15,'Financiamiento(N)'!$I$10:$I$14)</f>
        <v>0</v>
      </c>
      <c r="F15" s="245">
        <f t="shared" si="0"/>
        <v>153826.61999999918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spans="2:17" s="34" customFormat="1" ht="20.100000000000001" customHeight="1" x14ac:dyDescent="0.25">
      <c r="B16" s="290" t="s">
        <v>190</v>
      </c>
      <c r="C16" s="291">
        <f>+[1]Resumen!$F$19</f>
        <v>471040.40000000037</v>
      </c>
      <c r="D16" s="292">
        <v>142684.93</v>
      </c>
      <c r="E16" s="292">
        <f>SUMIF('Financiamiento(N)'!$J$10:$J$14,B16,'Financiamiento(N)'!$I$10:$I$14)</f>
        <v>0</v>
      </c>
      <c r="F16" s="293">
        <f t="shared" si="0"/>
        <v>613725.33000000031</v>
      </c>
      <c r="G16"/>
      <c r="H16" s="274"/>
    </row>
    <row r="17" spans="2:17" s="221" customFormat="1" ht="20.100000000000001" customHeight="1" x14ac:dyDescent="0.25">
      <c r="B17" s="241" t="str">
        <f>+Rótulos!G27</f>
        <v>CADIC BANCO BURDWOOD</v>
      </c>
      <c r="C17" s="294">
        <f>+[1]Resumen!$F$24</f>
        <v>8099.9999999987776</v>
      </c>
      <c r="D17" s="211">
        <v>0</v>
      </c>
      <c r="E17" s="211">
        <f>SUMIF('Financiamiento(N)'!$J$10:$J$14,B17,'Financiamiento(N)'!$I$10:$I$14)</f>
        <v>0</v>
      </c>
      <c r="F17" s="245">
        <f t="shared" si="0"/>
        <v>8099.9999999987776</v>
      </c>
      <c r="H17" s="274"/>
      <c r="I17"/>
      <c r="J17"/>
      <c r="K17"/>
      <c r="L17"/>
      <c r="M17"/>
      <c r="N17"/>
      <c r="O17"/>
      <c r="P17"/>
      <c r="Q17"/>
    </row>
    <row r="18" spans="2:17" s="221" customFormat="1" ht="20.100000000000001" customHeight="1" x14ac:dyDescent="0.25">
      <c r="B18" s="290" t="str">
        <f>+Rótulos!G29</f>
        <v>PA-YTEC-BB</v>
      </c>
      <c r="C18" s="291">
        <f>+[1]Resumen!$F$25</f>
        <v>7036350.3300000001</v>
      </c>
      <c r="D18" s="292">
        <v>0</v>
      </c>
      <c r="E18" s="292">
        <f>SUMIF('Financiamiento(N)'!$J$10:$J$14,B18,'Financiamiento(N)'!$I$10:$I$14)</f>
        <v>0</v>
      </c>
      <c r="F18" s="293">
        <f t="shared" si="0"/>
        <v>7036350.3300000001</v>
      </c>
      <c r="H18" s="19"/>
      <c r="I18"/>
      <c r="J18"/>
      <c r="K18"/>
      <c r="L18"/>
      <c r="M18"/>
      <c r="N18"/>
      <c r="O18"/>
      <c r="P18"/>
      <c r="Q18"/>
    </row>
    <row r="19" spans="2:17" s="221" customFormat="1" ht="20.100000000000001" customHeight="1" x14ac:dyDescent="0.25">
      <c r="B19" s="241" t="str">
        <f>+Rótulos!G31</f>
        <v>PA-YTEC-BB E</v>
      </c>
      <c r="C19" s="294">
        <f>+[1]Resumen!$F$26</f>
        <v>48439.729999998584</v>
      </c>
      <c r="D19" s="211">
        <v>11000000</v>
      </c>
      <c r="E19" s="211">
        <f>SUMIF('Financiamiento(N)'!$J$10:$J$14,B19,'Financiamiento(N)'!$I$10:$I$14)</f>
        <v>0</v>
      </c>
      <c r="F19" s="245">
        <f t="shared" si="0"/>
        <v>11048439.729999999</v>
      </c>
      <c r="H19" s="19"/>
      <c r="I19"/>
      <c r="J19"/>
      <c r="K19"/>
      <c r="L19"/>
      <c r="M19"/>
      <c r="N19"/>
      <c r="O19"/>
      <c r="P19"/>
      <c r="Q19"/>
    </row>
    <row r="20" spans="2:17" s="221" customFormat="1" ht="20.100000000000001" customHeight="1" x14ac:dyDescent="0.25">
      <c r="B20" s="290" t="str">
        <f>+Rótulos!G33</f>
        <v>AUSTRAL FUNC</v>
      </c>
      <c r="C20" s="291">
        <v>0</v>
      </c>
      <c r="D20" s="292">
        <v>22319567</v>
      </c>
      <c r="E20" s="292">
        <f>SUMIF('Financiamiento(N)'!$J$10:$J$14,B20,'Financiamiento(N)'!$I$10:$I$14)</f>
        <v>0</v>
      </c>
      <c r="F20" s="293">
        <f>+C20+D20-E20</f>
        <v>22319567</v>
      </c>
      <c r="H20" s="19"/>
      <c r="I20" s="214"/>
      <c r="J20" s="214"/>
      <c r="K20" s="214"/>
      <c r="L20" s="214"/>
      <c r="M20" s="214"/>
      <c r="N20" s="214"/>
      <c r="O20" s="214"/>
      <c r="P20" s="214"/>
      <c r="Q20" s="214"/>
    </row>
    <row r="21" spans="2:17" s="221" customFormat="1" ht="20.100000000000001" customHeight="1" x14ac:dyDescent="0.25">
      <c r="B21" s="241" t="str">
        <f>+Rótulos!G34</f>
        <v>AUSTRAL EQUIP</v>
      </c>
      <c r="C21" s="294">
        <v>0</v>
      </c>
      <c r="D21" s="211">
        <v>7420767</v>
      </c>
      <c r="E21" s="211">
        <f>SUMIF('Financiamiento(N)'!$J$10:$J$14,B21,'Financiamiento(N)'!$I$10:$I$14)</f>
        <v>0</v>
      </c>
      <c r="F21" s="245">
        <f>+C21+D21-E21</f>
        <v>7420767</v>
      </c>
      <c r="H21" s="19"/>
      <c r="I21" s="214"/>
      <c r="J21" s="214"/>
      <c r="K21" s="214"/>
      <c r="L21" s="214"/>
      <c r="M21" s="214"/>
      <c r="N21" s="214"/>
      <c r="O21" s="214"/>
      <c r="P21" s="214"/>
      <c r="Q21" s="214"/>
    </row>
    <row r="22" spans="2:17" s="34" customFormat="1" ht="20.100000000000001" customHeight="1" thickBot="1" x14ac:dyDescent="0.3">
      <c r="B22" s="284" t="s">
        <v>106</v>
      </c>
      <c r="C22" s="285">
        <f>SUM(C12:C21)</f>
        <v>7849595.953999998</v>
      </c>
      <c r="D22" s="286">
        <f>SUM(D12:D21)</f>
        <v>46052451.18</v>
      </c>
      <c r="E22" s="286">
        <f>SUM(E12:E21)</f>
        <v>0</v>
      </c>
      <c r="F22" s="287">
        <f>SUM(F12:F21)</f>
        <v>53902047.133999996</v>
      </c>
      <c r="H22" s="208"/>
      <c r="I22" s="137"/>
      <c r="J22"/>
      <c r="K22" s="137"/>
      <c r="L22"/>
      <c r="M22"/>
      <c r="N22"/>
      <c r="O22"/>
      <c r="P22"/>
      <c r="Q22"/>
    </row>
    <row r="23" spans="2:17" x14ac:dyDescent="0.25">
      <c r="G23" s="34"/>
    </row>
    <row r="24" spans="2:17" ht="15.75" thickBot="1" x14ac:dyDescent="0.3">
      <c r="G24" s="34"/>
    </row>
    <row r="25" spans="2:17" ht="17.100000000000001" customHeight="1" thickBot="1" x14ac:dyDescent="0.3">
      <c r="B25" s="320" t="s">
        <v>217</v>
      </c>
      <c r="C25" s="321"/>
      <c r="D25" s="321"/>
      <c r="E25" s="322"/>
      <c r="G25" s="34"/>
    </row>
    <row r="26" spans="2:17" ht="27" customHeight="1" x14ac:dyDescent="0.25">
      <c r="B26" s="90" t="s">
        <v>27</v>
      </c>
      <c r="C26" s="98" t="s">
        <v>121</v>
      </c>
      <c r="D26" s="91" t="s">
        <v>206</v>
      </c>
      <c r="E26" s="92" t="s">
        <v>122</v>
      </c>
    </row>
    <row r="27" spans="2:17" s="214" customFormat="1" x14ac:dyDescent="0.25">
      <c r="B27" s="290" t="s">
        <v>199</v>
      </c>
      <c r="C27" s="291">
        <f>+F12</f>
        <v>3280688.12</v>
      </c>
      <c r="D27" s="292">
        <f>SUMIF('Financiamiento(N)'!$J$10:$J$14,B27,'Financiamiento(N)'!$H$10:$H$14)</f>
        <v>0</v>
      </c>
      <c r="E27" s="292">
        <f t="shared" ref="E27:E35" si="1">+C27-D27</f>
        <v>3280688.12</v>
      </c>
      <c r="F27" s="144"/>
      <c r="H27"/>
      <c r="I27"/>
      <c r="J27"/>
      <c r="K27"/>
      <c r="L27"/>
      <c r="M27"/>
      <c r="N27"/>
      <c r="O27"/>
    </row>
    <row r="28" spans="2:17" s="34" customFormat="1" ht="20.100000000000001" customHeight="1" x14ac:dyDescent="0.25">
      <c r="B28" s="241" t="s">
        <v>200</v>
      </c>
      <c r="C28" s="294">
        <f>+F13</f>
        <v>99230.784000000451</v>
      </c>
      <c r="D28" s="211">
        <f>SUMIF('Financiamiento(N)'!$J$10:$J$14,B28,'Financiamiento(N)'!$H$10:$H$14)</f>
        <v>0</v>
      </c>
      <c r="E28" s="211">
        <f t="shared" si="1"/>
        <v>99230.784000000451</v>
      </c>
      <c r="H28"/>
      <c r="I28"/>
      <c r="J28"/>
      <c r="K28"/>
      <c r="L28"/>
      <c r="M28"/>
      <c r="N28"/>
      <c r="O28"/>
      <c r="P28"/>
      <c r="Q28"/>
    </row>
    <row r="29" spans="2:17" s="34" customFormat="1" ht="20.100000000000001" customHeight="1" x14ac:dyDescent="0.25">
      <c r="B29" s="290" t="s">
        <v>189</v>
      </c>
      <c r="C29" s="291">
        <f t="shared" ref="C29:C34" si="2">+F14</f>
        <v>1921352.2200000007</v>
      </c>
      <c r="D29" s="292">
        <f>SUMIF('Financiamiento(N)'!$J$10:$J$14,B29,'Financiamiento(N)'!$H$10:$H$14)</f>
        <v>0</v>
      </c>
      <c r="E29" s="292">
        <f t="shared" si="1"/>
        <v>1921352.2200000007</v>
      </c>
      <c r="H29"/>
      <c r="I29"/>
      <c r="J29" s="30"/>
      <c r="K29" t="s">
        <v>238</v>
      </c>
      <c r="L29" s="30">
        <f>+E29+E31+E32+E33</f>
        <v>9579527.879999999</v>
      </c>
      <c r="M29"/>
      <c r="N29"/>
      <c r="O29"/>
      <c r="P29"/>
      <c r="Q29"/>
    </row>
    <row r="30" spans="2:17" s="34" customFormat="1" ht="20.100000000000001" customHeight="1" x14ac:dyDescent="0.25">
      <c r="B30" s="241" t="s">
        <v>208</v>
      </c>
      <c r="C30" s="294">
        <f t="shared" si="2"/>
        <v>153826.61999999918</v>
      </c>
      <c r="D30" s="211">
        <f>SUMIF('Financiamiento(N)'!$J$10:$J$14,B30,'Financiamiento(N)'!$H$10:$H$14)</f>
        <v>0</v>
      </c>
      <c r="E30" s="211">
        <f t="shared" si="1"/>
        <v>153826.61999999918</v>
      </c>
      <c r="H30"/>
      <c r="I30"/>
      <c r="J30"/>
      <c r="K30" t="s">
        <v>239</v>
      </c>
      <c r="L30" s="30">
        <f>+E28+E30+E34</f>
        <v>11301497.133999998</v>
      </c>
      <c r="M30"/>
      <c r="N30"/>
      <c r="O30"/>
      <c r="P30"/>
      <c r="Q30"/>
    </row>
    <row r="31" spans="2:17" s="221" customFormat="1" ht="20.100000000000001" customHeight="1" x14ac:dyDescent="0.25">
      <c r="B31" s="290" t="s">
        <v>191</v>
      </c>
      <c r="C31" s="291">
        <f t="shared" si="2"/>
        <v>613725.33000000031</v>
      </c>
      <c r="D31" s="292">
        <f>SUMIF('Financiamiento(N)'!$J$10:$J$14,B31,'Financiamiento(N)'!$H$10:$H$14)</f>
        <v>0</v>
      </c>
      <c r="E31" s="292">
        <f t="shared" si="1"/>
        <v>613725.33000000031</v>
      </c>
      <c r="F31" s="144"/>
      <c r="G31" s="269"/>
      <c r="H31"/>
      <c r="I31"/>
      <c r="J31" s="30"/>
      <c r="K31"/>
      <c r="L31"/>
      <c r="M31"/>
      <c r="N31"/>
      <c r="O31"/>
      <c r="P31"/>
      <c r="Q31"/>
    </row>
    <row r="32" spans="2:17" s="34" customFormat="1" ht="20.100000000000001" customHeight="1" x14ac:dyDescent="0.25">
      <c r="B32" s="241" t="s">
        <v>216</v>
      </c>
      <c r="C32" s="294">
        <f t="shared" si="2"/>
        <v>8099.9999999987776</v>
      </c>
      <c r="D32" s="211">
        <f>SUMIF('Financiamiento(N)'!$J$10:$J$14,B32,'Financiamiento(N)'!$H$10:$H$14)</f>
        <v>0</v>
      </c>
      <c r="E32" s="211">
        <f t="shared" si="1"/>
        <v>8099.9999999987776</v>
      </c>
      <c r="G32" s="213"/>
      <c r="H32"/>
      <c r="I32"/>
      <c r="J32"/>
      <c r="K32"/>
      <c r="L32" s="30"/>
      <c r="M32"/>
      <c r="N32"/>
      <c r="O32"/>
      <c r="P32"/>
      <c r="Q32"/>
    </row>
    <row r="33" spans="2:17" s="34" customFormat="1" ht="20.100000000000001" customHeight="1" x14ac:dyDescent="0.25">
      <c r="B33" s="290" t="s">
        <v>222</v>
      </c>
      <c r="C33" s="291">
        <f t="shared" si="2"/>
        <v>7036350.3300000001</v>
      </c>
      <c r="D33" s="292">
        <f>SUMIF('Financiamiento(N)'!$J$10:$J$14,B33,'Financiamiento(N)'!$H$10:$H$14)</f>
        <v>0</v>
      </c>
      <c r="E33" s="292">
        <f t="shared" si="1"/>
        <v>7036350.3300000001</v>
      </c>
      <c r="G33" s="19"/>
      <c r="H33"/>
      <c r="I33"/>
      <c r="J33"/>
      <c r="K33" t="s">
        <v>240</v>
      </c>
      <c r="L33" s="30">
        <f>+E36</f>
        <v>22319567</v>
      </c>
      <c r="M33"/>
      <c r="N33"/>
      <c r="O33"/>
      <c r="P33"/>
      <c r="Q33"/>
    </row>
    <row r="34" spans="2:17" s="221" customFormat="1" ht="20.100000000000001" customHeight="1" x14ac:dyDescent="0.25">
      <c r="B34" s="241" t="s">
        <v>224</v>
      </c>
      <c r="C34" s="294">
        <f t="shared" si="2"/>
        <v>11048439.729999999</v>
      </c>
      <c r="D34" s="211">
        <f>SUMIF('Financiamiento(N)'!$J$10:$J$14,B34,'Financiamiento(N)'!$H$10:$H$14)</f>
        <v>0</v>
      </c>
      <c r="E34" s="211">
        <f t="shared" si="1"/>
        <v>11048439.729999999</v>
      </c>
      <c r="G34" s="19"/>
      <c r="H34"/>
      <c r="I34"/>
      <c r="J34"/>
      <c r="K34" t="s">
        <v>240</v>
      </c>
      <c r="L34" s="30">
        <f>+E37</f>
        <v>7420767</v>
      </c>
      <c r="M34"/>
      <c r="N34"/>
      <c r="O34"/>
      <c r="P34"/>
      <c r="Q34"/>
    </row>
    <row r="35" spans="2:17" s="221" customFormat="1" ht="20.100000000000001" customHeight="1" x14ac:dyDescent="0.25">
      <c r="B35" s="290" t="s">
        <v>170</v>
      </c>
      <c r="C35" s="291">
        <v>0</v>
      </c>
      <c r="D35" s="292" t="e">
        <f>+'Financiamiento(N)'!#REF!-'Financiamiento(N)'!#REF!</f>
        <v>#REF!</v>
      </c>
      <c r="E35" s="292" t="e">
        <f t="shared" si="1"/>
        <v>#REF!</v>
      </c>
      <c r="G35" s="19"/>
      <c r="H35"/>
      <c r="I35"/>
      <c r="J35"/>
      <c r="K35"/>
      <c r="L35"/>
      <c r="M35"/>
      <c r="N35"/>
      <c r="O35"/>
      <c r="P35"/>
      <c r="Q35"/>
    </row>
    <row r="36" spans="2:17" s="221" customFormat="1" ht="20.100000000000001" customHeight="1" x14ac:dyDescent="0.25">
      <c r="B36" s="241" t="str">
        <f>+Rótulos!G35</f>
        <v>COMP AUSTRAL FUNC</v>
      </c>
      <c r="C36" s="294">
        <f>+F20</f>
        <v>22319567</v>
      </c>
      <c r="D36" s="211">
        <f>SUMIF('Financiamiento(N)'!$J$10:$J$14,B36,'Financiamiento(N)'!$H$10:$H$14)</f>
        <v>0</v>
      </c>
      <c r="E36" s="211">
        <f>+C36-D36</f>
        <v>22319567</v>
      </c>
      <c r="G36" s="19"/>
      <c r="H36" s="214"/>
      <c r="I36" s="214"/>
      <c r="J36" s="214"/>
      <c r="K36" s="214"/>
      <c r="L36" s="214"/>
      <c r="M36" s="214"/>
      <c r="N36" s="214"/>
      <c r="O36" s="214"/>
      <c r="P36" s="214"/>
      <c r="Q36" s="214"/>
    </row>
    <row r="37" spans="2:17" s="221" customFormat="1" ht="20.100000000000001" customHeight="1" thickBot="1" x14ac:dyDescent="0.3">
      <c r="B37" s="290" t="str">
        <f>+Rótulos!G36</f>
        <v>COMP AUSTRAL EQUIP</v>
      </c>
      <c r="C37" s="291">
        <f>+F21</f>
        <v>7420767</v>
      </c>
      <c r="D37" s="292">
        <f>SUMIF('Financiamiento(N)'!$J$10:$J$14,B37,'Financiamiento(N)'!$H$10:$H$14)</f>
        <v>0</v>
      </c>
      <c r="E37" s="292">
        <f>+C37-D37</f>
        <v>7420767</v>
      </c>
      <c r="G37" s="19"/>
      <c r="H37" s="214"/>
      <c r="I37" s="214"/>
      <c r="J37" s="214"/>
      <c r="K37" s="214"/>
      <c r="L37" s="214"/>
      <c r="M37" s="214"/>
      <c r="N37" s="214"/>
      <c r="O37" s="214"/>
      <c r="P37" s="214"/>
      <c r="Q37" s="214"/>
    </row>
    <row r="38" spans="2:17" s="34" customFormat="1" ht="20.100000000000001" customHeight="1" thickBot="1" x14ac:dyDescent="0.3">
      <c r="B38" s="99" t="s">
        <v>106</v>
      </c>
      <c r="C38" s="102">
        <f>SUM(C27:C37)</f>
        <v>53902047.133999996</v>
      </c>
      <c r="D38" s="97" t="e">
        <f>SUM(D27:D37)</f>
        <v>#REF!</v>
      </c>
      <c r="E38" s="100" t="e">
        <f>SUM(E27:E37)</f>
        <v>#REF!</v>
      </c>
      <c r="F38"/>
      <c r="H38"/>
      <c r="I38"/>
      <c r="J38"/>
      <c r="K38"/>
      <c r="L38"/>
      <c r="M38"/>
      <c r="N38"/>
      <c r="O38"/>
      <c r="P38"/>
      <c r="Q38"/>
    </row>
    <row r="39" spans="2:17" s="34" customFormat="1" ht="20.100000000000001" customHeight="1" thickBot="1" x14ac:dyDescent="0.3">
      <c r="F39" s="101"/>
      <c r="G39"/>
      <c r="H39"/>
      <c r="I39"/>
      <c r="J39"/>
      <c r="K39"/>
      <c r="L39"/>
      <c r="M39"/>
      <c r="N39"/>
      <c r="O39"/>
      <c r="P39"/>
      <c r="Q39"/>
    </row>
    <row r="40" spans="2:17" ht="15.75" thickBot="1" x14ac:dyDescent="0.3">
      <c r="B40" s="114" t="s">
        <v>141</v>
      </c>
      <c r="C40" s="115" t="e">
        <f>IF(E22+D38='Financiamiento(N)'!H15,E22+D38,"ERROR")</f>
        <v>#REF!</v>
      </c>
      <c r="D40" s="33"/>
      <c r="E40" s="33"/>
      <c r="F40" s="33"/>
    </row>
    <row r="42" spans="2:17" ht="15.75" thickBot="1" x14ac:dyDescent="0.3"/>
    <row r="43" spans="2:17" ht="15.75" thickBot="1" x14ac:dyDescent="0.3">
      <c r="B43" s="251" t="e">
        <f>+E22+D38</f>
        <v>#REF!</v>
      </c>
      <c r="C43" s="252">
        <f>+'Financiamiento(N)'!H15</f>
        <v>0</v>
      </c>
      <c r="D43" s="253" t="e">
        <f>+B43-C43</f>
        <v>#REF!</v>
      </c>
    </row>
    <row r="48" spans="2:17" x14ac:dyDescent="0.25">
      <c r="E48" s="30"/>
      <c r="F48" s="30"/>
    </row>
    <row r="49" spans="5:6" x14ac:dyDescent="0.25">
      <c r="E49" s="30"/>
      <c r="F49" s="30"/>
    </row>
    <row r="51" spans="5:6" x14ac:dyDescent="0.25">
      <c r="E51" s="30"/>
      <c r="F51" s="30"/>
    </row>
    <row r="52" spans="5:6" x14ac:dyDescent="0.25">
      <c r="E52" s="30"/>
      <c r="F52" s="30"/>
    </row>
    <row r="56" spans="5:6" x14ac:dyDescent="0.25">
      <c r="E56" s="30"/>
      <c r="F56" s="30"/>
    </row>
    <row r="57" spans="5:6" x14ac:dyDescent="0.25">
      <c r="E57" s="30"/>
      <c r="F57" s="30"/>
    </row>
    <row r="165" spans="2:3" ht="15.75" thickBot="1" x14ac:dyDescent="0.3"/>
    <row r="166" spans="2:3" ht="15.75" thickBot="1" x14ac:dyDescent="0.3">
      <c r="B166" s="323" t="s">
        <v>173</v>
      </c>
      <c r="C166" s="324"/>
    </row>
    <row r="167" spans="2:3" ht="15.75" thickBot="1" x14ac:dyDescent="0.3">
      <c r="B167" s="153" t="e">
        <f>#REF!+E32</f>
        <v>#REF!</v>
      </c>
      <c r="C167" s="154" t="e">
        <f>IF(B167&gt;=500000,Rótulos!P16,Rótulos!P17)</f>
        <v>#REF!</v>
      </c>
    </row>
  </sheetData>
  <mergeCells count="3">
    <mergeCell ref="B10:F10"/>
    <mergeCell ref="B25:E25"/>
    <mergeCell ref="B166:C166"/>
  </mergeCells>
  <conditionalFormatting sqref="B167">
    <cfRule type="cellIs" dxfId="9" priority="1" operator="greaterThan">
      <formula>500000</formula>
    </cfRule>
    <cfRule type="cellIs" dxfId="8" priority="2" operator="lessThan">
      <formula>500000</formula>
    </cfRule>
    <cfRule type="cellIs" dxfId="7" priority="3" operator="greaterThan">
      <formula>"$ 1.477.228,18"</formula>
    </cfRule>
  </conditionalFormatting>
  <pageMargins left="0.7" right="0.7" top="0.75" bottom="0.75" header="0.3" footer="0.3"/>
  <pageSetup paperSize="9" orientation="portrait" r:id="rId1"/>
  <ignoredErrors>
    <ignoredError sqref="D3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"/>
  <sheetViews>
    <sheetView workbookViewId="0">
      <selection activeCell="N13" sqref="N13"/>
    </sheetView>
  </sheetViews>
  <sheetFormatPr baseColWidth="10" defaultRowHeight="15" x14ac:dyDescent="0.25"/>
  <cols>
    <col min="1" max="16384" width="11.42578125" style="316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WVL289"/>
  <sheetViews>
    <sheetView zoomScale="60" zoomScaleNormal="60" workbookViewId="0">
      <pane xSplit="4" ySplit="9" topLeftCell="E10" activePane="bottomRight" state="frozen"/>
      <selection pane="topRight" activeCell="F1" sqref="F1"/>
      <selection pane="bottomLeft" activeCell="A8" sqref="A8"/>
      <selection pane="bottomRight" sqref="A1:XFD1048576"/>
    </sheetView>
  </sheetViews>
  <sheetFormatPr baseColWidth="10" defaultRowHeight="15" x14ac:dyDescent="0.25"/>
  <cols>
    <col min="1" max="1" width="7.7109375" style="4" bestFit="1" customWidth="1"/>
    <col min="2" max="2" width="20.5703125" style="32" customWidth="1"/>
    <col min="3" max="3" width="21.5703125" style="32" customWidth="1"/>
    <col min="4" max="4" width="26.5703125" style="32" bestFit="1" customWidth="1"/>
    <col min="5" max="5" width="43" style="32" bestFit="1" customWidth="1"/>
    <col min="6" max="6" width="70.28515625" style="303" customWidth="1"/>
    <col min="7" max="7" width="20.85546875" style="4" customWidth="1"/>
    <col min="8" max="8" width="18.85546875" style="16" customWidth="1"/>
    <col min="9" max="9" width="20.42578125" style="3" bestFit="1" customWidth="1"/>
    <col min="10" max="10" width="28.85546875" style="3" customWidth="1"/>
    <col min="11" max="11" width="38.42578125" style="32" customWidth="1"/>
    <col min="12" max="12" width="15.85546875" style="32" customWidth="1"/>
    <col min="13" max="13" width="14.7109375" style="32" customWidth="1"/>
    <col min="14" max="14" width="15.85546875" style="32" customWidth="1"/>
    <col min="15" max="15" width="20.140625" style="32" bestFit="1" customWidth="1"/>
    <col min="16" max="16" width="21.7109375" style="32" customWidth="1"/>
    <col min="17" max="17" width="17.5703125" style="32" customWidth="1"/>
    <col min="18" max="19" width="14.42578125" style="32" customWidth="1"/>
    <col min="20" max="20" width="22.7109375" style="32" bestFit="1" customWidth="1"/>
    <col min="21" max="31" width="11.42578125" style="1"/>
    <col min="32" max="32" width="15.42578125" style="1" bestFit="1" customWidth="1"/>
    <col min="33" max="33" width="11.42578125" style="1"/>
    <col min="34" max="34" width="13" style="1" bestFit="1" customWidth="1"/>
    <col min="35" max="41" width="11.42578125" style="1"/>
    <col min="252" max="252" width="11.42578125" customWidth="1"/>
    <col min="253" max="253" width="16.7109375" bestFit="1" customWidth="1"/>
    <col min="254" max="254" width="17.42578125" customWidth="1"/>
    <col min="255" max="255" width="15.85546875" customWidth="1"/>
    <col min="256" max="256" width="15.7109375" customWidth="1"/>
    <col min="257" max="257" width="24.140625" customWidth="1"/>
    <col min="258" max="258" width="18" bestFit="1" customWidth="1"/>
    <col min="259" max="259" width="48.5703125" bestFit="1" customWidth="1"/>
    <col min="260" max="260" width="71.28515625" bestFit="1" customWidth="1"/>
    <col min="261" max="262" width="0" hidden="1" customWidth="1"/>
    <col min="263" max="263" width="15" customWidth="1"/>
    <col min="264" max="264" width="15.7109375" customWidth="1"/>
    <col min="265" max="265" width="12.28515625" customWidth="1"/>
    <col min="266" max="266" width="14.140625" customWidth="1"/>
    <col min="267" max="268" width="15.85546875" customWidth="1"/>
    <col min="269" max="269" width="10.7109375" customWidth="1"/>
    <col min="270" max="270" width="15" customWidth="1"/>
    <col min="272" max="272" width="24.85546875" customWidth="1"/>
    <col min="508" max="508" width="11.42578125" customWidth="1"/>
    <col min="509" max="509" width="16.7109375" bestFit="1" customWidth="1"/>
    <col min="510" max="510" width="17.42578125" customWidth="1"/>
    <col min="511" max="511" width="15.85546875" customWidth="1"/>
    <col min="512" max="512" width="15.7109375" customWidth="1"/>
    <col min="513" max="513" width="24.140625" customWidth="1"/>
    <col min="514" max="514" width="18" bestFit="1" customWidth="1"/>
    <col min="515" max="515" width="48.5703125" bestFit="1" customWidth="1"/>
    <col min="516" max="516" width="71.28515625" bestFit="1" customWidth="1"/>
    <col min="517" max="518" width="0" hidden="1" customWidth="1"/>
    <col min="519" max="519" width="15" customWidth="1"/>
    <col min="520" max="520" width="15.7109375" customWidth="1"/>
    <col min="521" max="521" width="12.28515625" customWidth="1"/>
    <col min="522" max="522" width="14.140625" customWidth="1"/>
    <col min="523" max="524" width="15.85546875" customWidth="1"/>
    <col min="525" max="525" width="10.7109375" customWidth="1"/>
    <col min="526" max="526" width="15" customWidth="1"/>
    <col min="528" max="528" width="24.85546875" customWidth="1"/>
    <col min="764" max="764" width="11.42578125" customWidth="1"/>
    <col min="765" max="765" width="16.7109375" bestFit="1" customWidth="1"/>
    <col min="766" max="766" width="17.42578125" customWidth="1"/>
    <col min="767" max="767" width="15.85546875" customWidth="1"/>
    <col min="768" max="768" width="15.7109375" customWidth="1"/>
    <col min="769" max="769" width="24.140625" customWidth="1"/>
    <col min="770" max="770" width="18" bestFit="1" customWidth="1"/>
    <col min="771" max="771" width="48.5703125" bestFit="1" customWidth="1"/>
    <col min="772" max="772" width="71.28515625" bestFit="1" customWidth="1"/>
    <col min="773" max="774" width="0" hidden="1" customWidth="1"/>
    <col min="775" max="775" width="15" customWidth="1"/>
    <col min="776" max="776" width="15.7109375" customWidth="1"/>
    <col min="777" max="777" width="12.28515625" customWidth="1"/>
    <col min="778" max="778" width="14.140625" customWidth="1"/>
    <col min="779" max="780" width="15.85546875" customWidth="1"/>
    <col min="781" max="781" width="10.7109375" customWidth="1"/>
    <col min="782" max="782" width="15" customWidth="1"/>
    <col min="784" max="784" width="24.85546875" customWidth="1"/>
    <col min="1020" max="1020" width="11.42578125" customWidth="1"/>
    <col min="1021" max="1021" width="16.7109375" bestFit="1" customWidth="1"/>
    <col min="1022" max="1022" width="17.42578125" customWidth="1"/>
    <col min="1023" max="1023" width="15.85546875" customWidth="1"/>
    <col min="1024" max="1024" width="15.7109375" customWidth="1"/>
    <col min="1025" max="1025" width="24.140625" customWidth="1"/>
    <col min="1026" max="1026" width="18" bestFit="1" customWidth="1"/>
    <col min="1027" max="1027" width="48.5703125" bestFit="1" customWidth="1"/>
    <col min="1028" max="1028" width="71.28515625" bestFit="1" customWidth="1"/>
    <col min="1029" max="1030" width="0" hidden="1" customWidth="1"/>
    <col min="1031" max="1031" width="15" customWidth="1"/>
    <col min="1032" max="1032" width="15.7109375" customWidth="1"/>
    <col min="1033" max="1033" width="12.28515625" customWidth="1"/>
    <col min="1034" max="1034" width="14.140625" customWidth="1"/>
    <col min="1035" max="1036" width="15.85546875" customWidth="1"/>
    <col min="1037" max="1037" width="10.7109375" customWidth="1"/>
    <col min="1038" max="1038" width="15" customWidth="1"/>
    <col min="1040" max="1040" width="24.85546875" customWidth="1"/>
    <col min="1276" max="1276" width="11.42578125" customWidth="1"/>
    <col min="1277" max="1277" width="16.7109375" bestFit="1" customWidth="1"/>
    <col min="1278" max="1278" width="17.42578125" customWidth="1"/>
    <col min="1279" max="1279" width="15.85546875" customWidth="1"/>
    <col min="1280" max="1280" width="15.7109375" customWidth="1"/>
    <col min="1281" max="1281" width="24.140625" customWidth="1"/>
    <col min="1282" max="1282" width="18" bestFit="1" customWidth="1"/>
    <col min="1283" max="1283" width="48.5703125" bestFit="1" customWidth="1"/>
    <col min="1284" max="1284" width="71.28515625" bestFit="1" customWidth="1"/>
    <col min="1285" max="1286" width="0" hidden="1" customWidth="1"/>
    <col min="1287" max="1287" width="15" customWidth="1"/>
    <col min="1288" max="1288" width="15.7109375" customWidth="1"/>
    <col min="1289" max="1289" width="12.28515625" customWidth="1"/>
    <col min="1290" max="1290" width="14.140625" customWidth="1"/>
    <col min="1291" max="1292" width="15.85546875" customWidth="1"/>
    <col min="1293" max="1293" width="10.7109375" customWidth="1"/>
    <col min="1294" max="1294" width="15" customWidth="1"/>
    <col min="1296" max="1296" width="24.85546875" customWidth="1"/>
    <col min="1532" max="1532" width="11.42578125" customWidth="1"/>
    <col min="1533" max="1533" width="16.7109375" bestFit="1" customWidth="1"/>
    <col min="1534" max="1534" width="17.42578125" customWidth="1"/>
    <col min="1535" max="1535" width="15.85546875" customWidth="1"/>
    <col min="1536" max="1536" width="15.7109375" customWidth="1"/>
    <col min="1537" max="1537" width="24.140625" customWidth="1"/>
    <col min="1538" max="1538" width="18" bestFit="1" customWidth="1"/>
    <col min="1539" max="1539" width="48.5703125" bestFit="1" customWidth="1"/>
    <col min="1540" max="1540" width="71.28515625" bestFit="1" customWidth="1"/>
    <col min="1541" max="1542" width="0" hidden="1" customWidth="1"/>
    <col min="1543" max="1543" width="15" customWidth="1"/>
    <col min="1544" max="1544" width="15.7109375" customWidth="1"/>
    <col min="1545" max="1545" width="12.28515625" customWidth="1"/>
    <col min="1546" max="1546" width="14.140625" customWidth="1"/>
    <col min="1547" max="1548" width="15.85546875" customWidth="1"/>
    <col min="1549" max="1549" width="10.7109375" customWidth="1"/>
    <col min="1550" max="1550" width="15" customWidth="1"/>
    <col min="1552" max="1552" width="24.85546875" customWidth="1"/>
    <col min="1788" max="1788" width="11.42578125" customWidth="1"/>
    <col min="1789" max="1789" width="16.7109375" bestFit="1" customWidth="1"/>
    <col min="1790" max="1790" width="17.42578125" customWidth="1"/>
    <col min="1791" max="1791" width="15.85546875" customWidth="1"/>
    <col min="1792" max="1792" width="15.7109375" customWidth="1"/>
    <col min="1793" max="1793" width="24.140625" customWidth="1"/>
    <col min="1794" max="1794" width="18" bestFit="1" customWidth="1"/>
    <col min="1795" max="1795" width="48.5703125" bestFit="1" customWidth="1"/>
    <col min="1796" max="1796" width="71.28515625" bestFit="1" customWidth="1"/>
    <col min="1797" max="1798" width="0" hidden="1" customWidth="1"/>
    <col min="1799" max="1799" width="15" customWidth="1"/>
    <col min="1800" max="1800" width="15.7109375" customWidth="1"/>
    <col min="1801" max="1801" width="12.28515625" customWidth="1"/>
    <col min="1802" max="1802" width="14.140625" customWidth="1"/>
    <col min="1803" max="1804" width="15.85546875" customWidth="1"/>
    <col min="1805" max="1805" width="10.7109375" customWidth="1"/>
    <col min="1806" max="1806" width="15" customWidth="1"/>
    <col min="1808" max="1808" width="24.85546875" customWidth="1"/>
    <col min="2044" max="2044" width="11.42578125" customWidth="1"/>
    <col min="2045" max="2045" width="16.7109375" bestFit="1" customWidth="1"/>
    <col min="2046" max="2046" width="17.42578125" customWidth="1"/>
    <col min="2047" max="2047" width="15.85546875" customWidth="1"/>
    <col min="2048" max="2048" width="15.7109375" customWidth="1"/>
    <col min="2049" max="2049" width="24.140625" customWidth="1"/>
    <col min="2050" max="2050" width="18" bestFit="1" customWidth="1"/>
    <col min="2051" max="2051" width="48.5703125" bestFit="1" customWidth="1"/>
    <col min="2052" max="2052" width="71.28515625" bestFit="1" customWidth="1"/>
    <col min="2053" max="2054" width="0" hidden="1" customWidth="1"/>
    <col min="2055" max="2055" width="15" customWidth="1"/>
    <col min="2056" max="2056" width="15.7109375" customWidth="1"/>
    <col min="2057" max="2057" width="12.28515625" customWidth="1"/>
    <col min="2058" max="2058" width="14.140625" customWidth="1"/>
    <col min="2059" max="2060" width="15.85546875" customWidth="1"/>
    <col min="2061" max="2061" width="10.7109375" customWidth="1"/>
    <col min="2062" max="2062" width="15" customWidth="1"/>
    <col min="2064" max="2064" width="24.85546875" customWidth="1"/>
    <col min="2300" max="2300" width="11.42578125" customWidth="1"/>
    <col min="2301" max="2301" width="16.7109375" bestFit="1" customWidth="1"/>
    <col min="2302" max="2302" width="17.42578125" customWidth="1"/>
    <col min="2303" max="2303" width="15.85546875" customWidth="1"/>
    <col min="2304" max="2304" width="15.7109375" customWidth="1"/>
    <col min="2305" max="2305" width="24.140625" customWidth="1"/>
    <col min="2306" max="2306" width="18" bestFit="1" customWidth="1"/>
    <col min="2307" max="2307" width="48.5703125" bestFit="1" customWidth="1"/>
    <col min="2308" max="2308" width="71.28515625" bestFit="1" customWidth="1"/>
    <col min="2309" max="2310" width="0" hidden="1" customWidth="1"/>
    <col min="2311" max="2311" width="15" customWidth="1"/>
    <col min="2312" max="2312" width="15.7109375" customWidth="1"/>
    <col min="2313" max="2313" width="12.28515625" customWidth="1"/>
    <col min="2314" max="2314" width="14.140625" customWidth="1"/>
    <col min="2315" max="2316" width="15.85546875" customWidth="1"/>
    <col min="2317" max="2317" width="10.7109375" customWidth="1"/>
    <col min="2318" max="2318" width="15" customWidth="1"/>
    <col min="2320" max="2320" width="24.85546875" customWidth="1"/>
    <col min="2556" max="2556" width="11.42578125" customWidth="1"/>
    <col min="2557" max="2557" width="16.7109375" bestFit="1" customWidth="1"/>
    <col min="2558" max="2558" width="17.42578125" customWidth="1"/>
    <col min="2559" max="2559" width="15.85546875" customWidth="1"/>
    <col min="2560" max="2560" width="15.7109375" customWidth="1"/>
    <col min="2561" max="2561" width="24.140625" customWidth="1"/>
    <col min="2562" max="2562" width="18" bestFit="1" customWidth="1"/>
    <col min="2563" max="2563" width="48.5703125" bestFit="1" customWidth="1"/>
    <col min="2564" max="2564" width="71.28515625" bestFit="1" customWidth="1"/>
    <col min="2565" max="2566" width="0" hidden="1" customWidth="1"/>
    <col min="2567" max="2567" width="15" customWidth="1"/>
    <col min="2568" max="2568" width="15.7109375" customWidth="1"/>
    <col min="2569" max="2569" width="12.28515625" customWidth="1"/>
    <col min="2570" max="2570" width="14.140625" customWidth="1"/>
    <col min="2571" max="2572" width="15.85546875" customWidth="1"/>
    <col min="2573" max="2573" width="10.7109375" customWidth="1"/>
    <col min="2574" max="2574" width="15" customWidth="1"/>
    <col min="2576" max="2576" width="24.85546875" customWidth="1"/>
    <col min="2812" max="2812" width="11.42578125" customWidth="1"/>
    <col min="2813" max="2813" width="16.7109375" bestFit="1" customWidth="1"/>
    <col min="2814" max="2814" width="17.42578125" customWidth="1"/>
    <col min="2815" max="2815" width="15.85546875" customWidth="1"/>
    <col min="2816" max="2816" width="15.7109375" customWidth="1"/>
    <col min="2817" max="2817" width="24.140625" customWidth="1"/>
    <col min="2818" max="2818" width="18" bestFit="1" customWidth="1"/>
    <col min="2819" max="2819" width="48.5703125" bestFit="1" customWidth="1"/>
    <col min="2820" max="2820" width="71.28515625" bestFit="1" customWidth="1"/>
    <col min="2821" max="2822" width="0" hidden="1" customWidth="1"/>
    <col min="2823" max="2823" width="15" customWidth="1"/>
    <col min="2824" max="2824" width="15.7109375" customWidth="1"/>
    <col min="2825" max="2825" width="12.28515625" customWidth="1"/>
    <col min="2826" max="2826" width="14.140625" customWidth="1"/>
    <col min="2827" max="2828" width="15.85546875" customWidth="1"/>
    <col min="2829" max="2829" width="10.7109375" customWidth="1"/>
    <col min="2830" max="2830" width="15" customWidth="1"/>
    <col min="2832" max="2832" width="24.85546875" customWidth="1"/>
    <col min="3068" max="3068" width="11.42578125" customWidth="1"/>
    <col min="3069" max="3069" width="16.7109375" bestFit="1" customWidth="1"/>
    <col min="3070" max="3070" width="17.42578125" customWidth="1"/>
    <col min="3071" max="3071" width="15.85546875" customWidth="1"/>
    <col min="3072" max="3072" width="15.7109375" customWidth="1"/>
    <col min="3073" max="3073" width="24.140625" customWidth="1"/>
    <col min="3074" max="3074" width="18" bestFit="1" customWidth="1"/>
    <col min="3075" max="3075" width="48.5703125" bestFit="1" customWidth="1"/>
    <col min="3076" max="3076" width="71.28515625" bestFit="1" customWidth="1"/>
    <col min="3077" max="3078" width="0" hidden="1" customWidth="1"/>
    <col min="3079" max="3079" width="15" customWidth="1"/>
    <col min="3080" max="3080" width="15.7109375" customWidth="1"/>
    <col min="3081" max="3081" width="12.28515625" customWidth="1"/>
    <col min="3082" max="3082" width="14.140625" customWidth="1"/>
    <col min="3083" max="3084" width="15.85546875" customWidth="1"/>
    <col min="3085" max="3085" width="10.7109375" customWidth="1"/>
    <col min="3086" max="3086" width="15" customWidth="1"/>
    <col min="3088" max="3088" width="24.85546875" customWidth="1"/>
    <col min="3324" max="3324" width="11.42578125" customWidth="1"/>
    <col min="3325" max="3325" width="16.7109375" bestFit="1" customWidth="1"/>
    <col min="3326" max="3326" width="17.42578125" customWidth="1"/>
    <col min="3327" max="3327" width="15.85546875" customWidth="1"/>
    <col min="3328" max="3328" width="15.7109375" customWidth="1"/>
    <col min="3329" max="3329" width="24.140625" customWidth="1"/>
    <col min="3330" max="3330" width="18" bestFit="1" customWidth="1"/>
    <col min="3331" max="3331" width="48.5703125" bestFit="1" customWidth="1"/>
    <col min="3332" max="3332" width="71.28515625" bestFit="1" customWidth="1"/>
    <col min="3333" max="3334" width="0" hidden="1" customWidth="1"/>
    <col min="3335" max="3335" width="15" customWidth="1"/>
    <col min="3336" max="3336" width="15.7109375" customWidth="1"/>
    <col min="3337" max="3337" width="12.28515625" customWidth="1"/>
    <col min="3338" max="3338" width="14.140625" customWidth="1"/>
    <col min="3339" max="3340" width="15.85546875" customWidth="1"/>
    <col min="3341" max="3341" width="10.7109375" customWidth="1"/>
    <col min="3342" max="3342" width="15" customWidth="1"/>
    <col min="3344" max="3344" width="24.85546875" customWidth="1"/>
    <col min="3580" max="3580" width="11.42578125" customWidth="1"/>
    <col min="3581" max="3581" width="16.7109375" bestFit="1" customWidth="1"/>
    <col min="3582" max="3582" width="17.42578125" customWidth="1"/>
    <col min="3583" max="3583" width="15.85546875" customWidth="1"/>
    <col min="3584" max="3584" width="15.7109375" customWidth="1"/>
    <col min="3585" max="3585" width="24.140625" customWidth="1"/>
    <col min="3586" max="3586" width="18" bestFit="1" customWidth="1"/>
    <col min="3587" max="3587" width="48.5703125" bestFit="1" customWidth="1"/>
    <col min="3588" max="3588" width="71.28515625" bestFit="1" customWidth="1"/>
    <col min="3589" max="3590" width="0" hidden="1" customWidth="1"/>
    <col min="3591" max="3591" width="15" customWidth="1"/>
    <col min="3592" max="3592" width="15.7109375" customWidth="1"/>
    <col min="3593" max="3593" width="12.28515625" customWidth="1"/>
    <col min="3594" max="3594" width="14.140625" customWidth="1"/>
    <col min="3595" max="3596" width="15.85546875" customWidth="1"/>
    <col min="3597" max="3597" width="10.7109375" customWidth="1"/>
    <col min="3598" max="3598" width="15" customWidth="1"/>
    <col min="3600" max="3600" width="24.85546875" customWidth="1"/>
    <col min="3836" max="3836" width="11.42578125" customWidth="1"/>
    <col min="3837" max="3837" width="16.7109375" bestFit="1" customWidth="1"/>
    <col min="3838" max="3838" width="17.42578125" customWidth="1"/>
    <col min="3839" max="3839" width="15.85546875" customWidth="1"/>
    <col min="3840" max="3840" width="15.7109375" customWidth="1"/>
    <col min="3841" max="3841" width="24.140625" customWidth="1"/>
    <col min="3842" max="3842" width="18" bestFit="1" customWidth="1"/>
    <col min="3843" max="3843" width="48.5703125" bestFit="1" customWidth="1"/>
    <col min="3844" max="3844" width="71.28515625" bestFit="1" customWidth="1"/>
    <col min="3845" max="3846" width="0" hidden="1" customWidth="1"/>
    <col min="3847" max="3847" width="15" customWidth="1"/>
    <col min="3848" max="3848" width="15.7109375" customWidth="1"/>
    <col min="3849" max="3849" width="12.28515625" customWidth="1"/>
    <col min="3850" max="3850" width="14.140625" customWidth="1"/>
    <col min="3851" max="3852" width="15.85546875" customWidth="1"/>
    <col min="3853" max="3853" width="10.7109375" customWidth="1"/>
    <col min="3854" max="3854" width="15" customWidth="1"/>
    <col min="3856" max="3856" width="24.85546875" customWidth="1"/>
    <col min="4092" max="4092" width="11.42578125" customWidth="1"/>
    <col min="4093" max="4093" width="16.7109375" bestFit="1" customWidth="1"/>
    <col min="4094" max="4094" width="17.42578125" customWidth="1"/>
    <col min="4095" max="4095" width="15.85546875" customWidth="1"/>
    <col min="4096" max="4096" width="15.7109375" customWidth="1"/>
    <col min="4097" max="4097" width="24.140625" customWidth="1"/>
    <col min="4098" max="4098" width="18" bestFit="1" customWidth="1"/>
    <col min="4099" max="4099" width="48.5703125" bestFit="1" customWidth="1"/>
    <col min="4100" max="4100" width="71.28515625" bestFit="1" customWidth="1"/>
    <col min="4101" max="4102" width="0" hidden="1" customWidth="1"/>
    <col min="4103" max="4103" width="15" customWidth="1"/>
    <col min="4104" max="4104" width="15.7109375" customWidth="1"/>
    <col min="4105" max="4105" width="12.28515625" customWidth="1"/>
    <col min="4106" max="4106" width="14.140625" customWidth="1"/>
    <col min="4107" max="4108" width="15.85546875" customWidth="1"/>
    <col min="4109" max="4109" width="10.7109375" customWidth="1"/>
    <col min="4110" max="4110" width="15" customWidth="1"/>
    <col min="4112" max="4112" width="24.85546875" customWidth="1"/>
    <col min="4348" max="4348" width="11.42578125" customWidth="1"/>
    <col min="4349" max="4349" width="16.7109375" bestFit="1" customWidth="1"/>
    <col min="4350" max="4350" width="17.42578125" customWidth="1"/>
    <col min="4351" max="4351" width="15.85546875" customWidth="1"/>
    <col min="4352" max="4352" width="15.7109375" customWidth="1"/>
    <col min="4353" max="4353" width="24.140625" customWidth="1"/>
    <col min="4354" max="4354" width="18" bestFit="1" customWidth="1"/>
    <col min="4355" max="4355" width="48.5703125" bestFit="1" customWidth="1"/>
    <col min="4356" max="4356" width="71.28515625" bestFit="1" customWidth="1"/>
    <col min="4357" max="4358" width="0" hidden="1" customWidth="1"/>
    <col min="4359" max="4359" width="15" customWidth="1"/>
    <col min="4360" max="4360" width="15.7109375" customWidth="1"/>
    <col min="4361" max="4361" width="12.28515625" customWidth="1"/>
    <col min="4362" max="4362" width="14.140625" customWidth="1"/>
    <col min="4363" max="4364" width="15.85546875" customWidth="1"/>
    <col min="4365" max="4365" width="10.7109375" customWidth="1"/>
    <col min="4366" max="4366" width="15" customWidth="1"/>
    <col min="4368" max="4368" width="24.85546875" customWidth="1"/>
    <col min="4604" max="4604" width="11.42578125" customWidth="1"/>
    <col min="4605" max="4605" width="16.7109375" bestFit="1" customWidth="1"/>
    <col min="4606" max="4606" width="17.42578125" customWidth="1"/>
    <col min="4607" max="4607" width="15.85546875" customWidth="1"/>
    <col min="4608" max="4608" width="15.7109375" customWidth="1"/>
    <col min="4609" max="4609" width="24.140625" customWidth="1"/>
    <col min="4610" max="4610" width="18" bestFit="1" customWidth="1"/>
    <col min="4611" max="4611" width="48.5703125" bestFit="1" customWidth="1"/>
    <col min="4612" max="4612" width="71.28515625" bestFit="1" customWidth="1"/>
    <col min="4613" max="4614" width="0" hidden="1" customWidth="1"/>
    <col min="4615" max="4615" width="15" customWidth="1"/>
    <col min="4616" max="4616" width="15.7109375" customWidth="1"/>
    <col min="4617" max="4617" width="12.28515625" customWidth="1"/>
    <col min="4618" max="4618" width="14.140625" customWidth="1"/>
    <col min="4619" max="4620" width="15.85546875" customWidth="1"/>
    <col min="4621" max="4621" width="10.7109375" customWidth="1"/>
    <col min="4622" max="4622" width="15" customWidth="1"/>
    <col min="4624" max="4624" width="24.85546875" customWidth="1"/>
    <col min="4860" max="4860" width="11.42578125" customWidth="1"/>
    <col min="4861" max="4861" width="16.7109375" bestFit="1" customWidth="1"/>
    <col min="4862" max="4862" width="17.42578125" customWidth="1"/>
    <col min="4863" max="4863" width="15.85546875" customWidth="1"/>
    <col min="4864" max="4864" width="15.7109375" customWidth="1"/>
    <col min="4865" max="4865" width="24.140625" customWidth="1"/>
    <col min="4866" max="4866" width="18" bestFit="1" customWidth="1"/>
    <col min="4867" max="4867" width="48.5703125" bestFit="1" customWidth="1"/>
    <col min="4868" max="4868" width="71.28515625" bestFit="1" customWidth="1"/>
    <col min="4869" max="4870" width="0" hidden="1" customWidth="1"/>
    <col min="4871" max="4871" width="15" customWidth="1"/>
    <col min="4872" max="4872" width="15.7109375" customWidth="1"/>
    <col min="4873" max="4873" width="12.28515625" customWidth="1"/>
    <col min="4874" max="4874" width="14.140625" customWidth="1"/>
    <col min="4875" max="4876" width="15.85546875" customWidth="1"/>
    <col min="4877" max="4877" width="10.7109375" customWidth="1"/>
    <col min="4878" max="4878" width="15" customWidth="1"/>
    <col min="4880" max="4880" width="24.85546875" customWidth="1"/>
    <col min="5116" max="5116" width="11.42578125" customWidth="1"/>
    <col min="5117" max="5117" width="16.7109375" bestFit="1" customWidth="1"/>
    <col min="5118" max="5118" width="17.42578125" customWidth="1"/>
    <col min="5119" max="5119" width="15.85546875" customWidth="1"/>
    <col min="5120" max="5120" width="15.7109375" customWidth="1"/>
    <col min="5121" max="5121" width="24.140625" customWidth="1"/>
    <col min="5122" max="5122" width="18" bestFit="1" customWidth="1"/>
    <col min="5123" max="5123" width="48.5703125" bestFit="1" customWidth="1"/>
    <col min="5124" max="5124" width="71.28515625" bestFit="1" customWidth="1"/>
    <col min="5125" max="5126" width="0" hidden="1" customWidth="1"/>
    <col min="5127" max="5127" width="15" customWidth="1"/>
    <col min="5128" max="5128" width="15.7109375" customWidth="1"/>
    <col min="5129" max="5129" width="12.28515625" customWidth="1"/>
    <col min="5130" max="5130" width="14.140625" customWidth="1"/>
    <col min="5131" max="5132" width="15.85546875" customWidth="1"/>
    <col min="5133" max="5133" width="10.7109375" customWidth="1"/>
    <col min="5134" max="5134" width="15" customWidth="1"/>
    <col min="5136" max="5136" width="24.85546875" customWidth="1"/>
    <col min="5372" max="5372" width="11.42578125" customWidth="1"/>
    <col min="5373" max="5373" width="16.7109375" bestFit="1" customWidth="1"/>
    <col min="5374" max="5374" width="17.42578125" customWidth="1"/>
    <col min="5375" max="5375" width="15.85546875" customWidth="1"/>
    <col min="5376" max="5376" width="15.7109375" customWidth="1"/>
    <col min="5377" max="5377" width="24.140625" customWidth="1"/>
    <col min="5378" max="5378" width="18" bestFit="1" customWidth="1"/>
    <col min="5379" max="5379" width="48.5703125" bestFit="1" customWidth="1"/>
    <col min="5380" max="5380" width="71.28515625" bestFit="1" customWidth="1"/>
    <col min="5381" max="5382" width="0" hidden="1" customWidth="1"/>
    <col min="5383" max="5383" width="15" customWidth="1"/>
    <col min="5384" max="5384" width="15.7109375" customWidth="1"/>
    <col min="5385" max="5385" width="12.28515625" customWidth="1"/>
    <col min="5386" max="5386" width="14.140625" customWidth="1"/>
    <col min="5387" max="5388" width="15.85546875" customWidth="1"/>
    <col min="5389" max="5389" width="10.7109375" customWidth="1"/>
    <col min="5390" max="5390" width="15" customWidth="1"/>
    <col min="5392" max="5392" width="24.85546875" customWidth="1"/>
    <col min="5628" max="5628" width="11.42578125" customWidth="1"/>
    <col min="5629" max="5629" width="16.7109375" bestFit="1" customWidth="1"/>
    <col min="5630" max="5630" width="17.42578125" customWidth="1"/>
    <col min="5631" max="5631" width="15.85546875" customWidth="1"/>
    <col min="5632" max="5632" width="15.7109375" customWidth="1"/>
    <col min="5633" max="5633" width="24.140625" customWidth="1"/>
    <col min="5634" max="5634" width="18" bestFit="1" customWidth="1"/>
    <col min="5635" max="5635" width="48.5703125" bestFit="1" customWidth="1"/>
    <col min="5636" max="5636" width="71.28515625" bestFit="1" customWidth="1"/>
    <col min="5637" max="5638" width="0" hidden="1" customWidth="1"/>
    <col min="5639" max="5639" width="15" customWidth="1"/>
    <col min="5640" max="5640" width="15.7109375" customWidth="1"/>
    <col min="5641" max="5641" width="12.28515625" customWidth="1"/>
    <col min="5642" max="5642" width="14.140625" customWidth="1"/>
    <col min="5643" max="5644" width="15.85546875" customWidth="1"/>
    <col min="5645" max="5645" width="10.7109375" customWidth="1"/>
    <col min="5646" max="5646" width="15" customWidth="1"/>
    <col min="5648" max="5648" width="24.85546875" customWidth="1"/>
    <col min="5884" max="5884" width="11.42578125" customWidth="1"/>
    <col min="5885" max="5885" width="16.7109375" bestFit="1" customWidth="1"/>
    <col min="5886" max="5886" width="17.42578125" customWidth="1"/>
    <col min="5887" max="5887" width="15.85546875" customWidth="1"/>
    <col min="5888" max="5888" width="15.7109375" customWidth="1"/>
    <col min="5889" max="5889" width="24.140625" customWidth="1"/>
    <col min="5890" max="5890" width="18" bestFit="1" customWidth="1"/>
    <col min="5891" max="5891" width="48.5703125" bestFit="1" customWidth="1"/>
    <col min="5892" max="5892" width="71.28515625" bestFit="1" customWidth="1"/>
    <col min="5893" max="5894" width="0" hidden="1" customWidth="1"/>
    <col min="5895" max="5895" width="15" customWidth="1"/>
    <col min="5896" max="5896" width="15.7109375" customWidth="1"/>
    <col min="5897" max="5897" width="12.28515625" customWidth="1"/>
    <col min="5898" max="5898" width="14.140625" customWidth="1"/>
    <col min="5899" max="5900" width="15.85546875" customWidth="1"/>
    <col min="5901" max="5901" width="10.7109375" customWidth="1"/>
    <col min="5902" max="5902" width="15" customWidth="1"/>
    <col min="5904" max="5904" width="24.85546875" customWidth="1"/>
    <col min="6140" max="6140" width="11.42578125" customWidth="1"/>
    <col min="6141" max="6141" width="16.7109375" bestFit="1" customWidth="1"/>
    <col min="6142" max="6142" width="17.42578125" customWidth="1"/>
    <col min="6143" max="6143" width="15.85546875" customWidth="1"/>
    <col min="6144" max="6144" width="15.7109375" customWidth="1"/>
    <col min="6145" max="6145" width="24.140625" customWidth="1"/>
    <col min="6146" max="6146" width="18" bestFit="1" customWidth="1"/>
    <col min="6147" max="6147" width="48.5703125" bestFit="1" customWidth="1"/>
    <col min="6148" max="6148" width="71.28515625" bestFit="1" customWidth="1"/>
    <col min="6149" max="6150" width="0" hidden="1" customWidth="1"/>
    <col min="6151" max="6151" width="15" customWidth="1"/>
    <col min="6152" max="6152" width="15.7109375" customWidth="1"/>
    <col min="6153" max="6153" width="12.28515625" customWidth="1"/>
    <col min="6154" max="6154" width="14.140625" customWidth="1"/>
    <col min="6155" max="6156" width="15.85546875" customWidth="1"/>
    <col min="6157" max="6157" width="10.7109375" customWidth="1"/>
    <col min="6158" max="6158" width="15" customWidth="1"/>
    <col min="6160" max="6160" width="24.85546875" customWidth="1"/>
    <col min="6396" max="6396" width="11.42578125" customWidth="1"/>
    <col min="6397" max="6397" width="16.7109375" bestFit="1" customWidth="1"/>
    <col min="6398" max="6398" width="17.42578125" customWidth="1"/>
    <col min="6399" max="6399" width="15.85546875" customWidth="1"/>
    <col min="6400" max="6400" width="15.7109375" customWidth="1"/>
    <col min="6401" max="6401" width="24.140625" customWidth="1"/>
    <col min="6402" max="6402" width="18" bestFit="1" customWidth="1"/>
    <col min="6403" max="6403" width="48.5703125" bestFit="1" customWidth="1"/>
    <col min="6404" max="6404" width="71.28515625" bestFit="1" customWidth="1"/>
    <col min="6405" max="6406" width="0" hidden="1" customWidth="1"/>
    <col min="6407" max="6407" width="15" customWidth="1"/>
    <col min="6408" max="6408" width="15.7109375" customWidth="1"/>
    <col min="6409" max="6409" width="12.28515625" customWidth="1"/>
    <col min="6410" max="6410" width="14.140625" customWidth="1"/>
    <col min="6411" max="6412" width="15.85546875" customWidth="1"/>
    <col min="6413" max="6413" width="10.7109375" customWidth="1"/>
    <col min="6414" max="6414" width="15" customWidth="1"/>
    <col min="6416" max="6416" width="24.85546875" customWidth="1"/>
    <col min="6652" max="6652" width="11.42578125" customWidth="1"/>
    <col min="6653" max="6653" width="16.7109375" bestFit="1" customWidth="1"/>
    <col min="6654" max="6654" width="17.42578125" customWidth="1"/>
    <col min="6655" max="6655" width="15.85546875" customWidth="1"/>
    <col min="6656" max="6656" width="15.7109375" customWidth="1"/>
    <col min="6657" max="6657" width="24.140625" customWidth="1"/>
    <col min="6658" max="6658" width="18" bestFit="1" customWidth="1"/>
    <col min="6659" max="6659" width="48.5703125" bestFit="1" customWidth="1"/>
    <col min="6660" max="6660" width="71.28515625" bestFit="1" customWidth="1"/>
    <col min="6661" max="6662" width="0" hidden="1" customWidth="1"/>
    <col min="6663" max="6663" width="15" customWidth="1"/>
    <col min="6664" max="6664" width="15.7109375" customWidth="1"/>
    <col min="6665" max="6665" width="12.28515625" customWidth="1"/>
    <col min="6666" max="6666" width="14.140625" customWidth="1"/>
    <col min="6667" max="6668" width="15.85546875" customWidth="1"/>
    <col min="6669" max="6669" width="10.7109375" customWidth="1"/>
    <col min="6670" max="6670" width="15" customWidth="1"/>
    <col min="6672" max="6672" width="24.85546875" customWidth="1"/>
    <col min="6908" max="6908" width="11.42578125" customWidth="1"/>
    <col min="6909" max="6909" width="16.7109375" bestFit="1" customWidth="1"/>
    <col min="6910" max="6910" width="17.42578125" customWidth="1"/>
    <col min="6911" max="6911" width="15.85546875" customWidth="1"/>
    <col min="6912" max="6912" width="15.7109375" customWidth="1"/>
    <col min="6913" max="6913" width="24.140625" customWidth="1"/>
    <col min="6914" max="6914" width="18" bestFit="1" customWidth="1"/>
    <col min="6915" max="6915" width="48.5703125" bestFit="1" customWidth="1"/>
    <col min="6916" max="6916" width="71.28515625" bestFit="1" customWidth="1"/>
    <col min="6917" max="6918" width="0" hidden="1" customWidth="1"/>
    <col min="6919" max="6919" width="15" customWidth="1"/>
    <col min="6920" max="6920" width="15.7109375" customWidth="1"/>
    <col min="6921" max="6921" width="12.28515625" customWidth="1"/>
    <col min="6922" max="6922" width="14.140625" customWidth="1"/>
    <col min="6923" max="6924" width="15.85546875" customWidth="1"/>
    <col min="6925" max="6925" width="10.7109375" customWidth="1"/>
    <col min="6926" max="6926" width="15" customWidth="1"/>
    <col min="6928" max="6928" width="24.85546875" customWidth="1"/>
    <col min="7164" max="7164" width="11.42578125" customWidth="1"/>
    <col min="7165" max="7165" width="16.7109375" bestFit="1" customWidth="1"/>
    <col min="7166" max="7166" width="17.42578125" customWidth="1"/>
    <col min="7167" max="7167" width="15.85546875" customWidth="1"/>
    <col min="7168" max="7168" width="15.7109375" customWidth="1"/>
    <col min="7169" max="7169" width="24.140625" customWidth="1"/>
    <col min="7170" max="7170" width="18" bestFit="1" customWidth="1"/>
    <col min="7171" max="7171" width="48.5703125" bestFit="1" customWidth="1"/>
    <col min="7172" max="7172" width="71.28515625" bestFit="1" customWidth="1"/>
    <col min="7173" max="7174" width="0" hidden="1" customWidth="1"/>
    <col min="7175" max="7175" width="15" customWidth="1"/>
    <col min="7176" max="7176" width="15.7109375" customWidth="1"/>
    <col min="7177" max="7177" width="12.28515625" customWidth="1"/>
    <col min="7178" max="7178" width="14.140625" customWidth="1"/>
    <col min="7179" max="7180" width="15.85546875" customWidth="1"/>
    <col min="7181" max="7181" width="10.7109375" customWidth="1"/>
    <col min="7182" max="7182" width="15" customWidth="1"/>
    <col min="7184" max="7184" width="24.85546875" customWidth="1"/>
    <col min="7420" max="7420" width="11.42578125" customWidth="1"/>
    <col min="7421" max="7421" width="16.7109375" bestFit="1" customWidth="1"/>
    <col min="7422" max="7422" width="17.42578125" customWidth="1"/>
    <col min="7423" max="7423" width="15.85546875" customWidth="1"/>
    <col min="7424" max="7424" width="15.7109375" customWidth="1"/>
    <col min="7425" max="7425" width="24.140625" customWidth="1"/>
    <col min="7426" max="7426" width="18" bestFit="1" customWidth="1"/>
    <col min="7427" max="7427" width="48.5703125" bestFit="1" customWidth="1"/>
    <col min="7428" max="7428" width="71.28515625" bestFit="1" customWidth="1"/>
    <col min="7429" max="7430" width="0" hidden="1" customWidth="1"/>
    <col min="7431" max="7431" width="15" customWidth="1"/>
    <col min="7432" max="7432" width="15.7109375" customWidth="1"/>
    <col min="7433" max="7433" width="12.28515625" customWidth="1"/>
    <col min="7434" max="7434" width="14.140625" customWidth="1"/>
    <col min="7435" max="7436" width="15.85546875" customWidth="1"/>
    <col min="7437" max="7437" width="10.7109375" customWidth="1"/>
    <col min="7438" max="7438" width="15" customWidth="1"/>
    <col min="7440" max="7440" width="24.85546875" customWidth="1"/>
    <col min="7676" max="7676" width="11.42578125" customWidth="1"/>
    <col min="7677" max="7677" width="16.7109375" bestFit="1" customWidth="1"/>
    <col min="7678" max="7678" width="17.42578125" customWidth="1"/>
    <col min="7679" max="7679" width="15.85546875" customWidth="1"/>
    <col min="7680" max="7680" width="15.7109375" customWidth="1"/>
    <col min="7681" max="7681" width="24.140625" customWidth="1"/>
    <col min="7682" max="7682" width="18" bestFit="1" customWidth="1"/>
    <col min="7683" max="7683" width="48.5703125" bestFit="1" customWidth="1"/>
    <col min="7684" max="7684" width="71.28515625" bestFit="1" customWidth="1"/>
    <col min="7685" max="7686" width="0" hidden="1" customWidth="1"/>
    <col min="7687" max="7687" width="15" customWidth="1"/>
    <col min="7688" max="7688" width="15.7109375" customWidth="1"/>
    <col min="7689" max="7689" width="12.28515625" customWidth="1"/>
    <col min="7690" max="7690" width="14.140625" customWidth="1"/>
    <col min="7691" max="7692" width="15.85546875" customWidth="1"/>
    <col min="7693" max="7693" width="10.7109375" customWidth="1"/>
    <col min="7694" max="7694" width="15" customWidth="1"/>
    <col min="7696" max="7696" width="24.85546875" customWidth="1"/>
    <col min="7932" max="7932" width="11.42578125" customWidth="1"/>
    <col min="7933" max="7933" width="16.7109375" bestFit="1" customWidth="1"/>
    <col min="7934" max="7934" width="17.42578125" customWidth="1"/>
    <col min="7935" max="7935" width="15.85546875" customWidth="1"/>
    <col min="7936" max="7936" width="15.7109375" customWidth="1"/>
    <col min="7937" max="7937" width="24.140625" customWidth="1"/>
    <col min="7938" max="7938" width="18" bestFit="1" customWidth="1"/>
    <col min="7939" max="7939" width="48.5703125" bestFit="1" customWidth="1"/>
    <col min="7940" max="7940" width="71.28515625" bestFit="1" customWidth="1"/>
    <col min="7941" max="7942" width="0" hidden="1" customWidth="1"/>
    <col min="7943" max="7943" width="15" customWidth="1"/>
    <col min="7944" max="7944" width="15.7109375" customWidth="1"/>
    <col min="7945" max="7945" width="12.28515625" customWidth="1"/>
    <col min="7946" max="7946" width="14.140625" customWidth="1"/>
    <col min="7947" max="7948" width="15.85546875" customWidth="1"/>
    <col min="7949" max="7949" width="10.7109375" customWidth="1"/>
    <col min="7950" max="7950" width="15" customWidth="1"/>
    <col min="7952" max="7952" width="24.85546875" customWidth="1"/>
    <col min="8188" max="8188" width="11.42578125" customWidth="1"/>
    <col min="8189" max="8189" width="16.7109375" bestFit="1" customWidth="1"/>
    <col min="8190" max="8190" width="17.42578125" customWidth="1"/>
    <col min="8191" max="8191" width="15.85546875" customWidth="1"/>
    <col min="8192" max="8192" width="15.7109375" customWidth="1"/>
    <col min="8193" max="8193" width="24.140625" customWidth="1"/>
    <col min="8194" max="8194" width="18" bestFit="1" customWidth="1"/>
    <col min="8195" max="8195" width="48.5703125" bestFit="1" customWidth="1"/>
    <col min="8196" max="8196" width="71.28515625" bestFit="1" customWidth="1"/>
    <col min="8197" max="8198" width="0" hidden="1" customWidth="1"/>
    <col min="8199" max="8199" width="15" customWidth="1"/>
    <col min="8200" max="8200" width="15.7109375" customWidth="1"/>
    <col min="8201" max="8201" width="12.28515625" customWidth="1"/>
    <col min="8202" max="8202" width="14.140625" customWidth="1"/>
    <col min="8203" max="8204" width="15.85546875" customWidth="1"/>
    <col min="8205" max="8205" width="10.7109375" customWidth="1"/>
    <col min="8206" max="8206" width="15" customWidth="1"/>
    <col min="8208" max="8208" width="24.85546875" customWidth="1"/>
    <col min="8444" max="8444" width="11.42578125" customWidth="1"/>
    <col min="8445" max="8445" width="16.7109375" bestFit="1" customWidth="1"/>
    <col min="8446" max="8446" width="17.42578125" customWidth="1"/>
    <col min="8447" max="8447" width="15.85546875" customWidth="1"/>
    <col min="8448" max="8448" width="15.7109375" customWidth="1"/>
    <col min="8449" max="8449" width="24.140625" customWidth="1"/>
    <col min="8450" max="8450" width="18" bestFit="1" customWidth="1"/>
    <col min="8451" max="8451" width="48.5703125" bestFit="1" customWidth="1"/>
    <col min="8452" max="8452" width="71.28515625" bestFit="1" customWidth="1"/>
    <col min="8453" max="8454" width="0" hidden="1" customWidth="1"/>
    <col min="8455" max="8455" width="15" customWidth="1"/>
    <col min="8456" max="8456" width="15.7109375" customWidth="1"/>
    <col min="8457" max="8457" width="12.28515625" customWidth="1"/>
    <col min="8458" max="8458" width="14.140625" customWidth="1"/>
    <col min="8459" max="8460" width="15.85546875" customWidth="1"/>
    <col min="8461" max="8461" width="10.7109375" customWidth="1"/>
    <col min="8462" max="8462" width="15" customWidth="1"/>
    <col min="8464" max="8464" width="24.85546875" customWidth="1"/>
    <col min="8700" max="8700" width="11.42578125" customWidth="1"/>
    <col min="8701" max="8701" width="16.7109375" bestFit="1" customWidth="1"/>
    <col min="8702" max="8702" width="17.42578125" customWidth="1"/>
    <col min="8703" max="8703" width="15.85546875" customWidth="1"/>
    <col min="8704" max="8704" width="15.7109375" customWidth="1"/>
    <col min="8705" max="8705" width="24.140625" customWidth="1"/>
    <col min="8706" max="8706" width="18" bestFit="1" customWidth="1"/>
    <col min="8707" max="8707" width="48.5703125" bestFit="1" customWidth="1"/>
    <col min="8708" max="8708" width="71.28515625" bestFit="1" customWidth="1"/>
    <col min="8709" max="8710" width="0" hidden="1" customWidth="1"/>
    <col min="8711" max="8711" width="15" customWidth="1"/>
    <col min="8712" max="8712" width="15.7109375" customWidth="1"/>
    <col min="8713" max="8713" width="12.28515625" customWidth="1"/>
    <col min="8714" max="8714" width="14.140625" customWidth="1"/>
    <col min="8715" max="8716" width="15.85546875" customWidth="1"/>
    <col min="8717" max="8717" width="10.7109375" customWidth="1"/>
    <col min="8718" max="8718" width="15" customWidth="1"/>
    <col min="8720" max="8720" width="24.85546875" customWidth="1"/>
    <col min="8956" max="8956" width="11.42578125" customWidth="1"/>
    <col min="8957" max="8957" width="16.7109375" bestFit="1" customWidth="1"/>
    <col min="8958" max="8958" width="17.42578125" customWidth="1"/>
    <col min="8959" max="8959" width="15.85546875" customWidth="1"/>
    <col min="8960" max="8960" width="15.7109375" customWidth="1"/>
    <col min="8961" max="8961" width="24.140625" customWidth="1"/>
    <col min="8962" max="8962" width="18" bestFit="1" customWidth="1"/>
    <col min="8963" max="8963" width="48.5703125" bestFit="1" customWidth="1"/>
    <col min="8964" max="8964" width="71.28515625" bestFit="1" customWidth="1"/>
    <col min="8965" max="8966" width="0" hidden="1" customWidth="1"/>
    <col min="8967" max="8967" width="15" customWidth="1"/>
    <col min="8968" max="8968" width="15.7109375" customWidth="1"/>
    <col min="8969" max="8969" width="12.28515625" customWidth="1"/>
    <col min="8970" max="8970" width="14.140625" customWidth="1"/>
    <col min="8971" max="8972" width="15.85546875" customWidth="1"/>
    <col min="8973" max="8973" width="10.7109375" customWidth="1"/>
    <col min="8974" max="8974" width="15" customWidth="1"/>
    <col min="8976" max="8976" width="24.85546875" customWidth="1"/>
    <col min="9212" max="9212" width="11.42578125" customWidth="1"/>
    <col min="9213" max="9213" width="16.7109375" bestFit="1" customWidth="1"/>
    <col min="9214" max="9214" width="17.42578125" customWidth="1"/>
    <col min="9215" max="9215" width="15.85546875" customWidth="1"/>
    <col min="9216" max="9216" width="15.7109375" customWidth="1"/>
    <col min="9217" max="9217" width="24.140625" customWidth="1"/>
    <col min="9218" max="9218" width="18" bestFit="1" customWidth="1"/>
    <col min="9219" max="9219" width="48.5703125" bestFit="1" customWidth="1"/>
    <col min="9220" max="9220" width="71.28515625" bestFit="1" customWidth="1"/>
    <col min="9221" max="9222" width="0" hidden="1" customWidth="1"/>
    <col min="9223" max="9223" width="15" customWidth="1"/>
    <col min="9224" max="9224" width="15.7109375" customWidth="1"/>
    <col min="9225" max="9225" width="12.28515625" customWidth="1"/>
    <col min="9226" max="9226" width="14.140625" customWidth="1"/>
    <col min="9227" max="9228" width="15.85546875" customWidth="1"/>
    <col min="9229" max="9229" width="10.7109375" customWidth="1"/>
    <col min="9230" max="9230" width="15" customWidth="1"/>
    <col min="9232" max="9232" width="24.85546875" customWidth="1"/>
    <col min="9468" max="9468" width="11.42578125" customWidth="1"/>
    <col min="9469" max="9469" width="16.7109375" bestFit="1" customWidth="1"/>
    <col min="9470" max="9470" width="17.42578125" customWidth="1"/>
    <col min="9471" max="9471" width="15.85546875" customWidth="1"/>
    <col min="9472" max="9472" width="15.7109375" customWidth="1"/>
    <col min="9473" max="9473" width="24.140625" customWidth="1"/>
    <col min="9474" max="9474" width="18" bestFit="1" customWidth="1"/>
    <col min="9475" max="9475" width="48.5703125" bestFit="1" customWidth="1"/>
    <col min="9476" max="9476" width="71.28515625" bestFit="1" customWidth="1"/>
    <col min="9477" max="9478" width="0" hidden="1" customWidth="1"/>
    <col min="9479" max="9479" width="15" customWidth="1"/>
    <col min="9480" max="9480" width="15.7109375" customWidth="1"/>
    <col min="9481" max="9481" width="12.28515625" customWidth="1"/>
    <col min="9482" max="9482" width="14.140625" customWidth="1"/>
    <col min="9483" max="9484" width="15.85546875" customWidth="1"/>
    <col min="9485" max="9485" width="10.7109375" customWidth="1"/>
    <col min="9486" max="9486" width="15" customWidth="1"/>
    <col min="9488" max="9488" width="24.85546875" customWidth="1"/>
    <col min="9724" max="9724" width="11.42578125" customWidth="1"/>
    <col min="9725" max="9725" width="16.7109375" bestFit="1" customWidth="1"/>
    <col min="9726" max="9726" width="17.42578125" customWidth="1"/>
    <col min="9727" max="9727" width="15.85546875" customWidth="1"/>
    <col min="9728" max="9728" width="15.7109375" customWidth="1"/>
    <col min="9729" max="9729" width="24.140625" customWidth="1"/>
    <col min="9730" max="9730" width="18" bestFit="1" customWidth="1"/>
    <col min="9731" max="9731" width="48.5703125" bestFit="1" customWidth="1"/>
    <col min="9732" max="9732" width="71.28515625" bestFit="1" customWidth="1"/>
    <col min="9733" max="9734" width="0" hidden="1" customWidth="1"/>
    <col min="9735" max="9735" width="15" customWidth="1"/>
    <col min="9736" max="9736" width="15.7109375" customWidth="1"/>
    <col min="9737" max="9737" width="12.28515625" customWidth="1"/>
    <col min="9738" max="9738" width="14.140625" customWidth="1"/>
    <col min="9739" max="9740" width="15.85546875" customWidth="1"/>
    <col min="9741" max="9741" width="10.7109375" customWidth="1"/>
    <col min="9742" max="9742" width="15" customWidth="1"/>
    <col min="9744" max="9744" width="24.85546875" customWidth="1"/>
    <col min="9980" max="9980" width="11.42578125" customWidth="1"/>
    <col min="9981" max="9981" width="16.7109375" bestFit="1" customWidth="1"/>
    <col min="9982" max="9982" width="17.42578125" customWidth="1"/>
    <col min="9983" max="9983" width="15.85546875" customWidth="1"/>
    <col min="9984" max="9984" width="15.7109375" customWidth="1"/>
    <col min="9985" max="9985" width="24.140625" customWidth="1"/>
    <col min="9986" max="9986" width="18" bestFit="1" customWidth="1"/>
    <col min="9987" max="9987" width="48.5703125" bestFit="1" customWidth="1"/>
    <col min="9988" max="9988" width="71.28515625" bestFit="1" customWidth="1"/>
    <col min="9989" max="9990" width="0" hidden="1" customWidth="1"/>
    <col min="9991" max="9991" width="15" customWidth="1"/>
    <col min="9992" max="9992" width="15.7109375" customWidth="1"/>
    <col min="9993" max="9993" width="12.28515625" customWidth="1"/>
    <col min="9994" max="9994" width="14.140625" customWidth="1"/>
    <col min="9995" max="9996" width="15.85546875" customWidth="1"/>
    <col min="9997" max="9997" width="10.7109375" customWidth="1"/>
    <col min="9998" max="9998" width="15" customWidth="1"/>
    <col min="10000" max="10000" width="24.85546875" customWidth="1"/>
    <col min="10236" max="10236" width="11.42578125" customWidth="1"/>
    <col min="10237" max="10237" width="16.7109375" bestFit="1" customWidth="1"/>
    <col min="10238" max="10238" width="17.42578125" customWidth="1"/>
    <col min="10239" max="10239" width="15.85546875" customWidth="1"/>
    <col min="10240" max="10240" width="15.7109375" customWidth="1"/>
    <col min="10241" max="10241" width="24.140625" customWidth="1"/>
    <col min="10242" max="10242" width="18" bestFit="1" customWidth="1"/>
    <col min="10243" max="10243" width="48.5703125" bestFit="1" customWidth="1"/>
    <col min="10244" max="10244" width="71.28515625" bestFit="1" customWidth="1"/>
    <col min="10245" max="10246" width="0" hidden="1" customWidth="1"/>
    <col min="10247" max="10247" width="15" customWidth="1"/>
    <col min="10248" max="10248" width="15.7109375" customWidth="1"/>
    <col min="10249" max="10249" width="12.28515625" customWidth="1"/>
    <col min="10250" max="10250" width="14.140625" customWidth="1"/>
    <col min="10251" max="10252" width="15.85546875" customWidth="1"/>
    <col min="10253" max="10253" width="10.7109375" customWidth="1"/>
    <col min="10254" max="10254" width="15" customWidth="1"/>
    <col min="10256" max="10256" width="24.85546875" customWidth="1"/>
    <col min="10492" max="10492" width="11.42578125" customWidth="1"/>
    <col min="10493" max="10493" width="16.7109375" bestFit="1" customWidth="1"/>
    <col min="10494" max="10494" width="17.42578125" customWidth="1"/>
    <col min="10495" max="10495" width="15.85546875" customWidth="1"/>
    <col min="10496" max="10496" width="15.7109375" customWidth="1"/>
    <col min="10497" max="10497" width="24.140625" customWidth="1"/>
    <col min="10498" max="10498" width="18" bestFit="1" customWidth="1"/>
    <col min="10499" max="10499" width="48.5703125" bestFit="1" customWidth="1"/>
    <col min="10500" max="10500" width="71.28515625" bestFit="1" customWidth="1"/>
    <col min="10501" max="10502" width="0" hidden="1" customWidth="1"/>
    <col min="10503" max="10503" width="15" customWidth="1"/>
    <col min="10504" max="10504" width="15.7109375" customWidth="1"/>
    <col min="10505" max="10505" width="12.28515625" customWidth="1"/>
    <col min="10506" max="10506" width="14.140625" customWidth="1"/>
    <col min="10507" max="10508" width="15.85546875" customWidth="1"/>
    <col min="10509" max="10509" width="10.7109375" customWidth="1"/>
    <col min="10510" max="10510" width="15" customWidth="1"/>
    <col min="10512" max="10512" width="24.85546875" customWidth="1"/>
    <col min="10748" max="10748" width="11.42578125" customWidth="1"/>
    <col min="10749" max="10749" width="16.7109375" bestFit="1" customWidth="1"/>
    <col min="10750" max="10750" width="17.42578125" customWidth="1"/>
    <col min="10751" max="10751" width="15.85546875" customWidth="1"/>
    <col min="10752" max="10752" width="15.7109375" customWidth="1"/>
    <col min="10753" max="10753" width="24.140625" customWidth="1"/>
    <col min="10754" max="10754" width="18" bestFit="1" customWidth="1"/>
    <col min="10755" max="10755" width="48.5703125" bestFit="1" customWidth="1"/>
    <col min="10756" max="10756" width="71.28515625" bestFit="1" customWidth="1"/>
    <col min="10757" max="10758" width="0" hidden="1" customWidth="1"/>
    <col min="10759" max="10759" width="15" customWidth="1"/>
    <col min="10760" max="10760" width="15.7109375" customWidth="1"/>
    <col min="10761" max="10761" width="12.28515625" customWidth="1"/>
    <col min="10762" max="10762" width="14.140625" customWidth="1"/>
    <col min="10763" max="10764" width="15.85546875" customWidth="1"/>
    <col min="10765" max="10765" width="10.7109375" customWidth="1"/>
    <col min="10766" max="10766" width="15" customWidth="1"/>
    <col min="10768" max="10768" width="24.85546875" customWidth="1"/>
    <col min="11004" max="11004" width="11.42578125" customWidth="1"/>
    <col min="11005" max="11005" width="16.7109375" bestFit="1" customWidth="1"/>
    <col min="11006" max="11006" width="17.42578125" customWidth="1"/>
    <col min="11007" max="11007" width="15.85546875" customWidth="1"/>
    <col min="11008" max="11008" width="15.7109375" customWidth="1"/>
    <col min="11009" max="11009" width="24.140625" customWidth="1"/>
    <col min="11010" max="11010" width="18" bestFit="1" customWidth="1"/>
    <col min="11011" max="11011" width="48.5703125" bestFit="1" customWidth="1"/>
    <col min="11012" max="11012" width="71.28515625" bestFit="1" customWidth="1"/>
    <col min="11013" max="11014" width="0" hidden="1" customWidth="1"/>
    <col min="11015" max="11015" width="15" customWidth="1"/>
    <col min="11016" max="11016" width="15.7109375" customWidth="1"/>
    <col min="11017" max="11017" width="12.28515625" customWidth="1"/>
    <col min="11018" max="11018" width="14.140625" customWidth="1"/>
    <col min="11019" max="11020" width="15.85546875" customWidth="1"/>
    <col min="11021" max="11021" width="10.7109375" customWidth="1"/>
    <col min="11022" max="11022" width="15" customWidth="1"/>
    <col min="11024" max="11024" width="24.85546875" customWidth="1"/>
    <col min="11260" max="11260" width="11.42578125" customWidth="1"/>
    <col min="11261" max="11261" width="16.7109375" bestFit="1" customWidth="1"/>
    <col min="11262" max="11262" width="17.42578125" customWidth="1"/>
    <col min="11263" max="11263" width="15.85546875" customWidth="1"/>
    <col min="11264" max="11264" width="15.7109375" customWidth="1"/>
    <col min="11265" max="11265" width="24.140625" customWidth="1"/>
    <col min="11266" max="11266" width="18" bestFit="1" customWidth="1"/>
    <col min="11267" max="11267" width="48.5703125" bestFit="1" customWidth="1"/>
    <col min="11268" max="11268" width="71.28515625" bestFit="1" customWidth="1"/>
    <col min="11269" max="11270" width="0" hidden="1" customWidth="1"/>
    <col min="11271" max="11271" width="15" customWidth="1"/>
    <col min="11272" max="11272" width="15.7109375" customWidth="1"/>
    <col min="11273" max="11273" width="12.28515625" customWidth="1"/>
    <col min="11274" max="11274" width="14.140625" customWidth="1"/>
    <col min="11275" max="11276" width="15.85546875" customWidth="1"/>
    <col min="11277" max="11277" width="10.7109375" customWidth="1"/>
    <col min="11278" max="11278" width="15" customWidth="1"/>
    <col min="11280" max="11280" width="24.85546875" customWidth="1"/>
    <col min="11516" max="11516" width="11.42578125" customWidth="1"/>
    <col min="11517" max="11517" width="16.7109375" bestFit="1" customWidth="1"/>
    <col min="11518" max="11518" width="17.42578125" customWidth="1"/>
    <col min="11519" max="11519" width="15.85546875" customWidth="1"/>
    <col min="11520" max="11520" width="15.7109375" customWidth="1"/>
    <col min="11521" max="11521" width="24.140625" customWidth="1"/>
    <col min="11522" max="11522" width="18" bestFit="1" customWidth="1"/>
    <col min="11523" max="11523" width="48.5703125" bestFit="1" customWidth="1"/>
    <col min="11524" max="11524" width="71.28515625" bestFit="1" customWidth="1"/>
    <col min="11525" max="11526" width="0" hidden="1" customWidth="1"/>
    <col min="11527" max="11527" width="15" customWidth="1"/>
    <col min="11528" max="11528" width="15.7109375" customWidth="1"/>
    <col min="11529" max="11529" width="12.28515625" customWidth="1"/>
    <col min="11530" max="11530" width="14.140625" customWidth="1"/>
    <col min="11531" max="11532" width="15.85546875" customWidth="1"/>
    <col min="11533" max="11533" width="10.7109375" customWidth="1"/>
    <col min="11534" max="11534" width="15" customWidth="1"/>
    <col min="11536" max="11536" width="24.85546875" customWidth="1"/>
    <col min="11772" max="11772" width="11.42578125" customWidth="1"/>
    <col min="11773" max="11773" width="16.7109375" bestFit="1" customWidth="1"/>
    <col min="11774" max="11774" width="17.42578125" customWidth="1"/>
    <col min="11775" max="11775" width="15.85546875" customWidth="1"/>
    <col min="11776" max="11776" width="15.7109375" customWidth="1"/>
    <col min="11777" max="11777" width="24.140625" customWidth="1"/>
    <col min="11778" max="11778" width="18" bestFit="1" customWidth="1"/>
    <col min="11779" max="11779" width="48.5703125" bestFit="1" customWidth="1"/>
    <col min="11780" max="11780" width="71.28515625" bestFit="1" customWidth="1"/>
    <col min="11781" max="11782" width="0" hidden="1" customWidth="1"/>
    <col min="11783" max="11783" width="15" customWidth="1"/>
    <col min="11784" max="11784" width="15.7109375" customWidth="1"/>
    <col min="11785" max="11785" width="12.28515625" customWidth="1"/>
    <col min="11786" max="11786" width="14.140625" customWidth="1"/>
    <col min="11787" max="11788" width="15.85546875" customWidth="1"/>
    <col min="11789" max="11789" width="10.7109375" customWidth="1"/>
    <col min="11790" max="11790" width="15" customWidth="1"/>
    <col min="11792" max="11792" width="24.85546875" customWidth="1"/>
    <col min="12028" max="12028" width="11.42578125" customWidth="1"/>
    <col min="12029" max="12029" width="16.7109375" bestFit="1" customWidth="1"/>
    <col min="12030" max="12030" width="17.42578125" customWidth="1"/>
    <col min="12031" max="12031" width="15.85546875" customWidth="1"/>
    <col min="12032" max="12032" width="15.7109375" customWidth="1"/>
    <col min="12033" max="12033" width="24.140625" customWidth="1"/>
    <col min="12034" max="12034" width="18" bestFit="1" customWidth="1"/>
    <col min="12035" max="12035" width="48.5703125" bestFit="1" customWidth="1"/>
    <col min="12036" max="12036" width="71.28515625" bestFit="1" customWidth="1"/>
    <col min="12037" max="12038" width="0" hidden="1" customWidth="1"/>
    <col min="12039" max="12039" width="15" customWidth="1"/>
    <col min="12040" max="12040" width="15.7109375" customWidth="1"/>
    <col min="12041" max="12041" width="12.28515625" customWidth="1"/>
    <col min="12042" max="12042" width="14.140625" customWidth="1"/>
    <col min="12043" max="12044" width="15.85546875" customWidth="1"/>
    <col min="12045" max="12045" width="10.7109375" customWidth="1"/>
    <col min="12046" max="12046" width="15" customWidth="1"/>
    <col min="12048" max="12048" width="24.85546875" customWidth="1"/>
    <col min="12284" max="12284" width="11.42578125" customWidth="1"/>
    <col min="12285" max="12285" width="16.7109375" bestFit="1" customWidth="1"/>
    <col min="12286" max="12286" width="17.42578125" customWidth="1"/>
    <col min="12287" max="12287" width="15.85546875" customWidth="1"/>
    <col min="12288" max="12288" width="15.7109375" customWidth="1"/>
    <col min="12289" max="12289" width="24.140625" customWidth="1"/>
    <col min="12290" max="12290" width="18" bestFit="1" customWidth="1"/>
    <col min="12291" max="12291" width="48.5703125" bestFit="1" customWidth="1"/>
    <col min="12292" max="12292" width="71.28515625" bestFit="1" customWidth="1"/>
    <col min="12293" max="12294" width="0" hidden="1" customWidth="1"/>
    <col min="12295" max="12295" width="15" customWidth="1"/>
    <col min="12296" max="12296" width="15.7109375" customWidth="1"/>
    <col min="12297" max="12297" width="12.28515625" customWidth="1"/>
    <col min="12298" max="12298" width="14.140625" customWidth="1"/>
    <col min="12299" max="12300" width="15.85546875" customWidth="1"/>
    <col min="12301" max="12301" width="10.7109375" customWidth="1"/>
    <col min="12302" max="12302" width="15" customWidth="1"/>
    <col min="12304" max="12304" width="24.85546875" customWidth="1"/>
    <col min="12540" max="12540" width="11.42578125" customWidth="1"/>
    <col min="12541" max="12541" width="16.7109375" bestFit="1" customWidth="1"/>
    <col min="12542" max="12542" width="17.42578125" customWidth="1"/>
    <col min="12543" max="12543" width="15.85546875" customWidth="1"/>
    <col min="12544" max="12544" width="15.7109375" customWidth="1"/>
    <col min="12545" max="12545" width="24.140625" customWidth="1"/>
    <col min="12546" max="12546" width="18" bestFit="1" customWidth="1"/>
    <col min="12547" max="12547" width="48.5703125" bestFit="1" customWidth="1"/>
    <col min="12548" max="12548" width="71.28515625" bestFit="1" customWidth="1"/>
    <col min="12549" max="12550" width="0" hidden="1" customWidth="1"/>
    <col min="12551" max="12551" width="15" customWidth="1"/>
    <col min="12552" max="12552" width="15.7109375" customWidth="1"/>
    <col min="12553" max="12553" width="12.28515625" customWidth="1"/>
    <col min="12554" max="12554" width="14.140625" customWidth="1"/>
    <col min="12555" max="12556" width="15.85546875" customWidth="1"/>
    <col min="12557" max="12557" width="10.7109375" customWidth="1"/>
    <col min="12558" max="12558" width="15" customWidth="1"/>
    <col min="12560" max="12560" width="24.85546875" customWidth="1"/>
    <col min="12796" max="12796" width="11.42578125" customWidth="1"/>
    <col min="12797" max="12797" width="16.7109375" bestFit="1" customWidth="1"/>
    <col min="12798" max="12798" width="17.42578125" customWidth="1"/>
    <col min="12799" max="12799" width="15.85546875" customWidth="1"/>
    <col min="12800" max="12800" width="15.7109375" customWidth="1"/>
    <col min="12801" max="12801" width="24.140625" customWidth="1"/>
    <col min="12802" max="12802" width="18" bestFit="1" customWidth="1"/>
    <col min="12803" max="12803" width="48.5703125" bestFit="1" customWidth="1"/>
    <col min="12804" max="12804" width="71.28515625" bestFit="1" customWidth="1"/>
    <col min="12805" max="12806" width="0" hidden="1" customWidth="1"/>
    <col min="12807" max="12807" width="15" customWidth="1"/>
    <col min="12808" max="12808" width="15.7109375" customWidth="1"/>
    <col min="12809" max="12809" width="12.28515625" customWidth="1"/>
    <col min="12810" max="12810" width="14.140625" customWidth="1"/>
    <col min="12811" max="12812" width="15.85546875" customWidth="1"/>
    <col min="12813" max="12813" width="10.7109375" customWidth="1"/>
    <col min="12814" max="12814" width="15" customWidth="1"/>
    <col min="12816" max="12816" width="24.85546875" customWidth="1"/>
    <col min="13052" max="13052" width="11.42578125" customWidth="1"/>
    <col min="13053" max="13053" width="16.7109375" bestFit="1" customWidth="1"/>
    <col min="13054" max="13054" width="17.42578125" customWidth="1"/>
    <col min="13055" max="13055" width="15.85546875" customWidth="1"/>
    <col min="13056" max="13056" width="15.7109375" customWidth="1"/>
    <col min="13057" max="13057" width="24.140625" customWidth="1"/>
    <col min="13058" max="13058" width="18" bestFit="1" customWidth="1"/>
    <col min="13059" max="13059" width="48.5703125" bestFit="1" customWidth="1"/>
    <col min="13060" max="13060" width="71.28515625" bestFit="1" customWidth="1"/>
    <col min="13061" max="13062" width="0" hidden="1" customWidth="1"/>
    <col min="13063" max="13063" width="15" customWidth="1"/>
    <col min="13064" max="13064" width="15.7109375" customWidth="1"/>
    <col min="13065" max="13065" width="12.28515625" customWidth="1"/>
    <col min="13066" max="13066" width="14.140625" customWidth="1"/>
    <col min="13067" max="13068" width="15.85546875" customWidth="1"/>
    <col min="13069" max="13069" width="10.7109375" customWidth="1"/>
    <col min="13070" max="13070" width="15" customWidth="1"/>
    <col min="13072" max="13072" width="24.85546875" customWidth="1"/>
    <col min="13308" max="13308" width="11.42578125" customWidth="1"/>
    <col min="13309" max="13309" width="16.7109375" bestFit="1" customWidth="1"/>
    <col min="13310" max="13310" width="17.42578125" customWidth="1"/>
    <col min="13311" max="13311" width="15.85546875" customWidth="1"/>
    <col min="13312" max="13312" width="15.7109375" customWidth="1"/>
    <col min="13313" max="13313" width="24.140625" customWidth="1"/>
    <col min="13314" max="13314" width="18" bestFit="1" customWidth="1"/>
    <col min="13315" max="13315" width="48.5703125" bestFit="1" customWidth="1"/>
    <col min="13316" max="13316" width="71.28515625" bestFit="1" customWidth="1"/>
    <col min="13317" max="13318" width="0" hidden="1" customWidth="1"/>
    <col min="13319" max="13319" width="15" customWidth="1"/>
    <col min="13320" max="13320" width="15.7109375" customWidth="1"/>
    <col min="13321" max="13321" width="12.28515625" customWidth="1"/>
    <col min="13322" max="13322" width="14.140625" customWidth="1"/>
    <col min="13323" max="13324" width="15.85546875" customWidth="1"/>
    <col min="13325" max="13325" width="10.7109375" customWidth="1"/>
    <col min="13326" max="13326" width="15" customWidth="1"/>
    <col min="13328" max="13328" width="24.85546875" customWidth="1"/>
    <col min="13564" max="13564" width="11.42578125" customWidth="1"/>
    <col min="13565" max="13565" width="16.7109375" bestFit="1" customWidth="1"/>
    <col min="13566" max="13566" width="17.42578125" customWidth="1"/>
    <col min="13567" max="13567" width="15.85546875" customWidth="1"/>
    <col min="13568" max="13568" width="15.7109375" customWidth="1"/>
    <col min="13569" max="13569" width="24.140625" customWidth="1"/>
    <col min="13570" max="13570" width="18" bestFit="1" customWidth="1"/>
    <col min="13571" max="13571" width="48.5703125" bestFit="1" customWidth="1"/>
    <col min="13572" max="13572" width="71.28515625" bestFit="1" customWidth="1"/>
    <col min="13573" max="13574" width="0" hidden="1" customWidth="1"/>
    <col min="13575" max="13575" width="15" customWidth="1"/>
    <col min="13576" max="13576" width="15.7109375" customWidth="1"/>
    <col min="13577" max="13577" width="12.28515625" customWidth="1"/>
    <col min="13578" max="13578" width="14.140625" customWidth="1"/>
    <col min="13579" max="13580" width="15.85546875" customWidth="1"/>
    <col min="13581" max="13581" width="10.7109375" customWidth="1"/>
    <col min="13582" max="13582" width="15" customWidth="1"/>
    <col min="13584" max="13584" width="24.85546875" customWidth="1"/>
    <col min="13820" max="13820" width="11.42578125" customWidth="1"/>
    <col min="13821" max="13821" width="16.7109375" bestFit="1" customWidth="1"/>
    <col min="13822" max="13822" width="17.42578125" customWidth="1"/>
    <col min="13823" max="13823" width="15.85546875" customWidth="1"/>
    <col min="13824" max="13824" width="15.7109375" customWidth="1"/>
    <col min="13825" max="13825" width="24.140625" customWidth="1"/>
    <col min="13826" max="13826" width="18" bestFit="1" customWidth="1"/>
    <col min="13827" max="13827" width="48.5703125" bestFit="1" customWidth="1"/>
    <col min="13828" max="13828" width="71.28515625" bestFit="1" customWidth="1"/>
    <col min="13829" max="13830" width="0" hidden="1" customWidth="1"/>
    <col min="13831" max="13831" width="15" customWidth="1"/>
    <col min="13832" max="13832" width="15.7109375" customWidth="1"/>
    <col min="13833" max="13833" width="12.28515625" customWidth="1"/>
    <col min="13834" max="13834" width="14.140625" customWidth="1"/>
    <col min="13835" max="13836" width="15.85546875" customWidth="1"/>
    <col min="13837" max="13837" width="10.7109375" customWidth="1"/>
    <col min="13838" max="13838" width="15" customWidth="1"/>
    <col min="13840" max="13840" width="24.85546875" customWidth="1"/>
    <col min="14076" max="14076" width="11.42578125" customWidth="1"/>
    <col min="14077" max="14077" width="16.7109375" bestFit="1" customWidth="1"/>
    <col min="14078" max="14078" width="17.42578125" customWidth="1"/>
    <col min="14079" max="14079" width="15.85546875" customWidth="1"/>
    <col min="14080" max="14080" width="15.7109375" customWidth="1"/>
    <col min="14081" max="14081" width="24.140625" customWidth="1"/>
    <col min="14082" max="14082" width="18" bestFit="1" customWidth="1"/>
    <col min="14083" max="14083" width="48.5703125" bestFit="1" customWidth="1"/>
    <col min="14084" max="14084" width="71.28515625" bestFit="1" customWidth="1"/>
    <col min="14085" max="14086" width="0" hidden="1" customWidth="1"/>
    <col min="14087" max="14087" width="15" customWidth="1"/>
    <col min="14088" max="14088" width="15.7109375" customWidth="1"/>
    <col min="14089" max="14089" width="12.28515625" customWidth="1"/>
    <col min="14090" max="14090" width="14.140625" customWidth="1"/>
    <col min="14091" max="14092" width="15.85546875" customWidth="1"/>
    <col min="14093" max="14093" width="10.7109375" customWidth="1"/>
    <col min="14094" max="14094" width="15" customWidth="1"/>
    <col min="14096" max="14096" width="24.85546875" customWidth="1"/>
    <col min="14332" max="14332" width="11.42578125" customWidth="1"/>
    <col min="14333" max="14333" width="16.7109375" bestFit="1" customWidth="1"/>
    <col min="14334" max="14334" width="17.42578125" customWidth="1"/>
    <col min="14335" max="14335" width="15.85546875" customWidth="1"/>
    <col min="14336" max="14336" width="15.7109375" customWidth="1"/>
    <col min="14337" max="14337" width="24.140625" customWidth="1"/>
    <col min="14338" max="14338" width="18" bestFit="1" customWidth="1"/>
    <col min="14339" max="14339" width="48.5703125" bestFit="1" customWidth="1"/>
    <col min="14340" max="14340" width="71.28515625" bestFit="1" customWidth="1"/>
    <col min="14341" max="14342" width="0" hidden="1" customWidth="1"/>
    <col min="14343" max="14343" width="15" customWidth="1"/>
    <col min="14344" max="14344" width="15.7109375" customWidth="1"/>
    <col min="14345" max="14345" width="12.28515625" customWidth="1"/>
    <col min="14346" max="14346" width="14.140625" customWidth="1"/>
    <col min="14347" max="14348" width="15.85546875" customWidth="1"/>
    <col min="14349" max="14349" width="10.7109375" customWidth="1"/>
    <col min="14350" max="14350" width="15" customWidth="1"/>
    <col min="14352" max="14352" width="24.85546875" customWidth="1"/>
    <col min="14588" max="14588" width="11.42578125" customWidth="1"/>
    <col min="14589" max="14589" width="16.7109375" bestFit="1" customWidth="1"/>
    <col min="14590" max="14590" width="17.42578125" customWidth="1"/>
    <col min="14591" max="14591" width="15.85546875" customWidth="1"/>
    <col min="14592" max="14592" width="15.7109375" customWidth="1"/>
    <col min="14593" max="14593" width="24.140625" customWidth="1"/>
    <col min="14594" max="14594" width="18" bestFit="1" customWidth="1"/>
    <col min="14595" max="14595" width="48.5703125" bestFit="1" customWidth="1"/>
    <col min="14596" max="14596" width="71.28515625" bestFit="1" customWidth="1"/>
    <col min="14597" max="14598" width="0" hidden="1" customWidth="1"/>
    <col min="14599" max="14599" width="15" customWidth="1"/>
    <col min="14600" max="14600" width="15.7109375" customWidth="1"/>
    <col min="14601" max="14601" width="12.28515625" customWidth="1"/>
    <col min="14602" max="14602" width="14.140625" customWidth="1"/>
    <col min="14603" max="14604" width="15.85546875" customWidth="1"/>
    <col min="14605" max="14605" width="10.7109375" customWidth="1"/>
    <col min="14606" max="14606" width="15" customWidth="1"/>
    <col min="14608" max="14608" width="24.85546875" customWidth="1"/>
    <col min="14844" max="14844" width="11.42578125" customWidth="1"/>
    <col min="14845" max="14845" width="16.7109375" bestFit="1" customWidth="1"/>
    <col min="14846" max="14846" width="17.42578125" customWidth="1"/>
    <col min="14847" max="14847" width="15.85546875" customWidth="1"/>
    <col min="14848" max="14848" width="15.7109375" customWidth="1"/>
    <col min="14849" max="14849" width="24.140625" customWidth="1"/>
    <col min="14850" max="14850" width="18" bestFit="1" customWidth="1"/>
    <col min="14851" max="14851" width="48.5703125" bestFit="1" customWidth="1"/>
    <col min="14852" max="14852" width="71.28515625" bestFit="1" customWidth="1"/>
    <col min="14853" max="14854" width="0" hidden="1" customWidth="1"/>
    <col min="14855" max="14855" width="15" customWidth="1"/>
    <col min="14856" max="14856" width="15.7109375" customWidth="1"/>
    <col min="14857" max="14857" width="12.28515625" customWidth="1"/>
    <col min="14858" max="14858" width="14.140625" customWidth="1"/>
    <col min="14859" max="14860" width="15.85546875" customWidth="1"/>
    <col min="14861" max="14861" width="10.7109375" customWidth="1"/>
    <col min="14862" max="14862" width="15" customWidth="1"/>
    <col min="14864" max="14864" width="24.85546875" customWidth="1"/>
    <col min="15100" max="15100" width="11.42578125" customWidth="1"/>
    <col min="15101" max="15101" width="16.7109375" bestFit="1" customWidth="1"/>
    <col min="15102" max="15102" width="17.42578125" customWidth="1"/>
    <col min="15103" max="15103" width="15.85546875" customWidth="1"/>
    <col min="15104" max="15104" width="15.7109375" customWidth="1"/>
    <col min="15105" max="15105" width="24.140625" customWidth="1"/>
    <col min="15106" max="15106" width="18" bestFit="1" customWidth="1"/>
    <col min="15107" max="15107" width="48.5703125" bestFit="1" customWidth="1"/>
    <col min="15108" max="15108" width="71.28515625" bestFit="1" customWidth="1"/>
    <col min="15109" max="15110" width="0" hidden="1" customWidth="1"/>
    <col min="15111" max="15111" width="15" customWidth="1"/>
    <col min="15112" max="15112" width="15.7109375" customWidth="1"/>
    <col min="15113" max="15113" width="12.28515625" customWidth="1"/>
    <col min="15114" max="15114" width="14.140625" customWidth="1"/>
    <col min="15115" max="15116" width="15.85546875" customWidth="1"/>
    <col min="15117" max="15117" width="10.7109375" customWidth="1"/>
    <col min="15118" max="15118" width="15" customWidth="1"/>
    <col min="15120" max="15120" width="24.85546875" customWidth="1"/>
    <col min="15356" max="15356" width="11.42578125" customWidth="1"/>
    <col min="15357" max="15357" width="16.7109375" bestFit="1" customWidth="1"/>
    <col min="15358" max="15358" width="17.42578125" customWidth="1"/>
    <col min="15359" max="15359" width="15.85546875" customWidth="1"/>
    <col min="15360" max="15360" width="15.7109375" customWidth="1"/>
    <col min="15361" max="15361" width="24.140625" customWidth="1"/>
    <col min="15362" max="15362" width="18" bestFit="1" customWidth="1"/>
    <col min="15363" max="15363" width="48.5703125" bestFit="1" customWidth="1"/>
    <col min="15364" max="15364" width="71.28515625" bestFit="1" customWidth="1"/>
    <col min="15365" max="15366" width="0" hidden="1" customWidth="1"/>
    <col min="15367" max="15367" width="15" customWidth="1"/>
    <col min="15368" max="15368" width="15.7109375" customWidth="1"/>
    <col min="15369" max="15369" width="12.28515625" customWidth="1"/>
    <col min="15370" max="15370" width="14.140625" customWidth="1"/>
    <col min="15371" max="15372" width="15.85546875" customWidth="1"/>
    <col min="15373" max="15373" width="10.7109375" customWidth="1"/>
    <col min="15374" max="15374" width="15" customWidth="1"/>
    <col min="15376" max="15376" width="24.85546875" customWidth="1"/>
    <col min="15612" max="15612" width="11.42578125" customWidth="1"/>
    <col min="15613" max="15613" width="16.7109375" bestFit="1" customWidth="1"/>
    <col min="15614" max="15614" width="17.42578125" customWidth="1"/>
    <col min="15615" max="15615" width="15.85546875" customWidth="1"/>
    <col min="15616" max="15616" width="15.7109375" customWidth="1"/>
    <col min="15617" max="15617" width="24.140625" customWidth="1"/>
    <col min="15618" max="15618" width="18" bestFit="1" customWidth="1"/>
    <col min="15619" max="15619" width="48.5703125" bestFit="1" customWidth="1"/>
    <col min="15620" max="15620" width="71.28515625" bestFit="1" customWidth="1"/>
    <col min="15621" max="15622" width="0" hidden="1" customWidth="1"/>
    <col min="15623" max="15623" width="15" customWidth="1"/>
    <col min="15624" max="15624" width="15.7109375" customWidth="1"/>
    <col min="15625" max="15625" width="12.28515625" customWidth="1"/>
    <col min="15626" max="15626" width="14.140625" customWidth="1"/>
    <col min="15627" max="15628" width="15.85546875" customWidth="1"/>
    <col min="15629" max="15629" width="10.7109375" customWidth="1"/>
    <col min="15630" max="15630" width="15" customWidth="1"/>
    <col min="15632" max="15632" width="24.85546875" customWidth="1"/>
    <col min="15868" max="15868" width="11.42578125" customWidth="1"/>
    <col min="15869" max="15869" width="16.7109375" bestFit="1" customWidth="1"/>
    <col min="15870" max="15870" width="17.42578125" customWidth="1"/>
    <col min="15871" max="15871" width="15.85546875" customWidth="1"/>
    <col min="15872" max="15872" width="15.7109375" customWidth="1"/>
    <col min="15873" max="15873" width="24.140625" customWidth="1"/>
    <col min="15874" max="15874" width="18" bestFit="1" customWidth="1"/>
    <col min="15875" max="15875" width="48.5703125" bestFit="1" customWidth="1"/>
    <col min="15876" max="15876" width="71.28515625" bestFit="1" customWidth="1"/>
    <col min="15877" max="15878" width="0" hidden="1" customWidth="1"/>
    <col min="15879" max="15879" width="15" customWidth="1"/>
    <col min="15880" max="15880" width="15.7109375" customWidth="1"/>
    <col min="15881" max="15881" width="12.28515625" customWidth="1"/>
    <col min="15882" max="15882" width="14.140625" customWidth="1"/>
    <col min="15883" max="15884" width="15.85546875" customWidth="1"/>
    <col min="15885" max="15885" width="10.7109375" customWidth="1"/>
    <col min="15886" max="15886" width="15" customWidth="1"/>
    <col min="15888" max="15888" width="24.85546875" customWidth="1"/>
    <col min="16124" max="16124" width="11.42578125" customWidth="1"/>
    <col min="16125" max="16125" width="16.7109375" bestFit="1" customWidth="1"/>
    <col min="16126" max="16126" width="17.42578125" customWidth="1"/>
    <col min="16127" max="16127" width="15.85546875" customWidth="1"/>
    <col min="16128" max="16128" width="15.7109375" customWidth="1"/>
    <col min="16129" max="16129" width="24.140625" customWidth="1"/>
    <col min="16130" max="16130" width="18" bestFit="1" customWidth="1"/>
    <col min="16131" max="16131" width="48.5703125" bestFit="1" customWidth="1"/>
    <col min="16132" max="16132" width="71.28515625" bestFit="1" customWidth="1"/>
    <col min="16133" max="16134" width="0" hidden="1" customWidth="1"/>
    <col min="16135" max="16135" width="15" customWidth="1"/>
    <col min="16136" max="16136" width="15.7109375" customWidth="1"/>
    <col min="16137" max="16137" width="12.28515625" customWidth="1"/>
    <col min="16138" max="16138" width="14.140625" customWidth="1"/>
    <col min="16139" max="16140" width="15.85546875" customWidth="1"/>
    <col min="16141" max="16141" width="10.7109375" customWidth="1"/>
    <col min="16142" max="16142" width="15" customWidth="1"/>
    <col min="16144" max="16144" width="24.85546875" customWidth="1"/>
  </cols>
  <sheetData>
    <row r="1" spans="1:41" ht="15" customHeight="1" thickBot="1" x14ac:dyDescent="0.3">
      <c r="B1" s="33"/>
      <c r="C1" s="33"/>
      <c r="D1" s="33"/>
      <c r="E1" s="33"/>
      <c r="H1" s="34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41" ht="15" customHeight="1" x14ac:dyDescent="0.25">
      <c r="B2" s="146" t="s">
        <v>107</v>
      </c>
      <c r="C2" s="147" t="s">
        <v>135</v>
      </c>
      <c r="D2" s="29" t="s">
        <v>274</v>
      </c>
      <c r="E2" s="29" t="s">
        <v>276</v>
      </c>
      <c r="F2" s="148" t="s">
        <v>45</v>
      </c>
      <c r="G2" s="29" t="s">
        <v>277</v>
      </c>
      <c r="H2" s="277" t="s">
        <v>10</v>
      </c>
      <c r="I2" s="283" t="s">
        <v>11</v>
      </c>
      <c r="J2" s="29" t="s">
        <v>278</v>
      </c>
      <c r="K2" s="29" t="s">
        <v>279</v>
      </c>
      <c r="L2" s="29" t="s">
        <v>280</v>
      </c>
      <c r="M2" s="29" t="s">
        <v>46</v>
      </c>
      <c r="N2" s="29" t="s">
        <v>39</v>
      </c>
      <c r="O2" s="29" t="s">
        <v>288</v>
      </c>
      <c r="P2" s="29" t="s">
        <v>44</v>
      </c>
      <c r="Q2" s="149" t="s">
        <v>47</v>
      </c>
      <c r="R2" s="29" t="s">
        <v>290</v>
      </c>
      <c r="S2" s="148" t="s">
        <v>108</v>
      </c>
      <c r="T2" s="148" t="s">
        <v>292</v>
      </c>
    </row>
    <row r="3" spans="1:41" ht="15" customHeight="1" x14ac:dyDescent="0.25">
      <c r="B3" s="309">
        <v>0</v>
      </c>
      <c r="C3" s="315">
        <v>0</v>
      </c>
      <c r="D3" s="311" t="s">
        <v>137</v>
      </c>
      <c r="E3" s="312" t="s">
        <v>267</v>
      </c>
      <c r="F3" s="273"/>
      <c r="G3" s="313"/>
      <c r="H3" s="308"/>
      <c r="I3" s="308"/>
      <c r="J3" s="314"/>
      <c r="K3" s="312"/>
      <c r="L3" s="312"/>
      <c r="M3" s="311"/>
      <c r="N3" s="310"/>
      <c r="O3" s="312"/>
      <c r="P3" s="310"/>
      <c r="Q3" s="311"/>
      <c r="R3" s="312"/>
      <c r="S3" s="31"/>
      <c r="T3" s="313"/>
    </row>
    <row r="4" spans="1:41" ht="15" customHeight="1" x14ac:dyDescent="0.25">
      <c r="B4" s="36"/>
      <c r="C4" s="36"/>
      <c r="D4" s="36"/>
      <c r="G4" s="21"/>
      <c r="H4" s="220"/>
    </row>
    <row r="5" spans="1:41" ht="15" customHeight="1" x14ac:dyDescent="0.25">
      <c r="G5" s="5"/>
      <c r="H5" s="144"/>
      <c r="N5" s="89"/>
      <c r="Q5" s="20"/>
      <c r="R5" s="20"/>
      <c r="S5" s="20"/>
      <c r="U5" s="18"/>
      <c r="V5" s="18"/>
      <c r="W5" s="18"/>
      <c r="X5" s="18"/>
    </row>
    <row r="6" spans="1:41" s="214" customFormat="1" ht="15" customHeight="1" x14ac:dyDescent="0.25">
      <c r="A6" s="4"/>
      <c r="B6" s="33"/>
      <c r="C6" s="33"/>
      <c r="D6" s="33"/>
      <c r="E6" s="33"/>
      <c r="F6" s="303"/>
      <c r="G6" s="5"/>
      <c r="H6" s="144"/>
      <c r="I6" s="3"/>
      <c r="J6" s="3"/>
      <c r="K6" s="33"/>
      <c r="L6" s="33"/>
      <c r="M6" s="33"/>
      <c r="N6" s="89"/>
      <c r="O6" s="33"/>
      <c r="P6" s="33"/>
      <c r="Q6" s="20"/>
      <c r="R6" s="20"/>
      <c r="S6" s="20"/>
      <c r="T6" s="33"/>
      <c r="U6" s="18"/>
      <c r="V6" s="18"/>
      <c r="W6" s="18"/>
      <c r="X6" s="18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s="214" customFormat="1" ht="15" customHeight="1" x14ac:dyDescent="0.25">
      <c r="A7" s="4"/>
      <c r="B7" s="33"/>
      <c r="C7" s="33"/>
      <c r="D7" s="33"/>
      <c r="E7" s="33"/>
      <c r="F7" s="303"/>
      <c r="G7" s="5"/>
      <c r="H7" s="144"/>
      <c r="I7" s="3"/>
      <c r="J7" s="3"/>
      <c r="K7" s="33"/>
      <c r="L7" s="33"/>
      <c r="M7" s="33"/>
      <c r="N7" s="89"/>
      <c r="O7" s="33"/>
      <c r="P7" s="33"/>
      <c r="Q7" s="20"/>
      <c r="R7" s="20"/>
      <c r="S7" s="20"/>
      <c r="T7" s="33"/>
      <c r="U7" s="18"/>
      <c r="V7" s="18"/>
      <c r="W7" s="18"/>
      <c r="X7" s="1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5" customHeight="1" thickBot="1" x14ac:dyDescent="0.3">
      <c r="G8" s="5"/>
      <c r="W8" s="18"/>
      <c r="X8" s="18"/>
    </row>
    <row r="9" spans="1:41" ht="30" customHeight="1" x14ac:dyDescent="0.25">
      <c r="B9" s="146" t="s">
        <v>107</v>
      </c>
      <c r="C9" s="147" t="s">
        <v>135</v>
      </c>
      <c r="D9" s="29" t="s">
        <v>274</v>
      </c>
      <c r="E9" s="29" t="s">
        <v>276</v>
      </c>
      <c r="F9" s="148" t="s">
        <v>45</v>
      </c>
      <c r="G9" s="29" t="s">
        <v>277</v>
      </c>
      <c r="H9" s="277" t="s">
        <v>10</v>
      </c>
      <c r="I9" s="283" t="s">
        <v>11</v>
      </c>
      <c r="J9" s="29" t="s">
        <v>278</v>
      </c>
      <c r="K9" s="29" t="s">
        <v>279</v>
      </c>
      <c r="L9" s="29" t="s">
        <v>280</v>
      </c>
      <c r="M9" s="29" t="s">
        <v>46</v>
      </c>
      <c r="N9" s="29" t="s">
        <v>39</v>
      </c>
      <c r="O9" s="29" t="s">
        <v>288</v>
      </c>
      <c r="P9" s="29" t="s">
        <v>44</v>
      </c>
      <c r="Q9" s="149" t="s">
        <v>47</v>
      </c>
      <c r="R9" s="29" t="s">
        <v>290</v>
      </c>
      <c r="S9" s="148" t="s">
        <v>108</v>
      </c>
      <c r="T9" s="148" t="s">
        <v>292</v>
      </c>
      <c r="V9" s="18"/>
      <c r="W9" s="18"/>
    </row>
    <row r="10" spans="1:41" s="1" customFormat="1" ht="20.100000000000001" customHeight="1" thickBot="1" x14ac:dyDescent="0.3">
      <c r="A10" s="4"/>
      <c r="B10" s="309" t="s">
        <v>295</v>
      </c>
      <c r="C10" s="310" t="s">
        <v>296</v>
      </c>
      <c r="D10" s="311" t="s">
        <v>220</v>
      </c>
      <c r="E10" s="312" t="s">
        <v>287</v>
      </c>
      <c r="F10" s="273" t="s">
        <v>297</v>
      </c>
      <c r="G10" s="313" t="s">
        <v>276</v>
      </c>
      <c r="H10" s="308">
        <v>0</v>
      </c>
      <c r="I10" s="308">
        <f>IF(L10=TRUE,H10,0)</f>
        <v>0</v>
      </c>
      <c r="J10" s="314" t="s">
        <v>138</v>
      </c>
      <c r="K10" s="312" t="s">
        <v>138</v>
      </c>
      <c r="L10" s="312" t="b">
        <v>0</v>
      </c>
      <c r="M10" s="311"/>
      <c r="N10" s="310"/>
      <c r="O10" s="312"/>
      <c r="P10" s="310"/>
      <c r="Q10" s="311"/>
      <c r="R10" s="312"/>
      <c r="S10" s="31"/>
      <c r="T10" s="313" t="s">
        <v>294</v>
      </c>
      <c r="V10" s="18"/>
      <c r="W10" s="18"/>
    </row>
    <row r="11" spans="1:41" s="232" customFormat="1" ht="15" customHeight="1" thickBot="1" x14ac:dyDescent="0.3">
      <c r="A11" s="267"/>
      <c r="B11" s="243" t="s">
        <v>218</v>
      </c>
      <c r="C11" s="244"/>
      <c r="D11" s="244"/>
      <c r="E11" s="244"/>
      <c r="F11" s="305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V11" s="233"/>
      <c r="W11" s="233"/>
    </row>
    <row r="12" spans="1:41" s="1" customFormat="1" ht="20.100000000000001" customHeight="1" thickBot="1" x14ac:dyDescent="0.3">
      <c r="A12" s="4"/>
      <c r="B12" s="235"/>
      <c r="C12" s="236"/>
      <c r="D12" s="230"/>
      <c r="E12" s="236"/>
      <c r="F12" s="306"/>
      <c r="G12" s="238"/>
      <c r="H12" s="288"/>
      <c r="I12" s="211"/>
      <c r="J12" s="289"/>
      <c r="K12" s="210"/>
      <c r="L12" s="239"/>
      <c r="M12" s="237"/>
      <c r="N12" s="236"/>
      <c r="O12" s="239"/>
      <c r="P12" s="236"/>
      <c r="Q12" s="237"/>
      <c r="R12" s="239"/>
      <c r="S12" s="240"/>
      <c r="T12" s="238"/>
      <c r="V12" s="18"/>
      <c r="W12" s="18"/>
    </row>
    <row r="13" spans="1:41" s="232" customFormat="1" ht="15" customHeight="1" thickBot="1" x14ac:dyDescent="0.3">
      <c r="A13" s="267"/>
      <c r="B13" s="243"/>
      <c r="C13" s="244" t="s">
        <v>120</v>
      </c>
      <c r="D13" s="244"/>
      <c r="E13" s="244"/>
      <c r="F13" s="305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244"/>
      <c r="R13" s="244"/>
      <c r="S13" s="244"/>
      <c r="T13" s="244"/>
      <c r="V13" s="233"/>
      <c r="W13" s="233"/>
    </row>
    <row r="14" spans="1:41" s="1" customFormat="1" ht="20.100000000000001" customHeight="1" thickBot="1" x14ac:dyDescent="0.3">
      <c r="A14" s="4"/>
      <c r="B14" s="242"/>
      <c r="C14" s="224"/>
      <c r="D14" s="230"/>
      <c r="E14" s="224"/>
      <c r="F14" s="307"/>
      <c r="G14" s="150"/>
      <c r="H14" s="227"/>
      <c r="I14" s="211"/>
      <c r="J14" s="228"/>
      <c r="K14" s="226"/>
      <c r="L14" s="226"/>
      <c r="M14" s="225"/>
      <c r="N14" s="224"/>
      <c r="O14" s="226"/>
      <c r="P14" s="224"/>
      <c r="Q14" s="225"/>
      <c r="R14" s="226"/>
      <c r="S14" s="229"/>
      <c r="T14" s="150"/>
      <c r="V14" s="18"/>
      <c r="W14" s="18"/>
    </row>
    <row r="15" spans="1:41" ht="16.5" thickBot="1" x14ac:dyDescent="0.3">
      <c r="A15" s="1"/>
      <c r="B15" s="325" t="s">
        <v>26</v>
      </c>
      <c r="C15" s="326"/>
      <c r="D15" s="326"/>
      <c r="E15" s="326"/>
      <c r="F15" s="326"/>
      <c r="G15" s="326"/>
      <c r="H15" s="96">
        <f>SUM(H10:H14)</f>
        <v>0</v>
      </c>
      <c r="I15" s="96">
        <f>SUM(I10:I14)</f>
        <v>0</v>
      </c>
      <c r="J15" s="103"/>
      <c r="K15" s="103"/>
      <c r="L15" s="103"/>
      <c r="M15" s="103"/>
      <c r="N15" s="103"/>
      <c r="O15" s="93"/>
      <c r="P15" s="94"/>
      <c r="Q15" s="94"/>
      <c r="R15" s="94"/>
      <c r="S15" s="95"/>
      <c r="T15" s="143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5">
      <c r="A16" s="1"/>
      <c r="B16"/>
      <c r="E16" s="3"/>
      <c r="H16" s="145"/>
      <c r="I16" s="208"/>
      <c r="J16" s="32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25">
      <c r="A17" s="1"/>
      <c r="B17"/>
      <c r="H17" s="144"/>
      <c r="I17" s="211"/>
      <c r="K17" s="268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25">
      <c r="A18" s="1"/>
      <c r="B18"/>
      <c r="C18"/>
      <c r="D18"/>
      <c r="E18"/>
      <c r="F18" s="304"/>
      <c r="H18" s="30"/>
      <c r="I18"/>
      <c r="J18"/>
      <c r="K18"/>
      <c r="L18"/>
      <c r="M18"/>
      <c r="N18"/>
      <c r="O18"/>
      <c r="P18"/>
      <c r="Q18"/>
      <c r="R18" t="s">
        <v>174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25">
      <c r="A19" s="1"/>
      <c r="B19"/>
      <c r="C19"/>
      <c r="D19"/>
      <c r="E19"/>
      <c r="F19" s="304"/>
      <c r="H19"/>
      <c r="I19"/>
      <c r="J19"/>
      <c r="K19"/>
      <c r="L19" s="279"/>
      <c r="M19"/>
      <c r="N19" s="30"/>
      <c r="O19"/>
      <c r="P19"/>
      <c r="Q19" t="s">
        <v>225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25">
      <c r="A20" s="1"/>
      <c r="B20"/>
      <c r="C20"/>
      <c r="D20"/>
      <c r="E20"/>
      <c r="F20" s="304"/>
      <c r="H20" s="137"/>
      <c r="I20" s="137"/>
      <c r="J20"/>
      <c r="K20"/>
      <c r="L20" s="279"/>
      <c r="M20"/>
      <c r="N20" t="s">
        <v>219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25">
      <c r="A21" s="1"/>
      <c r="B21"/>
      <c r="C21"/>
      <c r="D21"/>
      <c r="E21"/>
      <c r="F21" s="304"/>
      <c r="H21"/>
      <c r="I21" s="30"/>
      <c r="J21"/>
      <c r="K21"/>
      <c r="L21" s="279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25">
      <c r="A22" s="1"/>
      <c r="B22"/>
      <c r="C22"/>
      <c r="D22"/>
      <c r="E22"/>
      <c r="F22" s="304"/>
      <c r="H22"/>
      <c r="I22"/>
      <c r="J22"/>
      <c r="K22"/>
      <c r="L22" s="280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25">
      <c r="A23" s="1"/>
      <c r="B23"/>
      <c r="C23"/>
      <c r="D23"/>
      <c r="E23"/>
      <c r="F23" s="304"/>
      <c r="H23"/>
      <c r="I23" s="30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25">
      <c r="A24" s="1"/>
      <c r="B24"/>
      <c r="C24"/>
      <c r="D24"/>
      <c r="E24"/>
      <c r="F24" s="304"/>
      <c r="H24"/>
      <c r="I24" s="30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25">
      <c r="A25" s="1"/>
      <c r="B25"/>
      <c r="C25"/>
      <c r="D25"/>
      <c r="E25"/>
      <c r="F25" s="304"/>
      <c r="H25"/>
      <c r="I25"/>
      <c r="J25"/>
      <c r="K25"/>
      <c r="L25"/>
      <c r="M25" s="30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25">
      <c r="A26" s="1"/>
      <c r="B26"/>
      <c r="C26"/>
      <c r="D26"/>
      <c r="E26"/>
      <c r="F26" s="304"/>
      <c r="G26" s="270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25">
      <c r="A27" s="1"/>
      <c r="B27"/>
      <c r="C27"/>
      <c r="D27"/>
      <c r="E27"/>
      <c r="F27" s="304"/>
      <c r="G27" s="270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25">
      <c r="A28" s="1"/>
      <c r="B28"/>
      <c r="C28"/>
      <c r="D28"/>
      <c r="E28"/>
      <c r="F28" s="304"/>
      <c r="G28" s="270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25">
      <c r="A29" s="1"/>
      <c r="B29"/>
      <c r="C29"/>
      <c r="D29"/>
      <c r="E29"/>
      <c r="F29" s="304"/>
      <c r="G29" s="270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25">
      <c r="A30" s="1"/>
      <c r="B30"/>
      <c r="C30"/>
      <c r="D30"/>
      <c r="E30"/>
      <c r="F30" s="304"/>
      <c r="G30" s="27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25">
      <c r="A31" s="1"/>
      <c r="B31"/>
      <c r="C31"/>
      <c r="D31"/>
      <c r="E31"/>
      <c r="F31" s="304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25">
      <c r="A32" s="1"/>
      <c r="B32"/>
      <c r="C32"/>
      <c r="D32"/>
      <c r="E32"/>
      <c r="F32" s="304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25">
      <c r="A33" s="1"/>
      <c r="B33"/>
      <c r="C33"/>
      <c r="D33"/>
      <c r="E33"/>
      <c r="F33" s="304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25">
      <c r="A34" s="1"/>
      <c r="B34"/>
      <c r="C34"/>
      <c r="D34"/>
      <c r="E34"/>
      <c r="F34" s="30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25">
      <c r="A35" s="1"/>
      <c r="B35"/>
      <c r="C35"/>
      <c r="D35"/>
      <c r="E35"/>
      <c r="F35" s="304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25">
      <c r="A36" s="1"/>
      <c r="B36"/>
      <c r="C36"/>
      <c r="D36"/>
      <c r="E36"/>
      <c r="F36" s="304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25">
      <c r="A37" s="1"/>
      <c r="B37"/>
      <c r="C37"/>
      <c r="D37"/>
      <c r="E37"/>
      <c r="F37" s="304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25">
      <c r="A38" s="1"/>
      <c r="B38"/>
      <c r="C38"/>
      <c r="D38"/>
      <c r="E38"/>
      <c r="F38" s="304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x14ac:dyDescent="0.25">
      <c r="A39" s="1"/>
      <c r="B39"/>
      <c r="C39"/>
      <c r="D39"/>
      <c r="E39"/>
      <c r="F39" s="304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x14ac:dyDescent="0.25">
      <c r="A40" s="1"/>
      <c r="B40"/>
      <c r="C40"/>
      <c r="D40"/>
      <c r="E40"/>
      <c r="F40" s="304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x14ac:dyDescent="0.25">
      <c r="A41" s="1"/>
      <c r="B41"/>
      <c r="C41"/>
      <c r="D41"/>
      <c r="E41"/>
      <c r="F41" s="304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x14ac:dyDescent="0.25">
      <c r="A42" s="1"/>
      <c r="B42"/>
      <c r="C42"/>
      <c r="D42"/>
      <c r="E42"/>
      <c r="F42" s="304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x14ac:dyDescent="0.25">
      <c r="A43" s="1"/>
      <c r="B43"/>
      <c r="C43"/>
      <c r="D43"/>
      <c r="E43"/>
      <c r="F43" s="304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x14ac:dyDescent="0.25">
      <c r="A44" s="1"/>
      <c r="B44"/>
      <c r="C44"/>
      <c r="D44"/>
      <c r="E44"/>
      <c r="F44" s="30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x14ac:dyDescent="0.25">
      <c r="A45" s="1"/>
      <c r="B45"/>
      <c r="C45"/>
      <c r="D45"/>
      <c r="E45"/>
      <c r="F45" s="304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41" x14ac:dyDescent="0.25">
      <c r="A46" s="1"/>
      <c r="B46"/>
      <c r="C46"/>
      <c r="D46"/>
      <c r="E46"/>
      <c r="F46" s="304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x14ac:dyDescent="0.25">
      <c r="A47" s="1"/>
      <c r="B47"/>
      <c r="C47"/>
      <c r="D47"/>
      <c r="E47"/>
      <c r="F47" s="304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x14ac:dyDescent="0.25">
      <c r="A48" s="1"/>
      <c r="B48"/>
      <c r="C48"/>
      <c r="D48"/>
      <c r="E48"/>
      <c r="F48" s="304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41" x14ac:dyDescent="0.25">
      <c r="A49" s="1"/>
      <c r="B49"/>
      <c r="C49"/>
      <c r="D49"/>
      <c r="E49"/>
      <c r="F49" s="304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41" x14ac:dyDescent="0.25">
      <c r="A50" s="1"/>
      <c r="B50"/>
      <c r="C50"/>
      <c r="D50"/>
      <c r="E50"/>
      <c r="F50" s="304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41" x14ac:dyDescent="0.25">
      <c r="A51" s="1"/>
      <c r="B51"/>
      <c r="C51"/>
      <c r="D51"/>
      <c r="E51"/>
      <c r="F51" s="304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41" x14ac:dyDescent="0.25">
      <c r="A52" s="1"/>
      <c r="B52"/>
      <c r="C52"/>
      <c r="D52"/>
      <c r="E52"/>
      <c r="F52" s="30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41" x14ac:dyDescent="0.25">
      <c r="A53" s="1"/>
      <c r="B53"/>
      <c r="C53"/>
      <c r="D53"/>
      <c r="E53"/>
      <c r="F53" s="30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41" x14ac:dyDescent="0.25">
      <c r="A54" s="1"/>
      <c r="B54"/>
      <c r="C54"/>
      <c r="D54"/>
      <c r="E54"/>
      <c r="F54" s="30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41" x14ac:dyDescent="0.25">
      <c r="A55" s="1"/>
      <c r="B55"/>
      <c r="C55"/>
      <c r="D55"/>
      <c r="E55"/>
      <c r="F55" s="304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41" x14ac:dyDescent="0.25">
      <c r="A56" s="1"/>
      <c r="B56"/>
      <c r="C56"/>
      <c r="D56"/>
      <c r="E56"/>
      <c r="F56" s="304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x14ac:dyDescent="0.25">
      <c r="A57" s="1"/>
      <c r="B57"/>
      <c r="C57"/>
      <c r="D57"/>
      <c r="E57"/>
      <c r="F57" s="30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41" x14ac:dyDescent="0.25">
      <c r="A58" s="1"/>
      <c r="B58"/>
      <c r="C58"/>
      <c r="D58"/>
      <c r="E58"/>
      <c r="F58" s="304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41" x14ac:dyDescent="0.25">
      <c r="A59" s="1"/>
      <c r="B59"/>
      <c r="C59"/>
      <c r="D59"/>
      <c r="E59"/>
      <c r="F59" s="304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41" x14ac:dyDescent="0.25">
      <c r="A60" s="1"/>
      <c r="B60"/>
      <c r="C60"/>
      <c r="D60"/>
      <c r="E60"/>
      <c r="F60" s="30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41" x14ac:dyDescent="0.25">
      <c r="A61" s="1"/>
      <c r="B61"/>
      <c r="C61"/>
      <c r="D61"/>
      <c r="E61"/>
      <c r="F61" s="30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41" x14ac:dyDescent="0.25">
      <c r="A62" s="1"/>
      <c r="B62"/>
      <c r="C62"/>
      <c r="D62"/>
      <c r="E62"/>
      <c r="F62" s="304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41" x14ac:dyDescent="0.25">
      <c r="A63" s="1"/>
      <c r="B63"/>
      <c r="C63"/>
      <c r="D63"/>
      <c r="E63"/>
      <c r="F63" s="304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41" x14ac:dyDescent="0.25">
      <c r="A64" s="1"/>
      <c r="B64"/>
      <c r="C64"/>
      <c r="D64"/>
      <c r="E64"/>
      <c r="F64" s="30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41" x14ac:dyDescent="0.25">
      <c r="A65" s="1"/>
      <c r="B65"/>
      <c r="C65"/>
      <c r="D65"/>
      <c r="E65"/>
      <c r="F65" s="304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41" x14ac:dyDescent="0.25">
      <c r="A66" s="1"/>
      <c r="B66"/>
      <c r="C66"/>
      <c r="D66"/>
      <c r="E66"/>
      <c r="F66" s="304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41" x14ac:dyDescent="0.25">
      <c r="A67" s="1"/>
      <c r="B67"/>
      <c r="C67"/>
      <c r="D67"/>
      <c r="E67"/>
      <c r="F67" s="304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41" x14ac:dyDescent="0.25">
      <c r="A68" s="1"/>
      <c r="B68"/>
      <c r="C68"/>
      <c r="D68"/>
      <c r="E68"/>
      <c r="F68" s="304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41" x14ac:dyDescent="0.25">
      <c r="A69" s="1"/>
      <c r="B69"/>
      <c r="C69"/>
      <c r="D69"/>
      <c r="E69"/>
      <c r="F69" s="304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41" x14ac:dyDescent="0.25">
      <c r="A70" s="1"/>
      <c r="B70"/>
      <c r="C70"/>
      <c r="D70"/>
      <c r="E70"/>
      <c r="F70" s="304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41" x14ac:dyDescent="0.25">
      <c r="A71" s="1"/>
      <c r="B71"/>
      <c r="C71"/>
      <c r="D71"/>
      <c r="E71"/>
      <c r="F71" s="304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41" x14ac:dyDescent="0.25">
      <c r="A72" s="1"/>
      <c r="B72"/>
      <c r="C72"/>
      <c r="D72"/>
      <c r="E72"/>
      <c r="F72" s="304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41" x14ac:dyDescent="0.25">
      <c r="A73" s="1"/>
      <c r="B73"/>
      <c r="C73"/>
      <c r="D73"/>
      <c r="E73"/>
      <c r="F73" s="30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41" x14ac:dyDescent="0.25">
      <c r="A74" s="1"/>
      <c r="B74"/>
      <c r="C74"/>
      <c r="D74"/>
      <c r="E74"/>
      <c r="F74" s="30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41" x14ac:dyDescent="0.25">
      <c r="A75" s="1"/>
      <c r="B75"/>
      <c r="C75"/>
      <c r="D75"/>
      <c r="E75"/>
      <c r="F75" s="30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41" x14ac:dyDescent="0.25">
      <c r="A76" s="1"/>
      <c r="B76"/>
      <c r="C76"/>
      <c r="D76"/>
      <c r="E76"/>
      <c r="F76" s="30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41" x14ac:dyDescent="0.25">
      <c r="A77" s="1"/>
      <c r="B77"/>
      <c r="C77"/>
      <c r="D77"/>
      <c r="E77"/>
      <c r="F77" s="304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41" x14ac:dyDescent="0.25">
      <c r="A78" s="1"/>
      <c r="B78"/>
      <c r="C78"/>
      <c r="D78"/>
      <c r="E78"/>
      <c r="F78" s="304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41" x14ac:dyDescent="0.25">
      <c r="A79" s="1"/>
      <c r="B79"/>
      <c r="C79"/>
      <c r="D79"/>
      <c r="E79"/>
      <c r="F79" s="304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41" x14ac:dyDescent="0.25">
      <c r="A80" s="1"/>
      <c r="B80"/>
      <c r="C80"/>
      <c r="D80"/>
      <c r="E80"/>
      <c r="F80" s="304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41" x14ac:dyDescent="0.25">
      <c r="A81" s="1"/>
      <c r="B81"/>
      <c r="C81"/>
      <c r="D81"/>
      <c r="E81"/>
      <c r="F81" s="304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41" x14ac:dyDescent="0.25">
      <c r="A82" s="1"/>
      <c r="B82"/>
      <c r="C82"/>
      <c r="D82"/>
      <c r="E82"/>
      <c r="F82" s="304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41" x14ac:dyDescent="0.25">
      <c r="A83" s="1"/>
      <c r="B83"/>
      <c r="C83"/>
      <c r="D83"/>
      <c r="E83"/>
      <c r="F83" s="304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41" x14ac:dyDescent="0.25">
      <c r="A84" s="1"/>
      <c r="B84"/>
      <c r="C84"/>
      <c r="D84"/>
      <c r="E84"/>
      <c r="F84" s="30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41" x14ac:dyDescent="0.25">
      <c r="A85" s="1"/>
      <c r="B85"/>
      <c r="C85"/>
      <c r="D85"/>
      <c r="E85"/>
      <c r="F85" s="304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41" x14ac:dyDescent="0.25">
      <c r="A86" s="1"/>
      <c r="B86"/>
      <c r="C86"/>
      <c r="D86"/>
      <c r="E86"/>
      <c r="F86" s="304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41" x14ac:dyDescent="0.25">
      <c r="A87" s="1"/>
      <c r="B87"/>
      <c r="C87"/>
      <c r="D87"/>
      <c r="E87"/>
      <c r="F87" s="304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41" x14ac:dyDescent="0.25">
      <c r="A88" s="1"/>
      <c r="B88"/>
      <c r="C88"/>
      <c r="D88"/>
      <c r="E88"/>
      <c r="F88" s="304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x14ac:dyDescent="0.25">
      <c r="A89" s="1"/>
      <c r="B89"/>
      <c r="C89"/>
      <c r="D89"/>
      <c r="E89"/>
      <c r="F89" s="304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41" x14ac:dyDescent="0.25">
      <c r="A90" s="1"/>
      <c r="B90"/>
      <c r="C90"/>
      <c r="D90"/>
      <c r="E90"/>
      <c r="F90" s="304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41" x14ac:dyDescent="0.25">
      <c r="A91" s="1"/>
      <c r="B91"/>
      <c r="C91"/>
      <c r="D91"/>
      <c r="E91"/>
      <c r="F91" s="304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41" x14ac:dyDescent="0.25">
      <c r="A92" s="1"/>
      <c r="B92"/>
      <c r="C92"/>
      <c r="D92"/>
      <c r="E92"/>
      <c r="F92" s="304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41" x14ac:dyDescent="0.25">
      <c r="A93" s="1"/>
      <c r="B93"/>
      <c r="C93"/>
      <c r="D93"/>
      <c r="E93"/>
      <c r="F93" s="304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41" x14ac:dyDescent="0.25">
      <c r="A94" s="1"/>
      <c r="B94"/>
      <c r="C94"/>
      <c r="D94"/>
      <c r="E94"/>
      <c r="F94" s="30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41" x14ac:dyDescent="0.25">
      <c r="A95" s="1"/>
      <c r="B95"/>
      <c r="C95"/>
      <c r="D95"/>
      <c r="E95"/>
      <c r="F95" s="304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41" x14ac:dyDescent="0.25">
      <c r="A96" s="1"/>
      <c r="B96"/>
      <c r="C96"/>
      <c r="D96"/>
      <c r="E96"/>
      <c r="F96" s="304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41" x14ac:dyDescent="0.25">
      <c r="A97" s="1"/>
      <c r="B97"/>
      <c r="C97"/>
      <c r="D97"/>
      <c r="E97"/>
      <c r="F97" s="304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41" x14ac:dyDescent="0.25">
      <c r="A98" s="1"/>
      <c r="B98"/>
      <c r="C98"/>
      <c r="D98"/>
      <c r="E98"/>
      <c r="F98" s="304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41" x14ac:dyDescent="0.25">
      <c r="A99" s="1"/>
      <c r="B99"/>
      <c r="C99"/>
      <c r="D99"/>
      <c r="E99"/>
      <c r="F99" s="304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41" x14ac:dyDescent="0.25">
      <c r="A100" s="1"/>
      <c r="B100"/>
      <c r="C100"/>
      <c r="D100"/>
      <c r="E100"/>
      <c r="F100" s="304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41" x14ac:dyDescent="0.25">
      <c r="A101" s="1"/>
      <c r="B101"/>
      <c r="C101"/>
      <c r="D101"/>
      <c r="E101"/>
      <c r="F101" s="304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41" x14ac:dyDescent="0.25">
      <c r="A102" s="1"/>
      <c r="B102"/>
      <c r="C102"/>
      <c r="D102"/>
      <c r="E102"/>
      <c r="F102" s="304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41" x14ac:dyDescent="0.25">
      <c r="A103" s="1"/>
      <c r="B103"/>
      <c r="C103"/>
      <c r="D103"/>
      <c r="E103"/>
      <c r="F103" s="304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41" x14ac:dyDescent="0.25">
      <c r="A104" s="1"/>
      <c r="B104"/>
      <c r="C104"/>
      <c r="D104"/>
      <c r="E104"/>
      <c r="F104" s="3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41" x14ac:dyDescent="0.25">
      <c r="A105" s="1"/>
      <c r="B105"/>
      <c r="C105"/>
      <c r="D105"/>
      <c r="E105"/>
      <c r="F105" s="304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41" x14ac:dyDescent="0.25">
      <c r="A106" s="1"/>
      <c r="B106"/>
      <c r="C106"/>
      <c r="D106"/>
      <c r="E106"/>
      <c r="F106" s="304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41" x14ac:dyDescent="0.25">
      <c r="A107" s="1"/>
      <c r="B107"/>
      <c r="C107"/>
      <c r="D107"/>
      <c r="E107"/>
      <c r="F107" s="304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41" x14ac:dyDescent="0.25">
      <c r="A108" s="1"/>
      <c r="B108"/>
      <c r="C108"/>
      <c r="D108"/>
      <c r="E108"/>
      <c r="F108" s="304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41" x14ac:dyDescent="0.25">
      <c r="A109" s="1"/>
      <c r="B109"/>
      <c r="C109"/>
      <c r="D109"/>
      <c r="E109"/>
      <c r="F109" s="304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41" x14ac:dyDescent="0.25">
      <c r="A110" s="1"/>
      <c r="B110"/>
      <c r="C110"/>
      <c r="D110"/>
      <c r="E110"/>
      <c r="F110" s="304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41" x14ac:dyDescent="0.25">
      <c r="A111" s="1"/>
      <c r="B111"/>
      <c r="C111"/>
      <c r="D111"/>
      <c r="E111"/>
      <c r="F111" s="304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41" x14ac:dyDescent="0.25">
      <c r="A112" s="1"/>
      <c r="B112"/>
      <c r="C112"/>
      <c r="D112"/>
      <c r="E112"/>
      <c r="F112" s="304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41" x14ac:dyDescent="0.25">
      <c r="A113" s="1"/>
      <c r="B113"/>
      <c r="C113"/>
      <c r="D113"/>
      <c r="E113"/>
      <c r="F113" s="304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41" x14ac:dyDescent="0.25">
      <c r="A114" s="1"/>
      <c r="B114"/>
      <c r="C114"/>
      <c r="D114"/>
      <c r="E114"/>
      <c r="F114" s="30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41" x14ac:dyDescent="0.25">
      <c r="A115" s="1"/>
      <c r="B115"/>
      <c r="C115"/>
      <c r="D115"/>
      <c r="E115"/>
      <c r="F115" s="304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41" x14ac:dyDescent="0.25">
      <c r="A116" s="1"/>
      <c r="B116"/>
      <c r="C116"/>
      <c r="D116"/>
      <c r="E116"/>
      <c r="F116" s="304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1:41" x14ac:dyDescent="0.25">
      <c r="A117" s="1"/>
      <c r="B117"/>
      <c r="C117"/>
      <c r="D117"/>
      <c r="E117"/>
      <c r="F117" s="304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1:41" x14ac:dyDescent="0.25">
      <c r="A118" s="1"/>
      <c r="B118"/>
      <c r="C118"/>
      <c r="D118"/>
      <c r="E118"/>
      <c r="F118" s="304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1:41" x14ac:dyDescent="0.25">
      <c r="A119" s="1"/>
      <c r="B119"/>
      <c r="C119"/>
      <c r="D119"/>
      <c r="E119"/>
      <c r="F119" s="304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1:41" x14ac:dyDescent="0.25">
      <c r="A120" s="1"/>
      <c r="B120"/>
      <c r="C120"/>
      <c r="D120"/>
      <c r="E120"/>
      <c r="F120" s="304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1:41" x14ac:dyDescent="0.25">
      <c r="A121" s="1"/>
      <c r="B121"/>
      <c r="C121"/>
      <c r="D121"/>
      <c r="E121"/>
      <c r="F121" s="304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1:41" x14ac:dyDescent="0.25">
      <c r="A122" s="1"/>
      <c r="B122"/>
      <c r="C122"/>
      <c r="D122"/>
      <c r="E122"/>
      <c r="F122" s="304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1:41" x14ac:dyDescent="0.25">
      <c r="A123" s="1"/>
      <c r="B123"/>
      <c r="C123"/>
      <c r="D123"/>
      <c r="E123"/>
      <c r="F123" s="304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1:41" x14ac:dyDescent="0.25">
      <c r="A124" s="1"/>
      <c r="B124"/>
      <c r="C124"/>
      <c r="D124"/>
      <c r="E124"/>
      <c r="F124" s="30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1:41" x14ac:dyDescent="0.25">
      <c r="A125" s="1"/>
      <c r="B125"/>
      <c r="C125"/>
      <c r="D125"/>
      <c r="E125"/>
      <c r="F125" s="304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1:41" x14ac:dyDescent="0.25">
      <c r="A126" s="1"/>
      <c r="B126"/>
      <c r="C126"/>
      <c r="D126"/>
      <c r="E126"/>
      <c r="F126" s="304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1:41" x14ac:dyDescent="0.25">
      <c r="A127" s="1"/>
      <c r="B127"/>
      <c r="C127"/>
      <c r="D127"/>
      <c r="E127"/>
      <c r="F127" s="304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1:41" x14ac:dyDescent="0.25">
      <c r="A128" s="1"/>
      <c r="B128"/>
      <c r="C128"/>
      <c r="D128"/>
      <c r="E128"/>
      <c r="F128" s="304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29" spans="1:41" x14ac:dyDescent="0.25">
      <c r="A129" s="1"/>
      <c r="B129"/>
      <c r="C129"/>
      <c r="D129"/>
      <c r="E129"/>
      <c r="F129" s="304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r="130" spans="1:41" x14ac:dyDescent="0.25">
      <c r="A130" s="1"/>
      <c r="B130"/>
      <c r="C130"/>
      <c r="D130"/>
      <c r="E130"/>
      <c r="F130" s="304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r="131" spans="1:41" x14ac:dyDescent="0.25">
      <c r="A131" s="1"/>
      <c r="B131"/>
      <c r="C131"/>
      <c r="D131"/>
      <c r="E131"/>
      <c r="F131" s="304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</row>
    <row r="132" spans="1:41" x14ac:dyDescent="0.25">
      <c r="A132" s="1"/>
      <c r="B132"/>
      <c r="C132"/>
      <c r="D132"/>
      <c r="E132"/>
      <c r="F132" s="304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1:41" x14ac:dyDescent="0.25">
      <c r="A133" s="1"/>
      <c r="B133"/>
      <c r="C133"/>
      <c r="D133"/>
      <c r="E133"/>
      <c r="F133" s="304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1:41" x14ac:dyDescent="0.25">
      <c r="A134" s="1"/>
      <c r="B134"/>
      <c r="C134"/>
      <c r="D134"/>
      <c r="E134"/>
      <c r="F134" s="30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  <row r="135" spans="1:41" x14ac:dyDescent="0.25">
      <c r="A135" s="1"/>
      <c r="B135"/>
      <c r="C135"/>
      <c r="D135"/>
      <c r="E135"/>
      <c r="F135" s="304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</row>
    <row r="136" spans="1:41" x14ac:dyDescent="0.25">
      <c r="A136" s="1"/>
      <c r="B136"/>
      <c r="C136"/>
      <c r="D136"/>
      <c r="E136"/>
      <c r="F136" s="304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</row>
    <row r="137" spans="1:41" x14ac:dyDescent="0.25">
      <c r="A137" s="1"/>
      <c r="B137"/>
      <c r="C137"/>
      <c r="D137"/>
      <c r="E137"/>
      <c r="F137" s="304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</row>
    <row r="138" spans="1:41" x14ac:dyDescent="0.25">
      <c r="A138" s="1"/>
      <c r="B138"/>
      <c r="C138"/>
      <c r="D138"/>
      <c r="E138"/>
      <c r="F138" s="304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</row>
    <row r="139" spans="1:41" x14ac:dyDescent="0.25">
      <c r="A139" s="1"/>
      <c r="B139"/>
      <c r="C139"/>
      <c r="D139"/>
      <c r="E139"/>
      <c r="F139" s="304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</row>
    <row r="140" spans="1:41" x14ac:dyDescent="0.25">
      <c r="A140" s="1"/>
      <c r="B140"/>
      <c r="C140"/>
      <c r="D140"/>
      <c r="E140"/>
      <c r="F140" s="304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</row>
    <row r="141" spans="1:41" x14ac:dyDescent="0.25">
      <c r="A141" s="1"/>
      <c r="B141"/>
      <c r="C141"/>
      <c r="D141"/>
      <c r="E141"/>
      <c r="F141" s="304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</row>
    <row r="142" spans="1:41" x14ac:dyDescent="0.25">
      <c r="A142" s="1"/>
      <c r="B142"/>
      <c r="C142"/>
      <c r="D142"/>
      <c r="E142"/>
      <c r="F142" s="304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</row>
    <row r="143" spans="1:41" x14ac:dyDescent="0.25">
      <c r="A143" s="1"/>
      <c r="B143"/>
      <c r="C143"/>
      <c r="D143"/>
      <c r="E143"/>
      <c r="F143" s="304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</row>
    <row r="144" spans="1:41" x14ac:dyDescent="0.25">
      <c r="A144" s="1"/>
      <c r="B144"/>
      <c r="C144"/>
      <c r="D144"/>
      <c r="E144"/>
      <c r="F144" s="30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</row>
    <row r="145" spans="1:41" x14ac:dyDescent="0.25">
      <c r="A145" s="1"/>
      <c r="B145"/>
      <c r="C145"/>
      <c r="D145"/>
      <c r="E145"/>
      <c r="F145" s="304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</row>
    <row r="146" spans="1:41" x14ac:dyDescent="0.25">
      <c r="A146" s="1"/>
      <c r="B146"/>
      <c r="C146"/>
      <c r="D146"/>
      <c r="E146"/>
      <c r="F146" s="304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</row>
    <row r="147" spans="1:41" x14ac:dyDescent="0.25">
      <c r="A147" s="1"/>
      <c r="B147"/>
      <c r="C147"/>
      <c r="D147"/>
      <c r="E147"/>
      <c r="F147" s="304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</row>
    <row r="148" spans="1:41" x14ac:dyDescent="0.25">
      <c r="A148" s="1"/>
      <c r="B148"/>
      <c r="C148"/>
      <c r="D148"/>
      <c r="E148"/>
      <c r="F148" s="304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</row>
    <row r="149" spans="1:41" x14ac:dyDescent="0.25">
      <c r="A149" s="1"/>
      <c r="B149"/>
      <c r="C149"/>
      <c r="D149"/>
      <c r="E149"/>
      <c r="F149" s="304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</row>
    <row r="150" spans="1:41" x14ac:dyDescent="0.25">
      <c r="A150" s="1"/>
      <c r="B150"/>
      <c r="C150"/>
      <c r="D150"/>
      <c r="E150"/>
      <c r="F150" s="304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</row>
    <row r="151" spans="1:41" x14ac:dyDescent="0.25">
      <c r="A151" s="1"/>
      <c r="B151"/>
      <c r="C151"/>
      <c r="D151"/>
      <c r="E151"/>
      <c r="F151" s="304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</row>
    <row r="152" spans="1:41" x14ac:dyDescent="0.25">
      <c r="A152" s="1"/>
      <c r="B152"/>
      <c r="C152"/>
      <c r="D152"/>
      <c r="E152"/>
      <c r="F152" s="304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</row>
    <row r="153" spans="1:41" x14ac:dyDescent="0.25">
      <c r="A153" s="1"/>
      <c r="B153"/>
      <c r="C153"/>
      <c r="D153"/>
      <c r="E153"/>
      <c r="F153" s="304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</row>
    <row r="154" spans="1:41" x14ac:dyDescent="0.25">
      <c r="A154" s="1"/>
      <c r="B154"/>
      <c r="C154"/>
      <c r="D154"/>
      <c r="E154"/>
      <c r="F154" s="30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</row>
    <row r="155" spans="1:41" x14ac:dyDescent="0.25">
      <c r="A155" s="1"/>
      <c r="B155"/>
      <c r="C155"/>
      <c r="D155"/>
      <c r="E155"/>
      <c r="F155" s="304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</row>
    <row r="156" spans="1:41" x14ac:dyDescent="0.25">
      <c r="A156" s="1"/>
      <c r="B156"/>
      <c r="C156"/>
      <c r="D156"/>
      <c r="E156"/>
      <c r="F156" s="304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</row>
    <row r="157" spans="1:41" x14ac:dyDescent="0.25">
      <c r="A157" s="1"/>
      <c r="B157"/>
      <c r="C157"/>
      <c r="D157"/>
      <c r="E157"/>
      <c r="F157" s="304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</row>
    <row r="158" spans="1:41" x14ac:dyDescent="0.25">
      <c r="A158" s="1"/>
      <c r="B158"/>
      <c r="C158"/>
      <c r="D158"/>
      <c r="E158"/>
      <c r="F158" s="304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</row>
    <row r="159" spans="1:41" x14ac:dyDescent="0.25">
      <c r="A159" s="1"/>
      <c r="B159"/>
      <c r="C159"/>
      <c r="D159"/>
      <c r="E159"/>
      <c r="F159" s="304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</row>
    <row r="160" spans="1:41" x14ac:dyDescent="0.25">
      <c r="A160" s="1"/>
      <c r="B160"/>
      <c r="C160"/>
      <c r="D160"/>
      <c r="E160"/>
      <c r="F160" s="304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</row>
    <row r="161" spans="1:41" x14ac:dyDescent="0.25">
      <c r="A161" s="1"/>
      <c r="B161"/>
      <c r="C161"/>
      <c r="D161"/>
      <c r="E161"/>
      <c r="F161" s="304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</row>
    <row r="162" spans="1:41" x14ac:dyDescent="0.25">
      <c r="A162" s="1"/>
      <c r="B162"/>
      <c r="C162"/>
      <c r="D162"/>
      <c r="E162"/>
      <c r="F162" s="304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</row>
    <row r="163" spans="1:41" x14ac:dyDescent="0.25">
      <c r="A163" s="1"/>
      <c r="B163"/>
      <c r="C163"/>
      <c r="D163"/>
      <c r="E163"/>
      <c r="F163" s="304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</row>
    <row r="164" spans="1:41" x14ac:dyDescent="0.25">
      <c r="A164" s="1"/>
      <c r="B164"/>
      <c r="C164"/>
      <c r="D164"/>
      <c r="E164"/>
      <c r="F164" s="30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</row>
    <row r="165" spans="1:41" x14ac:dyDescent="0.25">
      <c r="A165" s="1"/>
      <c r="B165"/>
      <c r="C165"/>
      <c r="D165"/>
      <c r="E165"/>
      <c r="F165" s="304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</row>
    <row r="166" spans="1:41" x14ac:dyDescent="0.25">
      <c r="A166" s="1"/>
      <c r="B166"/>
      <c r="C166"/>
      <c r="D166"/>
      <c r="E166"/>
      <c r="F166" s="304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</row>
    <row r="167" spans="1:41" x14ac:dyDescent="0.25">
      <c r="A167" s="1"/>
      <c r="B167"/>
      <c r="C167"/>
      <c r="D167"/>
      <c r="E167"/>
      <c r="F167" s="304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</row>
    <row r="168" spans="1:41" x14ac:dyDescent="0.25">
      <c r="A168" s="1"/>
      <c r="B168"/>
      <c r="C168"/>
      <c r="D168"/>
      <c r="E168"/>
      <c r="F168" s="304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</row>
    <row r="169" spans="1:41" x14ac:dyDescent="0.25">
      <c r="A169" s="1"/>
      <c r="B169"/>
      <c r="C169"/>
      <c r="D169"/>
      <c r="E169"/>
      <c r="F169" s="304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</row>
    <row r="170" spans="1:41" x14ac:dyDescent="0.25">
      <c r="A170" s="1"/>
      <c r="B170"/>
      <c r="C170"/>
      <c r="D170"/>
      <c r="E170"/>
      <c r="F170" s="304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</row>
    <row r="171" spans="1:41" x14ac:dyDescent="0.25">
      <c r="A171" s="1"/>
      <c r="B171"/>
      <c r="C171"/>
      <c r="D171"/>
      <c r="E171"/>
      <c r="F171" s="304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</row>
    <row r="172" spans="1:41" x14ac:dyDescent="0.25">
      <c r="A172" s="1"/>
      <c r="B172"/>
      <c r="C172"/>
      <c r="D172"/>
      <c r="E172"/>
      <c r="F172" s="304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</row>
    <row r="173" spans="1:41" x14ac:dyDescent="0.25">
      <c r="A173" s="1"/>
      <c r="B173"/>
      <c r="C173"/>
      <c r="D173"/>
      <c r="E173"/>
      <c r="F173" s="304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</row>
    <row r="174" spans="1:41" x14ac:dyDescent="0.25">
      <c r="A174" s="1"/>
      <c r="B174"/>
      <c r="C174"/>
      <c r="D174"/>
      <c r="E174"/>
      <c r="F174" s="30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</row>
    <row r="175" spans="1:41" x14ac:dyDescent="0.25">
      <c r="A175" s="1"/>
      <c r="B175"/>
      <c r="C175"/>
      <c r="D175"/>
      <c r="E175"/>
      <c r="F175" s="304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</row>
    <row r="176" spans="1:41" x14ac:dyDescent="0.25">
      <c r="A176" s="1"/>
      <c r="B176"/>
      <c r="C176"/>
      <c r="D176"/>
      <c r="E176"/>
      <c r="F176" s="304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</row>
    <row r="177" spans="1:41" x14ac:dyDescent="0.25">
      <c r="A177" s="1"/>
      <c r="B177"/>
      <c r="C177"/>
      <c r="D177"/>
      <c r="E177"/>
      <c r="F177" s="304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</row>
    <row r="178" spans="1:41" x14ac:dyDescent="0.25">
      <c r="A178" s="1"/>
      <c r="B178"/>
      <c r="C178"/>
      <c r="D178"/>
      <c r="E178"/>
      <c r="F178" s="304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</row>
    <row r="179" spans="1:41" x14ac:dyDescent="0.25">
      <c r="A179" s="1"/>
      <c r="B179"/>
      <c r="C179"/>
      <c r="D179"/>
      <c r="E179"/>
      <c r="F179" s="304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</row>
    <row r="180" spans="1:41" x14ac:dyDescent="0.25">
      <c r="A180" s="1"/>
      <c r="B180"/>
      <c r="C180"/>
      <c r="D180"/>
      <c r="E180"/>
      <c r="F180" s="304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</row>
    <row r="181" spans="1:41" x14ac:dyDescent="0.25">
      <c r="A181" s="1"/>
      <c r="B181"/>
      <c r="C181"/>
      <c r="D181"/>
      <c r="E181"/>
      <c r="F181" s="304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</row>
    <row r="182" spans="1:41" x14ac:dyDescent="0.25">
      <c r="A182" s="1"/>
      <c r="B182"/>
      <c r="C182"/>
      <c r="D182"/>
      <c r="E182"/>
      <c r="F182" s="304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</row>
    <row r="183" spans="1:41" x14ac:dyDescent="0.25">
      <c r="A183" s="1"/>
      <c r="B183"/>
      <c r="C183"/>
      <c r="D183"/>
      <c r="E183"/>
      <c r="F183" s="304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</row>
    <row r="184" spans="1:41" x14ac:dyDescent="0.25">
      <c r="A184" s="1"/>
      <c r="B184"/>
      <c r="C184"/>
      <c r="D184"/>
      <c r="E184"/>
      <c r="F184" s="30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</row>
    <row r="185" spans="1:41" x14ac:dyDescent="0.25">
      <c r="A185" s="1"/>
      <c r="B185"/>
      <c r="C185"/>
      <c r="D185"/>
      <c r="E185"/>
      <c r="F185" s="304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</row>
    <row r="186" spans="1:41" x14ac:dyDescent="0.25">
      <c r="A186" s="1"/>
      <c r="B186"/>
      <c r="C186"/>
      <c r="D186"/>
      <c r="E186"/>
      <c r="F186" s="304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</row>
    <row r="187" spans="1:41" x14ac:dyDescent="0.25">
      <c r="A187" s="1"/>
      <c r="B187"/>
      <c r="C187"/>
      <c r="D187"/>
      <c r="E187"/>
      <c r="F187" s="304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</row>
    <row r="188" spans="1:41" x14ac:dyDescent="0.25">
      <c r="A188" s="1"/>
      <c r="B188"/>
      <c r="C188"/>
      <c r="D188"/>
      <c r="E188"/>
      <c r="F188" s="304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</row>
    <row r="189" spans="1:41" x14ac:dyDescent="0.25">
      <c r="A189" s="1"/>
      <c r="B189"/>
      <c r="C189"/>
      <c r="D189"/>
      <c r="E189"/>
      <c r="F189" s="304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</row>
    <row r="190" spans="1:41" x14ac:dyDescent="0.25">
      <c r="A190" s="1"/>
      <c r="B190"/>
      <c r="C190"/>
      <c r="D190"/>
      <c r="E190"/>
      <c r="F190" s="304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</row>
    <row r="191" spans="1:41" x14ac:dyDescent="0.25">
      <c r="A191" s="1"/>
      <c r="B191"/>
      <c r="C191"/>
      <c r="D191"/>
      <c r="E191"/>
      <c r="F191" s="304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</row>
    <row r="192" spans="1:41" x14ac:dyDescent="0.25">
      <c r="A192" s="1"/>
      <c r="B192"/>
      <c r="C192"/>
      <c r="D192"/>
      <c r="E192"/>
      <c r="F192" s="304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</row>
    <row r="193" spans="1:41" x14ac:dyDescent="0.25">
      <c r="A193" s="1"/>
      <c r="B193"/>
      <c r="C193"/>
      <c r="D193"/>
      <c r="E193"/>
      <c r="F193" s="304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</row>
    <row r="194" spans="1:41" x14ac:dyDescent="0.25">
      <c r="A194" s="1"/>
      <c r="B194"/>
      <c r="C194"/>
      <c r="D194"/>
      <c r="E194"/>
      <c r="F194" s="30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</row>
    <row r="195" spans="1:41" x14ac:dyDescent="0.25">
      <c r="A195" s="1"/>
      <c r="B195"/>
      <c r="C195"/>
      <c r="D195"/>
      <c r="E195"/>
      <c r="F195" s="304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</row>
    <row r="196" spans="1:41" x14ac:dyDescent="0.25">
      <c r="A196" s="1"/>
      <c r="B196"/>
      <c r="C196"/>
      <c r="D196"/>
      <c r="E196"/>
      <c r="F196" s="304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</row>
    <row r="197" spans="1:41" x14ac:dyDescent="0.25">
      <c r="A197" s="1"/>
      <c r="B197"/>
      <c r="C197"/>
      <c r="D197"/>
      <c r="E197"/>
      <c r="F197" s="304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</row>
    <row r="198" spans="1:41" x14ac:dyDescent="0.25">
      <c r="A198" s="1"/>
      <c r="B198"/>
      <c r="C198"/>
      <c r="D198"/>
      <c r="E198"/>
      <c r="F198" s="304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</row>
    <row r="199" spans="1:41" x14ac:dyDescent="0.25">
      <c r="A199" s="1"/>
      <c r="B199"/>
      <c r="C199"/>
      <c r="D199"/>
      <c r="E199"/>
      <c r="F199" s="304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</row>
    <row r="200" spans="1:41" x14ac:dyDescent="0.25">
      <c r="A200" s="1"/>
      <c r="B200"/>
      <c r="C200"/>
      <c r="D200"/>
      <c r="E200"/>
      <c r="F200" s="304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</row>
    <row r="201" spans="1:41" x14ac:dyDescent="0.25">
      <c r="A201" s="1"/>
      <c r="B201"/>
      <c r="C201"/>
      <c r="D201"/>
      <c r="E201"/>
      <c r="F201" s="304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</row>
    <row r="202" spans="1:41" x14ac:dyDescent="0.25">
      <c r="A202" s="1"/>
      <c r="B202"/>
      <c r="C202"/>
      <c r="D202"/>
      <c r="E202"/>
      <c r="F202" s="304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</row>
    <row r="203" spans="1:41" x14ac:dyDescent="0.25">
      <c r="A203" s="1"/>
      <c r="B203"/>
      <c r="C203"/>
      <c r="D203"/>
      <c r="E203"/>
      <c r="F203" s="304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</row>
    <row r="204" spans="1:41" x14ac:dyDescent="0.25">
      <c r="A204" s="1"/>
      <c r="B204"/>
      <c r="C204"/>
      <c r="D204"/>
      <c r="E204"/>
      <c r="F204" s="3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</row>
    <row r="205" spans="1:41" x14ac:dyDescent="0.25">
      <c r="A205" s="1"/>
      <c r="B205"/>
      <c r="C205"/>
      <c r="D205"/>
      <c r="E205"/>
      <c r="F205" s="304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</row>
    <row r="206" spans="1:41" x14ac:dyDescent="0.25">
      <c r="A206" s="1"/>
      <c r="B206"/>
      <c r="C206"/>
      <c r="D206"/>
      <c r="E206"/>
      <c r="F206" s="304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</row>
    <row r="207" spans="1:41" x14ac:dyDescent="0.25">
      <c r="A207" s="1"/>
      <c r="B207"/>
      <c r="C207"/>
      <c r="D207"/>
      <c r="E207"/>
      <c r="F207" s="304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</row>
    <row r="208" spans="1:41" x14ac:dyDescent="0.25">
      <c r="A208" s="1"/>
      <c r="B208"/>
      <c r="C208"/>
      <c r="D208"/>
      <c r="E208"/>
      <c r="F208" s="304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</row>
    <row r="209" spans="1:41" x14ac:dyDescent="0.25">
      <c r="A209" s="1"/>
      <c r="B209"/>
      <c r="C209"/>
      <c r="D209"/>
      <c r="E209"/>
      <c r="F209" s="304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</row>
    <row r="210" spans="1:41" x14ac:dyDescent="0.25">
      <c r="A210" s="1"/>
      <c r="B210"/>
      <c r="C210"/>
      <c r="D210"/>
      <c r="E210"/>
      <c r="F210" s="304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</row>
    <row r="211" spans="1:41" x14ac:dyDescent="0.25">
      <c r="A211" s="1"/>
      <c r="B211"/>
      <c r="C211"/>
      <c r="D211"/>
      <c r="E211"/>
      <c r="F211" s="304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</row>
    <row r="212" spans="1:41" x14ac:dyDescent="0.25">
      <c r="A212" s="1"/>
      <c r="B212"/>
      <c r="C212"/>
      <c r="D212"/>
      <c r="E212"/>
      <c r="F212" s="304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</row>
    <row r="213" spans="1:41" x14ac:dyDescent="0.25">
      <c r="A213" s="1"/>
      <c r="B213"/>
      <c r="C213"/>
      <c r="D213"/>
      <c r="E213"/>
      <c r="F213" s="304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</row>
    <row r="214" spans="1:41" x14ac:dyDescent="0.25">
      <c r="A214" s="1"/>
      <c r="B214"/>
      <c r="C214"/>
      <c r="D214"/>
      <c r="E214"/>
      <c r="F214" s="30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</row>
    <row r="215" spans="1:41" x14ac:dyDescent="0.25">
      <c r="A215" s="1"/>
      <c r="B215"/>
      <c r="C215"/>
      <c r="D215"/>
      <c r="E215"/>
      <c r="F215" s="304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</row>
    <row r="216" spans="1:41" x14ac:dyDescent="0.25">
      <c r="A216" s="1"/>
      <c r="B216"/>
      <c r="C216"/>
      <c r="D216"/>
      <c r="E216"/>
      <c r="F216" s="304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</row>
    <row r="217" spans="1:41" x14ac:dyDescent="0.25">
      <c r="A217" s="1"/>
      <c r="B217"/>
      <c r="C217"/>
      <c r="D217"/>
      <c r="E217"/>
      <c r="F217" s="304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</row>
    <row r="218" spans="1:41" x14ac:dyDescent="0.25">
      <c r="A218" s="1"/>
      <c r="B218"/>
      <c r="C218"/>
      <c r="D218"/>
      <c r="E218"/>
      <c r="F218" s="304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</row>
    <row r="219" spans="1:41" x14ac:dyDescent="0.25">
      <c r="A219" s="1"/>
      <c r="B219"/>
      <c r="C219"/>
      <c r="D219"/>
      <c r="E219"/>
      <c r="F219" s="304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</row>
    <row r="220" spans="1:41" x14ac:dyDescent="0.25">
      <c r="A220" s="1"/>
      <c r="B220"/>
      <c r="C220"/>
      <c r="D220"/>
      <c r="E220"/>
      <c r="F220" s="304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</row>
    <row r="221" spans="1:41" x14ac:dyDescent="0.25">
      <c r="A221" s="1"/>
      <c r="B221"/>
      <c r="C221"/>
      <c r="D221"/>
      <c r="E221"/>
      <c r="F221" s="304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</row>
    <row r="222" spans="1:41" x14ac:dyDescent="0.25">
      <c r="A222" s="1"/>
      <c r="B222"/>
      <c r="C222"/>
      <c r="D222"/>
      <c r="E222"/>
      <c r="F222" s="304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</row>
    <row r="223" spans="1:41" x14ac:dyDescent="0.25">
      <c r="A223" s="1"/>
      <c r="B223"/>
      <c r="C223"/>
      <c r="D223"/>
      <c r="E223"/>
      <c r="F223" s="304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</row>
    <row r="224" spans="1:41" x14ac:dyDescent="0.25">
      <c r="A224" s="1"/>
      <c r="B224"/>
      <c r="C224"/>
      <c r="D224"/>
      <c r="E224"/>
      <c r="F224" s="30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</row>
    <row r="225" spans="1:41" x14ac:dyDescent="0.25">
      <c r="A225" s="1"/>
      <c r="B225"/>
      <c r="C225"/>
      <c r="D225"/>
      <c r="E225"/>
      <c r="F225" s="304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</row>
    <row r="226" spans="1:41" x14ac:dyDescent="0.25">
      <c r="A226" s="1"/>
      <c r="B226"/>
      <c r="C226"/>
      <c r="D226"/>
      <c r="E226"/>
      <c r="F226" s="304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</row>
    <row r="227" spans="1:41" x14ac:dyDescent="0.25">
      <c r="A227" s="1"/>
      <c r="B227"/>
      <c r="C227"/>
      <c r="D227"/>
      <c r="E227"/>
      <c r="F227" s="304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</row>
    <row r="228" spans="1:41" x14ac:dyDescent="0.25">
      <c r="A228" s="1"/>
      <c r="B228"/>
      <c r="C228"/>
      <c r="D228"/>
      <c r="E228"/>
      <c r="F228" s="304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</row>
    <row r="229" spans="1:41" x14ac:dyDescent="0.25">
      <c r="A229" s="1"/>
      <c r="B229"/>
      <c r="C229"/>
      <c r="D229"/>
      <c r="E229"/>
      <c r="F229" s="304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</row>
    <row r="230" spans="1:41" x14ac:dyDescent="0.25">
      <c r="A230" s="1"/>
      <c r="B230"/>
      <c r="C230"/>
      <c r="D230"/>
      <c r="E230"/>
      <c r="F230" s="304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</row>
    <row r="231" spans="1:41" x14ac:dyDescent="0.25">
      <c r="A231" s="1"/>
      <c r="B231"/>
      <c r="C231"/>
      <c r="D231"/>
      <c r="E231"/>
      <c r="F231" s="304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</row>
    <row r="232" spans="1:41" x14ac:dyDescent="0.25">
      <c r="A232" s="1"/>
      <c r="B232"/>
      <c r="C232"/>
      <c r="D232"/>
      <c r="E232"/>
      <c r="F232" s="304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</row>
    <row r="233" spans="1:41" x14ac:dyDescent="0.25">
      <c r="A233" s="1"/>
      <c r="B233"/>
      <c r="C233"/>
      <c r="D233"/>
      <c r="E233"/>
      <c r="F233" s="304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</row>
    <row r="234" spans="1:41" x14ac:dyDescent="0.25">
      <c r="A234" s="1"/>
      <c r="B234"/>
      <c r="C234"/>
      <c r="D234"/>
      <c r="E234"/>
      <c r="F234" s="30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</row>
    <row r="235" spans="1:41" x14ac:dyDescent="0.25">
      <c r="A235" s="1"/>
      <c r="B235"/>
      <c r="C235"/>
      <c r="D235"/>
      <c r="E235"/>
      <c r="F235" s="304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</row>
    <row r="236" spans="1:41" x14ac:dyDescent="0.25">
      <c r="A236" s="1"/>
      <c r="B236"/>
      <c r="C236"/>
      <c r="D236"/>
      <c r="E236"/>
      <c r="F236" s="304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</row>
    <row r="237" spans="1:41" x14ac:dyDescent="0.25">
      <c r="A237" s="1"/>
      <c r="B237"/>
      <c r="C237"/>
      <c r="D237"/>
      <c r="E237"/>
      <c r="F237" s="304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</row>
    <row r="238" spans="1:41" x14ac:dyDescent="0.25">
      <c r="A238" s="1"/>
      <c r="B238"/>
      <c r="C238"/>
      <c r="D238"/>
      <c r="E238"/>
      <c r="F238" s="304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</row>
    <row r="239" spans="1:41" x14ac:dyDescent="0.25">
      <c r="A239" s="1"/>
      <c r="B239"/>
      <c r="C239"/>
      <c r="D239"/>
      <c r="E239"/>
      <c r="F239" s="304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</row>
    <row r="240" spans="1:41" x14ac:dyDescent="0.25">
      <c r="A240" s="1"/>
      <c r="B240"/>
      <c r="C240"/>
      <c r="D240"/>
      <c r="E240"/>
      <c r="F240" s="304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</row>
    <row r="241" spans="1:41" x14ac:dyDescent="0.25">
      <c r="A241" s="1"/>
      <c r="B241"/>
      <c r="C241"/>
      <c r="D241"/>
      <c r="E241"/>
      <c r="F241" s="304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</row>
    <row r="242" spans="1:41" x14ac:dyDescent="0.25">
      <c r="A242" s="1"/>
      <c r="B242"/>
      <c r="C242"/>
      <c r="D242"/>
      <c r="E242"/>
      <c r="F242" s="304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</row>
    <row r="243" spans="1:41" x14ac:dyDescent="0.25">
      <c r="A243" s="1"/>
      <c r="B243"/>
      <c r="C243"/>
      <c r="D243"/>
      <c r="E243"/>
      <c r="F243" s="304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</row>
    <row r="244" spans="1:41" x14ac:dyDescent="0.25">
      <c r="A244" s="1"/>
      <c r="B244"/>
      <c r="C244"/>
      <c r="D244"/>
      <c r="E244"/>
      <c r="F244" s="30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</row>
    <row r="245" spans="1:41" x14ac:dyDescent="0.25">
      <c r="A245" s="1"/>
      <c r="B245"/>
      <c r="C245"/>
      <c r="D245"/>
      <c r="E245"/>
      <c r="F245" s="304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</row>
    <row r="246" spans="1:41" x14ac:dyDescent="0.25">
      <c r="A246" s="1"/>
      <c r="B246"/>
      <c r="C246"/>
      <c r="D246"/>
      <c r="E246"/>
      <c r="F246" s="304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</row>
    <row r="247" spans="1:41" x14ac:dyDescent="0.25">
      <c r="A247" s="1"/>
      <c r="B247"/>
      <c r="C247"/>
      <c r="D247"/>
      <c r="E247"/>
      <c r="F247" s="304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</row>
    <row r="248" spans="1:41" x14ac:dyDescent="0.25">
      <c r="A248" s="1"/>
      <c r="B248"/>
      <c r="C248"/>
      <c r="D248"/>
      <c r="E248"/>
      <c r="F248" s="304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</row>
    <row r="249" spans="1:41" x14ac:dyDescent="0.25">
      <c r="A249" s="1"/>
      <c r="B249"/>
      <c r="C249"/>
      <c r="D249"/>
      <c r="E249"/>
      <c r="F249" s="304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</row>
    <row r="250" spans="1:41" x14ac:dyDescent="0.25">
      <c r="A250" s="1"/>
      <c r="B250"/>
      <c r="C250"/>
      <c r="D250"/>
      <c r="E250"/>
      <c r="F250" s="304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</row>
    <row r="251" spans="1:41" x14ac:dyDescent="0.25">
      <c r="A251" s="1"/>
      <c r="B251"/>
      <c r="C251"/>
      <c r="D251"/>
      <c r="E251"/>
      <c r="F251" s="304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</row>
    <row r="252" spans="1:41" x14ac:dyDescent="0.25">
      <c r="A252" s="1"/>
      <c r="B252"/>
      <c r="C252"/>
      <c r="D252"/>
      <c r="E252"/>
      <c r="F252" s="304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</row>
    <row r="253" spans="1:41" x14ac:dyDescent="0.25">
      <c r="A253" s="1"/>
      <c r="B253"/>
      <c r="C253"/>
      <c r="D253"/>
      <c r="E253"/>
      <c r="F253" s="304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</row>
    <row r="254" spans="1:41" x14ac:dyDescent="0.25">
      <c r="A254" s="1"/>
      <c r="B254"/>
      <c r="C254"/>
      <c r="D254"/>
      <c r="E254"/>
      <c r="F254" s="30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</row>
    <row r="255" spans="1:41" x14ac:dyDescent="0.25">
      <c r="A255" s="1"/>
      <c r="B255"/>
      <c r="C255"/>
      <c r="D255"/>
      <c r="E255"/>
      <c r="F255" s="304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</row>
    <row r="256" spans="1:41" x14ac:dyDescent="0.25">
      <c r="A256" s="1"/>
      <c r="B256"/>
      <c r="C256"/>
      <c r="D256"/>
      <c r="E256"/>
      <c r="F256" s="304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</row>
    <row r="257" spans="1:41" x14ac:dyDescent="0.25">
      <c r="A257" s="1"/>
      <c r="B257"/>
      <c r="C257"/>
      <c r="D257"/>
      <c r="E257"/>
      <c r="F257" s="304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</row>
    <row r="258" spans="1:41" x14ac:dyDescent="0.25">
      <c r="A258" s="1"/>
      <c r="B258"/>
      <c r="C258"/>
      <c r="D258"/>
      <c r="E258"/>
      <c r="F258" s="304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</row>
    <row r="259" spans="1:41" x14ac:dyDescent="0.25">
      <c r="A259" s="1"/>
      <c r="B259"/>
      <c r="C259"/>
      <c r="D259"/>
      <c r="E259"/>
      <c r="F259" s="304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</row>
    <row r="260" spans="1:41" x14ac:dyDescent="0.25">
      <c r="A260" s="1"/>
      <c r="B260"/>
      <c r="C260"/>
      <c r="D260"/>
      <c r="E260"/>
      <c r="F260" s="304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</row>
    <row r="261" spans="1:41" x14ac:dyDescent="0.25">
      <c r="A261" s="1"/>
      <c r="B261"/>
      <c r="C261"/>
      <c r="D261"/>
      <c r="E261"/>
      <c r="F261" s="304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</row>
    <row r="262" spans="1:41" x14ac:dyDescent="0.25">
      <c r="A262" s="1"/>
      <c r="B262"/>
      <c r="C262"/>
      <c r="D262"/>
      <c r="E262"/>
      <c r="F262" s="304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</row>
    <row r="263" spans="1:41" x14ac:dyDescent="0.25">
      <c r="A263" s="1"/>
      <c r="B263"/>
      <c r="C263"/>
      <c r="D263"/>
      <c r="E263"/>
      <c r="F263" s="304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</row>
    <row r="264" spans="1:41" x14ac:dyDescent="0.25">
      <c r="A264" s="1"/>
      <c r="B264"/>
      <c r="C264"/>
      <c r="D264"/>
      <c r="E264"/>
      <c r="F264" s="30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</row>
    <row r="265" spans="1:41" x14ac:dyDescent="0.25">
      <c r="A265" s="1"/>
      <c r="B265"/>
      <c r="C265"/>
      <c r="D265"/>
      <c r="E265"/>
      <c r="F265" s="304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</row>
    <row r="266" spans="1:41" x14ac:dyDescent="0.25">
      <c r="A266" s="1"/>
      <c r="B266"/>
      <c r="C266"/>
      <c r="D266"/>
      <c r="E266"/>
      <c r="F266" s="304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</row>
    <row r="267" spans="1:41" x14ac:dyDescent="0.25">
      <c r="A267" s="1"/>
      <c r="B267"/>
      <c r="C267"/>
      <c r="D267"/>
      <c r="E267"/>
      <c r="F267" s="304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</row>
    <row r="268" spans="1:41" x14ac:dyDescent="0.25">
      <c r="A268" s="1"/>
      <c r="B268"/>
      <c r="C268"/>
      <c r="D268"/>
      <c r="E268"/>
      <c r="F268" s="304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</row>
    <row r="269" spans="1:41" x14ac:dyDescent="0.25">
      <c r="A269" s="1"/>
      <c r="B269"/>
      <c r="C269"/>
      <c r="D269"/>
      <c r="E269"/>
      <c r="F269" s="304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</row>
    <row r="270" spans="1:41" x14ac:dyDescent="0.25">
      <c r="A270" s="1"/>
      <c r="B270"/>
      <c r="C270"/>
      <c r="D270"/>
      <c r="E270"/>
      <c r="F270" s="304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</row>
    <row r="271" spans="1:41" x14ac:dyDescent="0.25">
      <c r="A271" s="1"/>
      <c r="B271"/>
      <c r="C271"/>
      <c r="D271"/>
      <c r="E271"/>
      <c r="F271" s="304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</row>
    <row r="272" spans="1:41" x14ac:dyDescent="0.25">
      <c r="A272" s="1"/>
      <c r="B272"/>
      <c r="C272"/>
      <c r="D272"/>
      <c r="E272"/>
      <c r="F272" s="304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</row>
    <row r="273" spans="1:41 16132:16132" x14ac:dyDescent="0.25">
      <c r="A273" s="1"/>
      <c r="B273"/>
      <c r="C273"/>
      <c r="D273"/>
      <c r="E273"/>
      <c r="F273" s="304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</row>
    <row r="274" spans="1:41 16132:16132" x14ac:dyDescent="0.25">
      <c r="A274" s="1"/>
      <c r="B274"/>
      <c r="C274"/>
      <c r="D274"/>
      <c r="E274"/>
      <c r="F274" s="30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</row>
    <row r="275" spans="1:41 16132:16132" x14ac:dyDescent="0.25">
      <c r="A275" s="1"/>
      <c r="B275"/>
      <c r="C275"/>
      <c r="D275"/>
      <c r="E275"/>
      <c r="F275" s="304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</row>
    <row r="276" spans="1:41 16132:16132" x14ac:dyDescent="0.25">
      <c r="A276" s="1"/>
      <c r="B276"/>
      <c r="C276"/>
      <c r="D276"/>
      <c r="E276"/>
      <c r="F276" s="304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</row>
    <row r="277" spans="1:41 16132:16132" x14ac:dyDescent="0.25">
      <c r="A277" s="1"/>
      <c r="B277"/>
      <c r="C277"/>
      <c r="D277"/>
      <c r="E277"/>
      <c r="F277" s="304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</row>
    <row r="278" spans="1:41 16132:16132" x14ac:dyDescent="0.25">
      <c r="A278" s="1"/>
      <c r="B278"/>
      <c r="C278"/>
      <c r="D278"/>
      <c r="E278"/>
      <c r="F278" s="304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</row>
    <row r="279" spans="1:41 16132:16132" x14ac:dyDescent="0.25">
      <c r="A279" s="1"/>
      <c r="B279"/>
      <c r="C279"/>
      <c r="D279"/>
      <c r="E279"/>
      <c r="F279" s="304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</row>
    <row r="280" spans="1:41 16132:16132" x14ac:dyDescent="0.25">
      <c r="A280" s="1"/>
      <c r="B280"/>
      <c r="C280"/>
      <c r="D280"/>
      <c r="E280"/>
      <c r="F280" s="304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</row>
    <row r="281" spans="1:41 16132:16132" x14ac:dyDescent="0.25">
      <c r="A281" s="1"/>
      <c r="B281"/>
      <c r="C281"/>
      <c r="D281"/>
      <c r="E281"/>
      <c r="F281" s="304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</row>
    <row r="282" spans="1:41 16132:16132" x14ac:dyDescent="0.25">
      <c r="A282" s="1"/>
      <c r="B282"/>
      <c r="C282"/>
      <c r="D282"/>
      <c r="E282"/>
      <c r="F282" s="304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</row>
    <row r="283" spans="1:41 16132:16132" x14ac:dyDescent="0.25">
      <c r="A283" s="1"/>
      <c r="B283"/>
      <c r="C283"/>
      <c r="D283"/>
      <c r="E283"/>
      <c r="F283" s="304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</row>
    <row r="284" spans="1:41 16132:16132" x14ac:dyDescent="0.25">
      <c r="A284" s="1"/>
      <c r="B284"/>
      <c r="C284"/>
      <c r="D284"/>
      <c r="E284"/>
      <c r="F284" s="30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</row>
    <row r="285" spans="1:41 16132:16132" x14ac:dyDescent="0.25">
      <c r="A285" s="1"/>
      <c r="B285"/>
      <c r="C285"/>
      <c r="D285"/>
      <c r="E285"/>
      <c r="F285" s="304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</row>
    <row r="286" spans="1:41 16132:16132" x14ac:dyDescent="0.25">
      <c r="A286" s="1"/>
      <c r="B286"/>
      <c r="C286"/>
      <c r="D286"/>
      <c r="E286"/>
      <c r="F286" s="304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</row>
    <row r="287" spans="1:41 16132:16132" x14ac:dyDescent="0.25">
      <c r="A287" s="1"/>
      <c r="B287"/>
      <c r="C287"/>
      <c r="D287"/>
      <c r="E287"/>
      <c r="F287" s="304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</row>
    <row r="288" spans="1:41 16132:16132" x14ac:dyDescent="0.25">
      <c r="A288" s="1"/>
      <c r="B288"/>
      <c r="C288"/>
      <c r="D288"/>
      <c r="E288"/>
      <c r="F288" s="304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WVL288" t="s">
        <v>169</v>
      </c>
    </row>
    <row r="289" spans="6:7" customFormat="1" x14ac:dyDescent="0.25">
      <c r="F289" s="304"/>
      <c r="G289" s="4"/>
    </row>
  </sheetData>
  <autoFilter ref="B9:T15">
    <sortState ref="B10:T187">
      <sortCondition descending="1" ref="J9:J690"/>
    </sortState>
  </autoFilter>
  <mergeCells count="1">
    <mergeCell ref="B15:G15"/>
  </mergeCells>
  <conditionalFormatting sqref="B10:T10 B3:T3">
    <cfRule type="expression" dxfId="6" priority="98">
      <formula>$L$10=TRUE</formula>
    </cfRule>
  </conditionalFormatting>
  <conditionalFormatting sqref="T3">
    <cfRule type="expression" dxfId="5" priority="100" stopIfTrue="1">
      <formula>#REF!="COMPLETO"</formula>
    </cfRule>
    <cfRule type="expression" dxfId="4" priority="101" stopIfTrue="1">
      <formula>#REF!="OK"</formula>
    </cfRule>
    <cfRule type="expression" dxfId="3" priority="102">
      <formula>#REF!=OK</formula>
    </cfRule>
    <cfRule type="expression" dxfId="2" priority="103">
      <formula>#REF!=OK</formula>
    </cfRule>
  </conditionalFormatting>
  <conditionalFormatting sqref="T3">
    <cfRule type="expression" dxfId="1" priority="104">
      <formula>#REF!="COMPLETO"</formula>
    </cfRule>
    <cfRule type="expression" dxfId="0" priority="105">
      <formula>#REF!="OK" &amp; #REF!="COMPLETO"</formula>
    </cfRule>
  </conditionalFormatting>
  <dataValidations count="3">
    <dataValidation type="list" allowBlank="1" showInputMessage="1" showErrorMessage="1" sqref="D12 D14">
      <formula1>$N$1:$N$5</formula1>
    </dataValidation>
    <dataValidation type="list" allowBlank="1" showInputMessage="1" showErrorMessage="1" sqref="O12:O15">
      <formula1>$H$2:$H$3</formula1>
    </dataValidation>
    <dataValidation type="list" allowBlank="1" showInputMessage="1" showErrorMessage="1" sqref="G10">
      <formula1>$E$2:$E$10</formula1>
    </dataValidation>
  </dataValidation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10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Rótulos!$E$2:$E$12</xm:f>
          </x14:formula1>
          <xm:sqref>G14 G3</xm:sqref>
        </x14:dataValidation>
        <x14:dataValidation type="list" allowBlank="1" showInputMessage="1" showErrorMessage="1">
          <x14:formula1>
            <xm:f>Rótulos!$J$2:$J$4</xm:f>
          </x14:formula1>
          <xm:sqref>R3 R12:R15 R10</xm:sqref>
        </x14:dataValidation>
        <x14:dataValidation type="list" allowBlank="1" showInputMessage="1" showErrorMessage="1">
          <x14:formula1>
            <xm:f>Rótulos!$O$2:$O$5</xm:f>
          </x14:formula1>
          <xm:sqref>D3 D10</xm:sqref>
        </x14:dataValidation>
        <x14:dataValidation type="list" allowBlank="1" showInputMessage="1" showErrorMessage="1">
          <x14:formula1>
            <xm:f>Rótulos!$Q$1:$Q$100</xm:f>
          </x14:formula1>
          <xm:sqref>E10</xm:sqref>
        </x14:dataValidation>
        <x14:dataValidation type="list" allowBlank="1" showInputMessage="1" showErrorMessage="1">
          <x14:formula1>
            <xm:f>Rótulos!$L$2:$L$14</xm:f>
          </x14:formula1>
          <xm:sqref>K3 K10</xm:sqref>
        </x14:dataValidation>
        <x14:dataValidation type="list" allowBlank="1" showInputMessage="1" showErrorMessage="1">
          <x14:formula1>
            <xm:f>Rótulos!$A$2:$A$4</xm:f>
          </x14:formula1>
          <xm:sqref>O3 O10</xm:sqref>
        </x14:dataValidation>
        <x14:dataValidation type="list" allowBlank="1" showInputMessage="1" showErrorMessage="1">
          <x14:formula1>
            <xm:f>Rótulos!$U$2:$U$4</xm:f>
          </x14:formula1>
          <xm:sqref>T3 T10</xm:sqref>
        </x14:dataValidation>
        <x14:dataValidation type="list" allowBlank="1" showInputMessage="1" showErrorMessage="1">
          <x14:formula1>
            <xm:f>Rótulos!$G$2:$G$36</xm:f>
          </x14:formula1>
          <xm:sqref>J3 J10:J1048576</xm:sqref>
        </x14:dataValidation>
        <x14:dataValidation type="list" allowBlank="1" showInputMessage="1" showErrorMessage="1">
          <x14:formula1>
            <xm:f>Rótulos!$S$2:$S$4</xm:f>
          </x14:formula1>
          <xm:sqref>L3</xm:sqref>
        </x14:dataValidation>
        <x14:dataValidation type="list" allowBlank="1" showInputMessage="1" showErrorMessage="1">
          <x14:formula1>
            <xm:f>Rótulos!$E$2:$E$11</xm:f>
          </x14:formula1>
          <xm:sqref>G12:G13</xm:sqref>
        </x14:dataValidation>
        <x14:dataValidation type="list" allowBlank="1" showInputMessage="1" showErrorMessage="1">
          <x14:formula1>
            <xm:f>Rótulos!$U$2:$U$3</xm:f>
          </x14:formula1>
          <xm:sqref>T11:T14</xm:sqref>
        </x14:dataValidation>
        <x14:dataValidation type="list" allowBlank="1" showInputMessage="1" showErrorMessage="1">
          <x14:formula1>
            <xm:f>Rótulos!$L$3:$L$14</xm:f>
          </x14:formula1>
          <xm:sqref>K12:K15</xm:sqref>
        </x14:dataValidation>
        <x14:dataValidation type="list" allowBlank="1" showInputMessage="1" showErrorMessage="1">
          <x14:formula1>
            <xm:f>Rótulos!$Q$1:$Q$11</xm:f>
          </x14:formula1>
          <xm:sqref>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B1:P198"/>
  <sheetViews>
    <sheetView topLeftCell="A7" zoomScale="70" zoomScaleNormal="70" workbookViewId="0">
      <pane xSplit="2" ySplit="5" topLeftCell="G12" activePane="bottomRight" state="frozen"/>
      <selection activeCell="E296" sqref="E296"/>
      <selection pane="topRight" activeCell="E296" sqref="E296"/>
      <selection pane="bottomLeft" activeCell="E296" sqref="E296"/>
      <selection pane="bottomRight" activeCell="Q17" sqref="Q17"/>
    </sheetView>
  </sheetViews>
  <sheetFormatPr baseColWidth="10" defaultColWidth="11.42578125" defaultRowHeight="15" x14ac:dyDescent="0.25"/>
  <cols>
    <col min="1" max="1" width="7.7109375" style="216" customWidth="1"/>
    <col min="2" max="2" width="12.7109375" style="216" customWidth="1"/>
    <col min="3" max="4" width="28.7109375" style="216" customWidth="1"/>
    <col min="5" max="5" width="16.140625" style="216" bestFit="1" customWidth="1"/>
    <col min="6" max="6" width="11.42578125" style="216"/>
    <col min="7" max="7" width="6.28515625" style="216" customWidth="1"/>
    <col min="8" max="8" width="11.42578125" style="216"/>
    <col min="9" max="9" width="16.7109375" style="216" bestFit="1" customWidth="1"/>
    <col min="10" max="10" width="11.42578125" style="216"/>
    <col min="11" max="11" width="51.140625" style="216" customWidth="1"/>
    <col min="12" max="12" width="35.7109375" style="216" bestFit="1" customWidth="1"/>
    <col min="13" max="13" width="23.5703125" style="216" customWidth="1"/>
    <col min="14" max="14" width="14.7109375" style="216" customWidth="1"/>
    <col min="15" max="16384" width="11.42578125" style="216"/>
  </cols>
  <sheetData>
    <row r="1" spans="2:14" ht="15.75" hidden="1" thickBot="1" x14ac:dyDescent="0.3">
      <c r="B1" s="136"/>
    </row>
    <row r="2" spans="2:14" ht="15.75" hidden="1" thickBot="1" x14ac:dyDescent="0.3"/>
    <row r="3" spans="2:14" ht="15.75" hidden="1" thickBot="1" x14ac:dyDescent="0.3"/>
    <row r="4" spans="2:14" ht="15.75" hidden="1" thickBot="1" x14ac:dyDescent="0.3"/>
    <row r="5" spans="2:14" ht="15.75" hidden="1" thickBot="1" x14ac:dyDescent="0.3"/>
    <row r="6" spans="2:14" ht="15.75" hidden="1" thickBot="1" x14ac:dyDescent="0.3"/>
    <row r="7" spans="2:14" x14ac:dyDescent="0.25">
      <c r="B7" s="330" t="s">
        <v>168</v>
      </c>
      <c r="C7" s="331"/>
      <c r="D7" s="331"/>
      <c r="E7" s="331"/>
      <c r="F7" s="331"/>
      <c r="G7" s="331"/>
      <c r="H7" s="331"/>
      <c r="I7" s="331"/>
      <c r="J7" s="331"/>
      <c r="K7" s="331"/>
      <c r="L7" s="331"/>
      <c r="M7" s="331"/>
      <c r="N7" s="332"/>
    </row>
    <row r="8" spans="2:14" ht="15.75" thickBot="1" x14ac:dyDescent="0.3">
      <c r="B8" s="333"/>
      <c r="C8" s="334"/>
      <c r="D8" s="334"/>
      <c r="E8" s="334"/>
      <c r="F8" s="334"/>
      <c r="G8" s="334"/>
      <c r="H8" s="334"/>
      <c r="I8" s="334"/>
      <c r="J8" s="334"/>
      <c r="K8" s="334"/>
      <c r="L8" s="334"/>
      <c r="M8" s="334"/>
      <c r="N8" s="335"/>
    </row>
    <row r="10" spans="2:14" ht="15.75" thickBot="1" x14ac:dyDescent="0.3"/>
    <row r="11" spans="2:14" ht="24.95" customHeight="1" thickBot="1" x14ac:dyDescent="0.3">
      <c r="B11" s="336" t="s">
        <v>152</v>
      </c>
      <c r="C11" s="337"/>
      <c r="D11" s="337"/>
      <c r="E11" s="337"/>
      <c r="F11" s="338"/>
      <c r="H11" s="339" t="s">
        <v>149</v>
      </c>
      <c r="I11" s="340"/>
      <c r="J11" s="340"/>
      <c r="K11" s="340"/>
      <c r="L11" s="340"/>
      <c r="M11" s="340"/>
      <c r="N11" s="341"/>
    </row>
    <row r="12" spans="2:14" s="199" customFormat="1" ht="15.75" thickBot="1" x14ac:dyDescent="0.3">
      <c r="B12" s="200"/>
      <c r="C12" s="200"/>
      <c r="D12" s="200"/>
      <c r="E12" s="200"/>
      <c r="F12" s="200"/>
      <c r="H12" s="201"/>
      <c r="I12" s="201"/>
      <c r="J12" s="201"/>
      <c r="K12" s="201"/>
      <c r="L12" s="201"/>
      <c r="M12" s="201"/>
      <c r="N12" s="201"/>
    </row>
    <row r="13" spans="2:14" ht="20.100000000000001" customHeight="1" thickBot="1" x14ac:dyDescent="0.3">
      <c r="B13" s="342" t="s">
        <v>177</v>
      </c>
      <c r="C13" s="343"/>
      <c r="D13" s="343"/>
      <c r="E13" s="343"/>
      <c r="F13" s="344"/>
      <c r="H13" s="345" t="s">
        <v>177</v>
      </c>
      <c r="I13" s="346"/>
      <c r="J13" s="346"/>
      <c r="K13" s="346"/>
      <c r="L13" s="346"/>
      <c r="M13" s="346"/>
      <c r="N13" s="347"/>
    </row>
    <row r="14" spans="2:14" ht="30" customHeight="1" thickBot="1" x14ac:dyDescent="0.3">
      <c r="B14" s="195" t="s">
        <v>147</v>
      </c>
      <c r="C14" s="196" t="s">
        <v>154</v>
      </c>
      <c r="D14" s="196" t="s">
        <v>162</v>
      </c>
      <c r="E14" s="135" t="s">
        <v>156</v>
      </c>
      <c r="F14" s="197" t="s">
        <v>155</v>
      </c>
      <c r="H14" s="179" t="s">
        <v>147</v>
      </c>
      <c r="I14" s="180" t="s">
        <v>150</v>
      </c>
      <c r="J14" s="181" t="s">
        <v>151</v>
      </c>
      <c r="K14" s="180" t="s">
        <v>9</v>
      </c>
      <c r="L14" s="181" t="s">
        <v>148</v>
      </c>
      <c r="M14" s="180" t="s">
        <v>153</v>
      </c>
      <c r="N14" s="182" t="s">
        <v>1</v>
      </c>
    </row>
    <row r="15" spans="2:14" x14ac:dyDescent="0.25">
      <c r="B15" s="172"/>
      <c r="C15" s="246"/>
      <c r="D15" s="246" t="s">
        <v>235</v>
      </c>
      <c r="E15" s="231"/>
      <c r="F15" s="162">
        <v>5000</v>
      </c>
      <c r="H15" s="261">
        <v>43945</v>
      </c>
      <c r="I15" s="278" t="s">
        <v>242</v>
      </c>
      <c r="J15" s="260" t="s">
        <v>243</v>
      </c>
      <c r="K15" s="262" t="s">
        <v>244</v>
      </c>
      <c r="L15" s="234" t="s">
        <v>245</v>
      </c>
      <c r="M15" s="263" t="s">
        <v>246</v>
      </c>
      <c r="N15" s="162">
        <v>1800</v>
      </c>
    </row>
    <row r="16" spans="2:14" x14ac:dyDescent="0.25">
      <c r="B16" s="217"/>
      <c r="C16" s="215"/>
      <c r="D16" s="259" t="s">
        <v>236</v>
      </c>
      <c r="E16" s="141"/>
      <c r="F16" s="218">
        <v>15000</v>
      </c>
      <c r="H16" s="261">
        <v>43941</v>
      </c>
      <c r="I16" s="262" t="s">
        <v>247</v>
      </c>
      <c r="J16" s="260" t="s">
        <v>248</v>
      </c>
      <c r="K16" s="262" t="s">
        <v>249</v>
      </c>
      <c r="L16" s="234" t="s">
        <v>250</v>
      </c>
      <c r="M16" s="263" t="s">
        <v>246</v>
      </c>
      <c r="N16" s="162">
        <v>1988.81</v>
      </c>
    </row>
    <row r="17" spans="2:14" x14ac:dyDescent="0.25">
      <c r="B17" s="217"/>
      <c r="C17" s="215"/>
      <c r="D17" s="215" t="s">
        <v>237</v>
      </c>
      <c r="E17" s="215"/>
      <c r="F17" s="271">
        <v>15000</v>
      </c>
      <c r="H17" s="261">
        <v>43941</v>
      </c>
      <c r="I17" s="278" t="s">
        <v>251</v>
      </c>
      <c r="J17" s="260" t="s">
        <v>243</v>
      </c>
      <c r="K17" s="262" t="s">
        <v>252</v>
      </c>
      <c r="L17" s="234" t="s">
        <v>253</v>
      </c>
      <c r="M17" s="263" t="s">
        <v>246</v>
      </c>
      <c r="N17" s="162">
        <v>1235</v>
      </c>
    </row>
    <row r="18" spans="2:14" x14ac:dyDescent="0.25">
      <c r="B18" s="272"/>
      <c r="C18" s="215"/>
      <c r="D18" s="215"/>
      <c r="E18" s="140"/>
      <c r="F18" s="218"/>
      <c r="H18" s="261">
        <v>43943</v>
      </c>
      <c r="I18" s="262" t="s">
        <v>254</v>
      </c>
      <c r="J18" s="260" t="s">
        <v>243</v>
      </c>
      <c r="K18" s="262" t="s">
        <v>252</v>
      </c>
      <c r="L18" s="234" t="s">
        <v>253</v>
      </c>
      <c r="M18" s="263" t="s">
        <v>246</v>
      </c>
      <c r="N18" s="162">
        <v>1471</v>
      </c>
    </row>
    <row r="19" spans="2:14" x14ac:dyDescent="0.25">
      <c r="B19" s="272"/>
      <c r="C19" s="215"/>
      <c r="D19" s="215"/>
      <c r="E19" s="140"/>
      <c r="F19" s="218"/>
      <c r="H19" s="261">
        <v>43943</v>
      </c>
      <c r="I19" s="278" t="s">
        <v>255</v>
      </c>
      <c r="J19" s="260" t="s">
        <v>243</v>
      </c>
      <c r="K19" s="262" t="s">
        <v>256</v>
      </c>
      <c r="L19" s="234" t="s">
        <v>257</v>
      </c>
      <c r="M19" s="263" t="s">
        <v>246</v>
      </c>
      <c r="N19" s="162">
        <v>880</v>
      </c>
    </row>
    <row r="20" spans="2:14" ht="15" customHeight="1" x14ac:dyDescent="0.25">
      <c r="B20" s="272"/>
      <c r="C20" s="273"/>
      <c r="D20" s="215"/>
      <c r="E20" s="140"/>
      <c r="F20" s="218"/>
      <c r="H20" s="261">
        <v>43944</v>
      </c>
      <c r="I20" s="262" t="s">
        <v>258</v>
      </c>
      <c r="J20" s="260" t="s">
        <v>248</v>
      </c>
      <c r="K20" s="262" t="s">
        <v>230</v>
      </c>
      <c r="L20" s="234" t="s">
        <v>259</v>
      </c>
      <c r="M20" s="263" t="s">
        <v>260</v>
      </c>
      <c r="N20" s="162">
        <v>1846.77</v>
      </c>
    </row>
    <row r="21" spans="2:14" x14ac:dyDescent="0.25">
      <c r="B21" s="272"/>
      <c r="C21" s="273"/>
      <c r="D21" s="215"/>
      <c r="E21" s="140"/>
      <c r="F21" s="218"/>
      <c r="H21" s="261">
        <v>43944</v>
      </c>
      <c r="I21" s="262" t="s">
        <v>261</v>
      </c>
      <c r="J21" s="260" t="s">
        <v>248</v>
      </c>
      <c r="K21" s="262" t="s">
        <v>262</v>
      </c>
      <c r="L21" s="234" t="s">
        <v>241</v>
      </c>
      <c r="M21" s="263" t="s">
        <v>246</v>
      </c>
      <c r="N21" s="162">
        <v>1841</v>
      </c>
    </row>
    <row r="22" spans="2:14" x14ac:dyDescent="0.25">
      <c r="B22" s="168"/>
      <c r="C22" s="215"/>
      <c r="D22" s="215"/>
      <c r="E22" s="140"/>
      <c r="F22" s="218"/>
      <c r="H22" s="261">
        <v>43948</v>
      </c>
      <c r="I22" s="262" t="s">
        <v>263</v>
      </c>
      <c r="J22" s="260" t="s">
        <v>248</v>
      </c>
      <c r="K22" s="262" t="s">
        <v>262</v>
      </c>
      <c r="L22" s="234" t="s">
        <v>253</v>
      </c>
      <c r="M22" s="263" t="s">
        <v>246</v>
      </c>
      <c r="N22" s="162">
        <v>1213</v>
      </c>
    </row>
    <row r="23" spans="2:14" x14ac:dyDescent="0.25">
      <c r="B23" s="168"/>
      <c r="C23" s="215"/>
      <c r="D23" s="215"/>
      <c r="E23" s="140"/>
      <c r="F23" s="218"/>
      <c r="H23" s="261"/>
      <c r="I23" s="262"/>
      <c r="J23" s="260"/>
      <c r="K23" s="262"/>
      <c r="L23" s="234"/>
      <c r="M23" s="263"/>
      <c r="N23" s="162"/>
    </row>
    <row r="24" spans="2:14" x14ac:dyDescent="0.25">
      <c r="B24" s="168"/>
      <c r="C24" s="215"/>
      <c r="D24" s="215"/>
      <c r="E24" s="140"/>
      <c r="F24" s="218"/>
      <c r="H24" s="261"/>
      <c r="I24" s="262"/>
      <c r="J24" s="260"/>
      <c r="K24" s="262"/>
      <c r="L24" s="234"/>
      <c r="M24" s="263"/>
      <c r="N24" s="162"/>
    </row>
    <row r="25" spans="2:14" x14ac:dyDescent="0.25">
      <c r="B25" s="168"/>
      <c r="C25" s="215"/>
      <c r="D25" s="215"/>
      <c r="E25" s="140"/>
      <c r="F25" s="218"/>
      <c r="H25" s="261"/>
      <c r="I25" s="262"/>
      <c r="J25" s="260"/>
      <c r="K25" s="262"/>
      <c r="L25" s="234"/>
      <c r="M25" s="263"/>
      <c r="N25" s="162"/>
    </row>
    <row r="26" spans="2:14" x14ac:dyDescent="0.25">
      <c r="B26" s="168"/>
      <c r="C26" s="215"/>
      <c r="D26" s="215"/>
      <c r="E26" s="140"/>
      <c r="F26" s="218"/>
      <c r="H26" s="261"/>
      <c r="I26" s="262"/>
      <c r="J26" s="260"/>
      <c r="K26" s="262"/>
      <c r="L26" s="234"/>
      <c r="M26" s="263"/>
      <c r="N26" s="162"/>
    </row>
    <row r="27" spans="2:14" x14ac:dyDescent="0.25">
      <c r="B27" s="168"/>
      <c r="C27" s="215"/>
      <c r="D27" s="215"/>
      <c r="E27" s="140"/>
      <c r="F27" s="218"/>
      <c r="H27" s="261"/>
      <c r="I27" s="262"/>
      <c r="J27" s="260"/>
      <c r="K27" s="262"/>
      <c r="L27" s="234"/>
      <c r="M27" s="263"/>
      <c r="N27" s="162"/>
    </row>
    <row r="28" spans="2:14" x14ac:dyDescent="0.25">
      <c r="B28" s="169"/>
      <c r="C28" s="170"/>
      <c r="D28" s="170"/>
      <c r="E28" s="138"/>
      <c r="F28" s="171"/>
      <c r="H28" s="261"/>
      <c r="I28" s="262"/>
      <c r="J28" s="260"/>
      <c r="K28" s="262"/>
      <c r="L28" s="234"/>
      <c r="M28" s="263"/>
      <c r="N28" s="162"/>
    </row>
    <row r="29" spans="2:14" x14ac:dyDescent="0.25">
      <c r="B29" s="169"/>
      <c r="C29" s="170"/>
      <c r="D29" s="170"/>
      <c r="E29" s="138"/>
      <c r="F29" s="171"/>
      <c r="H29" s="261"/>
      <c r="I29" s="262"/>
      <c r="J29" s="260"/>
      <c r="K29" s="262"/>
      <c r="L29" s="234"/>
      <c r="M29" s="263"/>
      <c r="N29" s="162"/>
    </row>
    <row r="30" spans="2:14" x14ac:dyDescent="0.25">
      <c r="B30" s="169"/>
      <c r="C30" s="170"/>
      <c r="D30" s="170"/>
      <c r="E30" s="138"/>
      <c r="F30" s="171"/>
      <c r="H30" s="261"/>
      <c r="I30" s="262"/>
      <c r="J30" s="260"/>
      <c r="K30" s="262"/>
      <c r="L30" s="234"/>
      <c r="M30" s="263"/>
      <c r="N30" s="162"/>
    </row>
    <row r="31" spans="2:14" x14ac:dyDescent="0.25">
      <c r="B31" s="169"/>
      <c r="C31" s="170"/>
      <c r="D31" s="170"/>
      <c r="E31" s="138"/>
      <c r="F31" s="171"/>
      <c r="H31" s="261"/>
      <c r="I31" s="262"/>
      <c r="J31" s="260"/>
      <c r="K31" s="262"/>
      <c r="L31" s="234"/>
      <c r="M31" s="263"/>
      <c r="N31" s="162"/>
    </row>
    <row r="32" spans="2:14" x14ac:dyDescent="0.25">
      <c r="B32" s="169"/>
      <c r="C32" s="170"/>
      <c r="D32" s="170"/>
      <c r="E32" s="138"/>
      <c r="F32" s="171"/>
      <c r="H32" s="261"/>
      <c r="I32" s="262"/>
      <c r="J32" s="260"/>
      <c r="K32" s="262"/>
      <c r="L32" s="234"/>
      <c r="M32" s="263"/>
      <c r="N32" s="162"/>
    </row>
    <row r="33" spans="2:14" x14ac:dyDescent="0.25">
      <c r="B33" s="169"/>
      <c r="C33" s="170"/>
      <c r="D33" s="170"/>
      <c r="E33" s="138"/>
      <c r="F33" s="171"/>
      <c r="H33" s="261"/>
      <c r="I33" s="262"/>
      <c r="J33" s="260"/>
      <c r="K33" s="262"/>
      <c r="L33" s="234"/>
      <c r="M33" s="263"/>
      <c r="N33" s="162"/>
    </row>
    <row r="34" spans="2:14" x14ac:dyDescent="0.25">
      <c r="B34" s="169"/>
      <c r="C34" s="170"/>
      <c r="D34" s="170"/>
      <c r="E34" s="138"/>
      <c r="F34" s="171"/>
      <c r="H34" s="261"/>
      <c r="I34" s="262"/>
      <c r="J34" s="260"/>
      <c r="K34" s="260"/>
      <c r="L34" s="260"/>
      <c r="M34" s="263"/>
      <c r="N34" s="162"/>
    </row>
    <row r="35" spans="2:14" x14ac:dyDescent="0.25">
      <c r="B35" s="169"/>
      <c r="C35" s="170"/>
      <c r="D35" s="170"/>
      <c r="E35" s="138"/>
      <c r="F35" s="171"/>
      <c r="H35" s="261"/>
      <c r="I35" s="262"/>
      <c r="J35" s="260"/>
      <c r="K35" s="260"/>
      <c r="L35" s="234"/>
      <c r="M35" s="263"/>
      <c r="N35" s="162"/>
    </row>
    <row r="36" spans="2:14" x14ac:dyDescent="0.25">
      <c r="B36" s="169"/>
      <c r="C36" s="170"/>
      <c r="D36" s="170"/>
      <c r="E36" s="138"/>
      <c r="F36" s="171"/>
      <c r="H36" s="261"/>
      <c r="I36" s="262"/>
      <c r="J36" s="260"/>
      <c r="K36" s="260"/>
      <c r="L36" s="260"/>
      <c r="M36" s="263"/>
      <c r="N36" s="162"/>
    </row>
    <row r="37" spans="2:14" x14ac:dyDescent="0.25">
      <c r="B37" s="169"/>
      <c r="C37" s="170"/>
      <c r="D37" s="170"/>
      <c r="E37" s="138"/>
      <c r="F37" s="171"/>
      <c r="H37" s="261"/>
      <c r="I37" s="262"/>
      <c r="J37" s="260"/>
      <c r="K37" s="260"/>
      <c r="L37" s="260"/>
      <c r="M37" s="263"/>
      <c r="N37" s="162"/>
    </row>
    <row r="38" spans="2:14" x14ac:dyDescent="0.25">
      <c r="B38" s="172"/>
      <c r="C38" s="173"/>
      <c r="D38" s="173"/>
      <c r="E38" s="174"/>
      <c r="F38" s="162"/>
      <c r="H38" s="261"/>
      <c r="I38" s="262"/>
      <c r="J38" s="260"/>
      <c r="K38" s="260"/>
      <c r="L38" s="260"/>
      <c r="M38" s="263"/>
      <c r="N38" s="162"/>
    </row>
    <row r="39" spans="2:14" x14ac:dyDescent="0.25">
      <c r="B39" s="217"/>
      <c r="C39" s="219"/>
      <c r="D39" s="219"/>
      <c r="E39" s="31"/>
      <c r="F39" s="162"/>
      <c r="H39" s="261"/>
      <c r="I39" s="262"/>
      <c r="J39" s="260"/>
      <c r="K39" s="260"/>
      <c r="L39" s="234"/>
      <c r="M39" s="263"/>
      <c r="N39" s="162"/>
    </row>
    <row r="40" spans="2:14" x14ac:dyDescent="0.25">
      <c r="B40" s="217"/>
      <c r="C40" s="219"/>
      <c r="D40" s="219"/>
      <c r="E40" s="215"/>
      <c r="F40" s="218"/>
      <c r="H40" s="261"/>
      <c r="I40" s="262"/>
      <c r="J40" s="260"/>
      <c r="K40" s="260"/>
      <c r="L40" s="234"/>
      <c r="M40" s="263"/>
      <c r="N40" s="162"/>
    </row>
    <row r="41" spans="2:14" ht="15" customHeight="1" x14ac:dyDescent="0.25">
      <c r="B41" s="217"/>
      <c r="C41" s="219"/>
      <c r="D41" s="219"/>
      <c r="E41" s="215"/>
      <c r="F41" s="218"/>
      <c r="H41" s="261"/>
      <c r="I41" s="262"/>
      <c r="J41" s="260"/>
      <c r="K41" s="260"/>
      <c r="L41" s="234"/>
      <c r="M41" s="263"/>
      <c r="N41" s="162"/>
    </row>
    <row r="42" spans="2:14" ht="15" customHeight="1" x14ac:dyDescent="0.25">
      <c r="B42" s="217"/>
      <c r="C42" s="219"/>
      <c r="D42" s="219"/>
      <c r="E42" s="215"/>
      <c r="F42" s="218"/>
      <c r="H42" s="261"/>
      <c r="I42" s="262"/>
      <c r="J42" s="260"/>
      <c r="K42" s="260"/>
      <c r="L42" s="234"/>
      <c r="M42" s="263"/>
      <c r="N42" s="162"/>
    </row>
    <row r="43" spans="2:14" ht="15" customHeight="1" x14ac:dyDescent="0.25">
      <c r="B43" s="217"/>
      <c r="C43" s="219"/>
      <c r="D43" s="219"/>
      <c r="E43" s="215"/>
      <c r="F43" s="218"/>
      <c r="H43" s="261"/>
      <c r="I43" s="262"/>
      <c r="J43" s="260"/>
      <c r="K43" s="260"/>
      <c r="L43" s="234"/>
      <c r="M43" s="263"/>
      <c r="N43" s="162"/>
    </row>
    <row r="44" spans="2:14" ht="15" customHeight="1" x14ac:dyDescent="0.25">
      <c r="B44" s="217"/>
      <c r="C44" s="219"/>
      <c r="D44" s="219"/>
      <c r="E44" s="215"/>
      <c r="F44" s="218"/>
      <c r="H44" s="261"/>
      <c r="I44" s="262"/>
      <c r="J44" s="260"/>
      <c r="K44" s="260"/>
      <c r="L44" s="234"/>
      <c r="M44" s="263"/>
      <c r="N44" s="162"/>
    </row>
    <row r="45" spans="2:14" ht="15" customHeight="1" x14ac:dyDescent="0.25">
      <c r="B45" s="217"/>
      <c r="C45" s="219"/>
      <c r="D45" s="219"/>
      <c r="E45" s="215"/>
      <c r="F45" s="218"/>
      <c r="H45" s="261"/>
      <c r="I45" s="262"/>
      <c r="J45" s="260"/>
      <c r="K45" s="260"/>
      <c r="L45" s="234"/>
      <c r="M45" s="263"/>
      <c r="N45" s="162"/>
    </row>
    <row r="46" spans="2:14" ht="15" customHeight="1" x14ac:dyDescent="0.25">
      <c r="B46" s="217"/>
      <c r="C46" s="219"/>
      <c r="D46" s="219"/>
      <c r="E46" s="215"/>
      <c r="F46" s="218"/>
      <c r="H46" s="261"/>
      <c r="I46" s="262"/>
      <c r="J46" s="260"/>
      <c r="K46" s="260"/>
      <c r="L46" s="260"/>
      <c r="M46" s="260"/>
      <c r="N46" s="162"/>
    </row>
    <row r="47" spans="2:14" ht="15" customHeight="1" x14ac:dyDescent="0.25">
      <c r="B47" s="217"/>
      <c r="C47" s="219"/>
      <c r="D47" s="219"/>
      <c r="E47" s="215"/>
      <c r="F47" s="218"/>
      <c r="H47" s="261"/>
      <c r="I47" s="262"/>
      <c r="J47" s="260"/>
      <c r="K47" s="260"/>
      <c r="L47" s="260"/>
      <c r="M47" s="263"/>
      <c r="N47" s="162"/>
    </row>
    <row r="48" spans="2:14" ht="15" customHeight="1" x14ac:dyDescent="0.25">
      <c r="B48" s="217"/>
      <c r="C48" s="219"/>
      <c r="D48" s="219"/>
      <c r="E48" s="215"/>
      <c r="F48" s="218"/>
      <c r="H48" s="261"/>
      <c r="I48" s="262"/>
      <c r="J48" s="260"/>
      <c r="K48" s="260"/>
      <c r="L48" s="234"/>
      <c r="M48" s="263"/>
      <c r="N48" s="162"/>
    </row>
    <row r="49" spans="2:16" ht="15" customHeight="1" x14ac:dyDescent="0.25">
      <c r="B49" s="217"/>
      <c r="C49" s="219"/>
      <c r="D49" s="219"/>
      <c r="E49" s="215"/>
      <c r="F49" s="218"/>
      <c r="H49" s="261"/>
      <c r="I49" s="262"/>
      <c r="J49" s="260"/>
      <c r="K49" s="260"/>
      <c r="L49" s="234"/>
      <c r="M49" s="263"/>
      <c r="N49" s="162"/>
    </row>
    <row r="50" spans="2:16" ht="15" customHeight="1" x14ac:dyDescent="0.25">
      <c r="B50" s="217"/>
      <c r="C50" s="219"/>
      <c r="D50" s="219"/>
      <c r="E50" s="215"/>
      <c r="F50" s="218"/>
      <c r="H50" s="261"/>
      <c r="I50" s="262"/>
      <c r="J50" s="260"/>
      <c r="K50" s="260"/>
      <c r="L50" s="260"/>
      <c r="M50" s="263"/>
      <c r="N50" s="162"/>
    </row>
    <row r="51" spans="2:16" ht="15" customHeight="1" x14ac:dyDescent="0.25">
      <c r="B51" s="217"/>
      <c r="C51" s="219"/>
      <c r="D51" s="219"/>
      <c r="E51" s="215"/>
      <c r="F51" s="218"/>
      <c r="H51" s="261"/>
      <c r="I51" s="262"/>
      <c r="J51" s="260"/>
      <c r="K51" s="262"/>
      <c r="L51" s="260"/>
      <c r="M51" s="263"/>
      <c r="N51" s="162"/>
    </row>
    <row r="52" spans="2:16" ht="15" customHeight="1" x14ac:dyDescent="0.25">
      <c r="B52" s="217"/>
      <c r="C52" s="219"/>
      <c r="D52" s="219"/>
      <c r="E52" s="215"/>
      <c r="F52" s="218"/>
      <c r="H52" s="261"/>
      <c r="I52" s="262"/>
      <c r="J52" s="260"/>
      <c r="K52" s="260"/>
      <c r="L52" s="260"/>
      <c r="M52" s="263"/>
      <c r="N52" s="162"/>
    </row>
    <row r="53" spans="2:16" ht="15" customHeight="1" x14ac:dyDescent="0.25">
      <c r="B53" s="217"/>
      <c r="C53" s="219"/>
      <c r="D53" s="219"/>
      <c r="E53" s="215"/>
      <c r="F53" s="218"/>
      <c r="H53" s="261"/>
      <c r="I53" s="262"/>
      <c r="J53" s="260"/>
      <c r="K53" s="260"/>
      <c r="L53" s="260"/>
      <c r="M53" s="263"/>
      <c r="N53" s="162"/>
    </row>
    <row r="54" spans="2:16" ht="15" customHeight="1" x14ac:dyDescent="0.25">
      <c r="B54" s="217"/>
      <c r="C54" s="219"/>
      <c r="D54" s="219"/>
      <c r="E54" s="215"/>
      <c r="F54" s="218"/>
      <c r="H54" s="261"/>
      <c r="I54" s="262"/>
      <c r="J54" s="260"/>
      <c r="K54" s="260"/>
      <c r="L54" s="260"/>
      <c r="M54" s="263"/>
      <c r="N54" s="162"/>
    </row>
    <row r="55" spans="2:16" ht="15" customHeight="1" x14ac:dyDescent="0.25">
      <c r="B55" s="217"/>
      <c r="C55" s="219"/>
      <c r="D55" s="219"/>
      <c r="E55" s="215"/>
      <c r="F55" s="218"/>
      <c r="H55" s="261"/>
      <c r="I55" s="262"/>
      <c r="J55" s="260"/>
      <c r="K55" s="260"/>
      <c r="L55" s="260"/>
      <c r="M55" s="263"/>
      <c r="N55" s="162"/>
    </row>
    <row r="56" spans="2:16" ht="15" customHeight="1" x14ac:dyDescent="0.25">
      <c r="B56" s="217"/>
      <c r="C56" s="219"/>
      <c r="D56" s="219"/>
      <c r="E56" s="215"/>
      <c r="F56" s="218"/>
      <c r="H56" s="261"/>
      <c r="I56" s="262"/>
      <c r="J56" s="260"/>
      <c r="K56" s="260"/>
      <c r="L56" s="234"/>
      <c r="M56" s="263"/>
      <c r="N56" s="162"/>
    </row>
    <row r="57" spans="2:16" ht="15" customHeight="1" x14ac:dyDescent="0.25">
      <c r="B57" s="217"/>
      <c r="C57" s="219"/>
      <c r="D57" s="219"/>
      <c r="E57" s="215"/>
      <c r="F57" s="218"/>
      <c r="H57" s="261"/>
      <c r="I57" s="262"/>
      <c r="J57" s="260"/>
      <c r="K57" s="260"/>
      <c r="L57" s="234"/>
      <c r="M57" s="263"/>
      <c r="N57" s="162"/>
    </row>
    <row r="58" spans="2:16" ht="15" customHeight="1" x14ac:dyDescent="0.25">
      <c r="B58" s="217"/>
      <c r="C58" s="219"/>
      <c r="D58" s="219"/>
      <c r="E58" s="215"/>
      <c r="F58" s="218"/>
      <c r="H58" s="261"/>
      <c r="I58" s="262"/>
      <c r="J58" s="260"/>
      <c r="K58" s="260"/>
      <c r="L58" s="260"/>
      <c r="M58" s="263"/>
      <c r="N58" s="162"/>
      <c r="P58" s="216">
        <v>0</v>
      </c>
    </row>
    <row r="59" spans="2:16" ht="15" customHeight="1" x14ac:dyDescent="0.25">
      <c r="B59" s="217"/>
      <c r="C59" s="219"/>
      <c r="D59" s="219"/>
      <c r="E59" s="215"/>
      <c r="F59" s="218"/>
      <c r="H59" s="261"/>
      <c r="I59" s="262"/>
      <c r="J59" s="260"/>
      <c r="K59" s="260"/>
      <c r="L59" s="260"/>
      <c r="M59" s="263"/>
      <c r="N59" s="162"/>
    </row>
    <row r="60" spans="2:16" ht="15" customHeight="1" x14ac:dyDescent="0.25">
      <c r="B60" s="217"/>
      <c r="C60" s="219"/>
      <c r="D60" s="219"/>
      <c r="E60" s="215"/>
      <c r="F60" s="218"/>
      <c r="H60" s="261"/>
      <c r="I60" s="262"/>
      <c r="J60" s="260"/>
      <c r="K60" s="260"/>
      <c r="L60" s="260"/>
      <c r="M60" s="263"/>
      <c r="N60" s="162"/>
    </row>
    <row r="61" spans="2:16" ht="15" customHeight="1" x14ac:dyDescent="0.25">
      <c r="B61" s="217"/>
      <c r="C61" s="219"/>
      <c r="D61" s="219"/>
      <c r="E61" s="215"/>
      <c r="F61" s="218"/>
      <c r="H61" s="261"/>
      <c r="I61" s="262"/>
      <c r="J61" s="260"/>
      <c r="K61" s="260"/>
      <c r="L61" s="234"/>
      <c r="M61" s="263"/>
      <c r="N61" s="162"/>
    </row>
    <row r="62" spans="2:16" ht="15" customHeight="1" x14ac:dyDescent="0.25">
      <c r="B62" s="217"/>
      <c r="C62" s="219"/>
      <c r="D62" s="219"/>
      <c r="E62" s="215"/>
      <c r="F62" s="218"/>
      <c r="H62" s="261"/>
      <c r="I62" s="262"/>
      <c r="J62" s="260"/>
      <c r="K62" s="262"/>
      <c r="L62" s="234"/>
      <c r="M62" s="263"/>
      <c r="N62" s="162"/>
    </row>
    <row r="63" spans="2:16" ht="15" customHeight="1" x14ac:dyDescent="0.25">
      <c r="B63" s="217"/>
      <c r="C63" s="219"/>
      <c r="D63" s="219"/>
      <c r="E63" s="215"/>
      <c r="F63" s="218"/>
      <c r="H63" s="261"/>
      <c r="I63" s="262"/>
      <c r="J63" s="260"/>
      <c r="K63" s="262"/>
      <c r="L63" s="234"/>
      <c r="M63" s="263"/>
      <c r="N63" s="162"/>
    </row>
    <row r="64" spans="2:16" ht="15" customHeight="1" x14ac:dyDescent="0.25">
      <c r="B64" s="217"/>
      <c r="C64" s="219"/>
      <c r="D64" s="219"/>
      <c r="E64" s="215"/>
      <c r="F64" s="218"/>
      <c r="H64" s="261"/>
      <c r="I64" s="262"/>
      <c r="J64" s="260"/>
      <c r="K64" s="260"/>
      <c r="L64" s="234"/>
      <c r="M64" s="263"/>
      <c r="N64" s="162"/>
    </row>
    <row r="65" spans="2:14" ht="15" customHeight="1" x14ac:dyDescent="0.25">
      <c r="B65" s="217"/>
      <c r="C65" s="219"/>
      <c r="D65" s="219"/>
      <c r="E65" s="215"/>
      <c r="F65" s="218"/>
      <c r="H65" s="261"/>
      <c r="I65" s="281"/>
      <c r="J65" s="260"/>
      <c r="K65" s="260"/>
      <c r="L65" s="260"/>
      <c r="M65" s="263"/>
      <c r="N65" s="162"/>
    </row>
    <row r="66" spans="2:14" ht="15" customHeight="1" x14ac:dyDescent="0.25">
      <c r="B66" s="217"/>
      <c r="C66" s="219"/>
      <c r="D66" s="219"/>
      <c r="E66" s="215"/>
      <c r="F66" s="218"/>
      <c r="H66" s="261"/>
      <c r="I66" s="262"/>
      <c r="J66" s="260"/>
      <c r="K66" s="260"/>
      <c r="L66" s="260"/>
      <c r="M66" s="263"/>
      <c r="N66" s="162"/>
    </row>
    <row r="67" spans="2:14" ht="15" customHeight="1" x14ac:dyDescent="0.25">
      <c r="B67" s="217"/>
      <c r="C67" s="219"/>
      <c r="D67" s="219"/>
      <c r="E67" s="215"/>
      <c r="F67" s="218"/>
      <c r="H67" s="261"/>
      <c r="I67" s="262"/>
      <c r="J67" s="260"/>
      <c r="K67" s="260"/>
      <c r="L67" s="234"/>
      <c r="M67" s="263"/>
      <c r="N67" s="162"/>
    </row>
    <row r="68" spans="2:14" ht="15" customHeight="1" x14ac:dyDescent="0.25">
      <c r="B68" s="217"/>
      <c r="C68" s="219"/>
      <c r="D68" s="219"/>
      <c r="E68" s="215"/>
      <c r="F68" s="218"/>
      <c r="H68" s="261"/>
      <c r="I68" s="262"/>
      <c r="J68" s="260"/>
      <c r="K68" s="260"/>
      <c r="L68" s="260"/>
      <c r="M68" s="263"/>
      <c r="N68" s="162"/>
    </row>
    <row r="69" spans="2:14" ht="15" customHeight="1" x14ac:dyDescent="0.25">
      <c r="B69" s="217"/>
      <c r="C69" s="219"/>
      <c r="D69" s="219"/>
      <c r="E69" s="215"/>
      <c r="F69" s="218"/>
      <c r="H69" s="261"/>
      <c r="I69" s="262"/>
      <c r="J69" s="260"/>
      <c r="K69" s="260"/>
      <c r="L69" s="260"/>
      <c r="M69" s="263"/>
      <c r="N69" s="162"/>
    </row>
    <row r="70" spans="2:14" ht="15" customHeight="1" x14ac:dyDescent="0.25">
      <c r="B70" s="217"/>
      <c r="C70" s="219"/>
      <c r="D70" s="219"/>
      <c r="E70" s="215"/>
      <c r="F70" s="218"/>
      <c r="H70" s="261"/>
      <c r="I70" s="262"/>
      <c r="J70" s="260"/>
      <c r="K70" s="260"/>
      <c r="L70" s="260"/>
      <c r="M70" s="263"/>
      <c r="N70" s="162"/>
    </row>
    <row r="71" spans="2:14" ht="15" customHeight="1" x14ac:dyDescent="0.25">
      <c r="B71" s="217"/>
      <c r="C71" s="219"/>
      <c r="D71" s="219"/>
      <c r="E71" s="215"/>
      <c r="F71" s="218"/>
      <c r="H71" s="261"/>
      <c r="I71" s="262"/>
      <c r="J71" s="260"/>
      <c r="K71" s="260"/>
      <c r="L71" s="260"/>
      <c r="M71" s="263"/>
      <c r="N71" s="162"/>
    </row>
    <row r="72" spans="2:14" ht="15" customHeight="1" x14ac:dyDescent="0.25">
      <c r="B72" s="217"/>
      <c r="C72" s="219"/>
      <c r="D72" s="219"/>
      <c r="E72" s="215"/>
      <c r="F72" s="218"/>
      <c r="H72" s="261"/>
      <c r="I72" s="262"/>
      <c r="J72" s="260"/>
      <c r="K72" s="260"/>
      <c r="L72" s="260"/>
      <c r="M72" s="263"/>
      <c r="N72" s="162"/>
    </row>
    <row r="73" spans="2:14" ht="15" customHeight="1" x14ac:dyDescent="0.25">
      <c r="B73" s="217"/>
      <c r="C73" s="219"/>
      <c r="D73" s="219"/>
      <c r="E73" s="215"/>
      <c r="F73" s="218"/>
      <c r="H73" s="261"/>
      <c r="I73" s="262"/>
      <c r="J73" s="260"/>
      <c r="K73" s="260"/>
      <c r="L73" s="260"/>
      <c r="M73" s="263"/>
      <c r="N73" s="162"/>
    </row>
    <row r="74" spans="2:14" ht="15" customHeight="1" x14ac:dyDescent="0.25">
      <c r="B74" s="217"/>
      <c r="C74" s="219"/>
      <c r="D74" s="219"/>
      <c r="E74" s="215"/>
      <c r="F74" s="218"/>
      <c r="H74" s="261"/>
      <c r="I74" s="262"/>
      <c r="J74" s="260"/>
      <c r="K74" s="260"/>
      <c r="L74" s="260"/>
      <c r="M74" s="263"/>
      <c r="N74" s="162"/>
    </row>
    <row r="75" spans="2:14" ht="15" customHeight="1" x14ac:dyDescent="0.25">
      <c r="B75" s="217"/>
      <c r="C75" s="219"/>
      <c r="D75" s="219"/>
      <c r="E75" s="215"/>
      <c r="F75" s="218"/>
      <c r="H75" s="261"/>
      <c r="I75" s="262"/>
      <c r="J75" s="260"/>
      <c r="K75" s="260"/>
      <c r="L75" s="260"/>
      <c r="M75" s="263"/>
      <c r="N75" s="162"/>
    </row>
    <row r="76" spans="2:14" ht="15" customHeight="1" x14ac:dyDescent="0.25">
      <c r="B76" s="217"/>
      <c r="C76" s="219"/>
      <c r="D76" s="219"/>
      <c r="E76" s="215"/>
      <c r="F76" s="218"/>
      <c r="H76" s="261"/>
      <c r="I76" s="262"/>
      <c r="J76" s="260"/>
      <c r="K76" s="260"/>
      <c r="L76" s="260"/>
      <c r="M76" s="263"/>
      <c r="N76" s="162"/>
    </row>
    <row r="77" spans="2:14" ht="15" customHeight="1" x14ac:dyDescent="0.25">
      <c r="B77" s="217"/>
      <c r="C77" s="219"/>
      <c r="D77" s="219"/>
      <c r="E77" s="215"/>
      <c r="F77" s="218"/>
      <c r="H77" s="261"/>
      <c r="I77" s="262"/>
      <c r="J77" s="260"/>
      <c r="K77" s="260"/>
      <c r="L77" s="260"/>
      <c r="M77" s="263"/>
      <c r="N77" s="162"/>
    </row>
    <row r="78" spans="2:14" ht="15" customHeight="1" x14ac:dyDescent="0.25">
      <c r="B78" s="217"/>
      <c r="C78" s="219"/>
      <c r="D78" s="219"/>
      <c r="E78" s="215"/>
      <c r="F78" s="218"/>
      <c r="H78" s="261"/>
      <c r="I78" s="262"/>
      <c r="J78" s="260"/>
      <c r="K78" s="260"/>
      <c r="L78" s="260"/>
      <c r="M78" s="263"/>
      <c r="N78" s="162"/>
    </row>
    <row r="79" spans="2:14" ht="15" customHeight="1" x14ac:dyDescent="0.25">
      <c r="B79" s="217"/>
      <c r="C79" s="219"/>
      <c r="D79" s="219"/>
      <c r="E79" s="215"/>
      <c r="F79" s="218"/>
      <c r="H79" s="261"/>
      <c r="I79" s="262"/>
      <c r="J79" s="260"/>
      <c r="K79" s="260"/>
      <c r="L79" s="260"/>
      <c r="M79" s="263"/>
      <c r="N79" s="162"/>
    </row>
    <row r="80" spans="2:14" ht="15" customHeight="1" x14ac:dyDescent="0.25">
      <c r="B80" s="217"/>
      <c r="C80" s="219"/>
      <c r="D80" s="219"/>
      <c r="E80" s="215"/>
      <c r="F80" s="218"/>
      <c r="H80" s="261"/>
      <c r="I80" s="262"/>
      <c r="J80" s="260"/>
      <c r="K80" s="260"/>
      <c r="L80" s="260"/>
      <c r="M80" s="263"/>
      <c r="N80" s="162"/>
    </row>
    <row r="81" spans="2:14" ht="15" customHeight="1" x14ac:dyDescent="0.25">
      <c r="B81" s="217"/>
      <c r="C81" s="219"/>
      <c r="D81" s="219"/>
      <c r="E81" s="215"/>
      <c r="F81" s="218"/>
      <c r="H81" s="261"/>
      <c r="I81" s="262"/>
      <c r="J81" s="260"/>
      <c r="K81" s="260"/>
      <c r="L81" s="260"/>
      <c r="M81" s="263"/>
      <c r="N81" s="162"/>
    </row>
    <row r="82" spans="2:14" ht="15" customHeight="1" x14ac:dyDescent="0.25">
      <c r="B82" s="217"/>
      <c r="C82" s="219"/>
      <c r="D82" s="219"/>
      <c r="E82" s="215"/>
      <c r="F82" s="218"/>
      <c r="H82" s="261"/>
      <c r="I82" s="262"/>
      <c r="J82" s="260"/>
      <c r="K82" s="260"/>
      <c r="L82" s="260"/>
      <c r="M82" s="263"/>
      <c r="N82" s="162"/>
    </row>
    <row r="83" spans="2:14" ht="15" customHeight="1" x14ac:dyDescent="0.25">
      <c r="B83" s="217"/>
      <c r="C83" s="219"/>
      <c r="D83" s="219"/>
      <c r="E83" s="215"/>
      <c r="F83" s="218"/>
      <c r="H83" s="261"/>
      <c r="I83" s="262"/>
      <c r="J83" s="260"/>
      <c r="K83" s="260"/>
      <c r="L83" s="260"/>
      <c r="M83" s="263"/>
      <c r="N83" s="162"/>
    </row>
    <row r="84" spans="2:14" ht="15" customHeight="1" x14ac:dyDescent="0.25">
      <c r="B84" s="217"/>
      <c r="C84" s="219"/>
      <c r="D84" s="219"/>
      <c r="E84" s="215"/>
      <c r="F84" s="218"/>
      <c r="H84" s="261"/>
      <c r="I84" s="262"/>
      <c r="J84" s="260"/>
      <c r="K84" s="260"/>
      <c r="L84" s="260"/>
      <c r="M84" s="263"/>
      <c r="N84" s="162"/>
    </row>
    <row r="85" spans="2:14" ht="15" customHeight="1" x14ac:dyDescent="0.25">
      <c r="B85" s="217"/>
      <c r="C85" s="219"/>
      <c r="D85" s="219"/>
      <c r="E85" s="215"/>
      <c r="F85" s="218"/>
      <c r="H85" s="261"/>
      <c r="I85" s="262"/>
      <c r="J85" s="260"/>
      <c r="K85" s="260"/>
      <c r="L85" s="260"/>
      <c r="M85" s="263"/>
      <c r="N85" s="162"/>
    </row>
    <row r="86" spans="2:14" ht="15" customHeight="1" x14ac:dyDescent="0.25">
      <c r="B86" s="217"/>
      <c r="C86" s="219"/>
      <c r="D86" s="219"/>
      <c r="E86" s="215"/>
      <c r="F86" s="218"/>
      <c r="H86" s="172"/>
      <c r="I86" s="262"/>
      <c r="J86" s="260"/>
      <c r="K86" s="260"/>
      <c r="L86" s="260"/>
      <c r="M86" s="263"/>
      <c r="N86" s="264"/>
    </row>
    <row r="87" spans="2:14" ht="15" customHeight="1" x14ac:dyDescent="0.25">
      <c r="B87" s="217"/>
      <c r="C87" s="219"/>
      <c r="D87" s="219"/>
      <c r="E87" s="215"/>
      <c r="F87" s="218"/>
      <c r="H87" s="172"/>
      <c r="I87" s="265"/>
      <c r="J87" s="260"/>
      <c r="K87" s="260"/>
      <c r="L87" s="260"/>
      <c r="M87" s="263"/>
      <c r="N87" s="264"/>
    </row>
    <row r="88" spans="2:14" ht="15" customHeight="1" x14ac:dyDescent="0.25">
      <c r="B88" s="217"/>
      <c r="C88" s="219"/>
      <c r="D88" s="219"/>
      <c r="E88" s="215"/>
      <c r="F88" s="218"/>
      <c r="H88" s="172"/>
      <c r="I88" s="265"/>
      <c r="J88" s="260"/>
      <c r="K88" s="260"/>
      <c r="L88" s="260"/>
      <c r="M88" s="263"/>
      <c r="N88" s="264"/>
    </row>
    <row r="89" spans="2:14" ht="15" customHeight="1" x14ac:dyDescent="0.25">
      <c r="B89" s="217"/>
      <c r="C89" s="219"/>
      <c r="D89" s="219"/>
      <c r="E89" s="215"/>
      <c r="F89" s="218"/>
      <c r="H89" s="172"/>
      <c r="I89" s="265"/>
      <c r="J89" s="260"/>
      <c r="K89" s="260"/>
      <c r="L89" s="260"/>
      <c r="M89" s="263"/>
      <c r="N89" s="264"/>
    </row>
    <row r="90" spans="2:14" ht="15" customHeight="1" x14ac:dyDescent="0.25">
      <c r="B90" s="217"/>
      <c r="C90" s="219"/>
      <c r="D90" s="219"/>
      <c r="E90" s="215"/>
      <c r="F90" s="218"/>
      <c r="H90" s="172"/>
      <c r="I90" s="265"/>
      <c r="J90" s="260"/>
      <c r="K90" s="260"/>
      <c r="L90" s="260"/>
      <c r="M90" s="263"/>
      <c r="N90" s="264"/>
    </row>
    <row r="91" spans="2:14" ht="15" customHeight="1" x14ac:dyDescent="0.25">
      <c r="B91" s="217"/>
      <c r="C91" s="219"/>
      <c r="D91" s="219"/>
      <c r="E91" s="215"/>
      <c r="F91" s="218"/>
      <c r="H91" s="172"/>
      <c r="I91" s="265"/>
      <c r="J91" s="260"/>
      <c r="K91" s="260"/>
      <c r="L91" s="260"/>
      <c r="M91" s="263"/>
      <c r="N91" s="264"/>
    </row>
    <row r="92" spans="2:14" ht="15" customHeight="1" x14ac:dyDescent="0.25">
      <c r="B92" s="217"/>
      <c r="C92" s="219"/>
      <c r="D92" s="219"/>
      <c r="E92" s="215"/>
      <c r="F92" s="218"/>
      <c r="H92" s="172"/>
      <c r="I92" s="265"/>
      <c r="J92" s="260"/>
      <c r="K92" s="260"/>
      <c r="L92" s="260"/>
      <c r="M92" s="263"/>
      <c r="N92" s="264"/>
    </row>
    <row r="93" spans="2:14" ht="15" customHeight="1" x14ac:dyDescent="0.25">
      <c r="B93" s="217"/>
      <c r="C93" s="219"/>
      <c r="D93" s="219"/>
      <c r="E93" s="215"/>
      <c r="F93" s="218"/>
      <c r="H93" s="172"/>
      <c r="I93" s="265"/>
      <c r="J93" s="260"/>
      <c r="K93" s="260"/>
      <c r="L93" s="260"/>
      <c r="M93" s="263"/>
      <c r="N93" s="264"/>
    </row>
    <row r="94" spans="2:14" ht="15" customHeight="1" x14ac:dyDescent="0.25">
      <c r="B94" s="217"/>
      <c r="C94" s="219"/>
      <c r="D94" s="219"/>
      <c r="E94" s="215"/>
      <c r="F94" s="218"/>
      <c r="H94" s="172"/>
      <c r="I94" s="265"/>
      <c r="J94" s="260"/>
      <c r="K94" s="260"/>
      <c r="L94" s="260"/>
      <c r="M94" s="263"/>
      <c r="N94" s="264"/>
    </row>
    <row r="95" spans="2:14" ht="15" customHeight="1" x14ac:dyDescent="0.25">
      <c r="B95" s="217"/>
      <c r="C95" s="219"/>
      <c r="D95" s="219"/>
      <c r="E95" s="215"/>
      <c r="F95" s="218"/>
      <c r="H95" s="172"/>
      <c r="I95" s="265"/>
      <c r="J95" s="260"/>
      <c r="K95" s="260"/>
      <c r="L95" s="260"/>
      <c r="M95" s="263"/>
      <c r="N95" s="264"/>
    </row>
    <row r="96" spans="2:14" ht="15" customHeight="1" x14ac:dyDescent="0.25">
      <c r="B96" s="217"/>
      <c r="C96" s="219"/>
      <c r="D96" s="219"/>
      <c r="E96" s="215"/>
      <c r="F96" s="218"/>
      <c r="H96" s="172"/>
      <c r="I96" s="265"/>
      <c r="J96" s="260"/>
      <c r="K96" s="260"/>
      <c r="L96" s="260"/>
      <c r="M96" s="263"/>
      <c r="N96" s="264"/>
    </row>
    <row r="97" spans="2:14" ht="15" customHeight="1" x14ac:dyDescent="0.25">
      <c r="B97" s="217"/>
      <c r="C97" s="219"/>
      <c r="D97" s="219"/>
      <c r="E97" s="215"/>
      <c r="F97" s="218"/>
      <c r="H97" s="172"/>
      <c r="I97" s="265"/>
      <c r="J97" s="260"/>
      <c r="K97" s="260"/>
      <c r="L97" s="260"/>
      <c r="M97" s="263"/>
      <c r="N97" s="264"/>
    </row>
    <row r="98" spans="2:14" ht="15" customHeight="1" x14ac:dyDescent="0.25">
      <c r="B98" s="217"/>
      <c r="C98" s="219"/>
      <c r="D98" s="219"/>
      <c r="E98" s="215"/>
      <c r="F98" s="218"/>
      <c r="H98" s="172"/>
      <c r="I98" s="265"/>
      <c r="J98" s="260"/>
      <c r="K98" s="260"/>
      <c r="L98" s="260"/>
      <c r="M98" s="263"/>
      <c r="N98" s="264"/>
    </row>
    <row r="99" spans="2:14" ht="15" customHeight="1" x14ac:dyDescent="0.25">
      <c r="B99" s="217"/>
      <c r="C99" s="219"/>
      <c r="D99" s="219"/>
      <c r="E99" s="215"/>
      <c r="F99" s="218"/>
      <c r="H99" s="172"/>
      <c r="I99" s="265"/>
      <c r="J99" s="260"/>
      <c r="K99" s="260"/>
      <c r="L99" s="260"/>
      <c r="M99" s="263"/>
      <c r="N99" s="264"/>
    </row>
    <row r="100" spans="2:14" ht="15" customHeight="1" x14ac:dyDescent="0.25">
      <c r="B100" s="217"/>
      <c r="C100" s="219"/>
      <c r="D100" s="219"/>
      <c r="E100" s="215"/>
      <c r="F100" s="218"/>
      <c r="H100" s="172"/>
      <c r="I100" s="265"/>
      <c r="J100" s="260"/>
      <c r="K100" s="260"/>
      <c r="L100" s="260"/>
      <c r="M100" s="263"/>
      <c r="N100" s="264"/>
    </row>
    <row r="101" spans="2:14" ht="15" customHeight="1" x14ac:dyDescent="0.25">
      <c r="B101" s="217"/>
      <c r="C101" s="219"/>
      <c r="D101" s="219"/>
      <c r="E101" s="215"/>
      <c r="F101" s="218"/>
      <c r="H101" s="172"/>
      <c r="I101" s="265"/>
      <c r="J101" s="260"/>
      <c r="K101" s="260"/>
      <c r="L101" s="260"/>
      <c r="M101" s="263"/>
      <c r="N101" s="264"/>
    </row>
    <row r="102" spans="2:14" ht="15" customHeight="1" x14ac:dyDescent="0.25">
      <c r="B102" s="217"/>
      <c r="C102" s="219"/>
      <c r="D102" s="219"/>
      <c r="E102" s="215"/>
      <c r="F102" s="218"/>
      <c r="H102" s="172"/>
      <c r="I102" s="265"/>
      <c r="J102" s="260"/>
      <c r="K102" s="260"/>
      <c r="L102" s="260"/>
      <c r="M102" s="263"/>
      <c r="N102" s="264"/>
    </row>
    <row r="103" spans="2:14" ht="15" customHeight="1" x14ac:dyDescent="0.25">
      <c r="B103" s="217"/>
      <c r="C103" s="219"/>
      <c r="D103" s="219"/>
      <c r="E103" s="215"/>
      <c r="F103" s="218"/>
      <c r="H103" s="172"/>
      <c r="I103" s="265"/>
      <c r="J103" s="260"/>
      <c r="K103" s="260"/>
      <c r="L103" s="260"/>
      <c r="M103" s="263"/>
      <c r="N103" s="264"/>
    </row>
    <row r="104" spans="2:14" ht="15" customHeight="1" x14ac:dyDescent="0.25">
      <c r="B104" s="217"/>
      <c r="C104" s="219"/>
      <c r="D104" s="219"/>
      <c r="E104" s="215"/>
      <c r="F104" s="218"/>
      <c r="H104" s="172"/>
      <c r="I104" s="265"/>
      <c r="J104" s="260"/>
      <c r="K104" s="260"/>
      <c r="L104" s="260"/>
      <c r="M104" s="263"/>
      <c r="N104" s="264"/>
    </row>
    <row r="105" spans="2:14" ht="15" customHeight="1" x14ac:dyDescent="0.25">
      <c r="B105" s="217"/>
      <c r="C105" s="219"/>
      <c r="D105" s="219"/>
      <c r="E105" s="215"/>
      <c r="F105" s="218"/>
      <c r="H105" s="172"/>
      <c r="I105" s="265"/>
      <c r="J105" s="260"/>
      <c r="K105" s="260"/>
      <c r="L105" s="260"/>
      <c r="M105" s="263"/>
      <c r="N105" s="264"/>
    </row>
    <row r="106" spans="2:14" ht="15" customHeight="1" x14ac:dyDescent="0.25">
      <c r="B106" s="217"/>
      <c r="C106" s="219"/>
      <c r="D106" s="219"/>
      <c r="E106" s="215"/>
      <c r="F106" s="218"/>
      <c r="H106" s="172"/>
      <c r="I106" s="265"/>
      <c r="J106" s="260"/>
      <c r="K106" s="260"/>
      <c r="L106" s="260"/>
      <c r="M106" s="263"/>
      <c r="N106" s="264"/>
    </row>
    <row r="107" spans="2:14" ht="15" customHeight="1" x14ac:dyDescent="0.25">
      <c r="B107" s="217"/>
      <c r="C107" s="219"/>
      <c r="D107" s="219"/>
      <c r="E107" s="215"/>
      <c r="F107" s="218"/>
      <c r="H107" s="172"/>
      <c r="I107" s="265"/>
      <c r="J107" s="260"/>
      <c r="K107" s="260"/>
      <c r="L107" s="260"/>
      <c r="M107" s="263"/>
      <c r="N107" s="264"/>
    </row>
    <row r="108" spans="2:14" ht="15" customHeight="1" x14ac:dyDescent="0.25">
      <c r="B108" s="217"/>
      <c r="C108" s="219"/>
      <c r="D108" s="219"/>
      <c r="E108" s="215"/>
      <c r="F108" s="218"/>
      <c r="H108" s="172"/>
      <c r="I108" s="265"/>
      <c r="J108" s="260"/>
      <c r="K108" s="260"/>
      <c r="L108" s="260"/>
      <c r="M108" s="263"/>
      <c r="N108" s="264"/>
    </row>
    <row r="109" spans="2:14" ht="15" customHeight="1" x14ac:dyDescent="0.25">
      <c r="B109" s="217"/>
      <c r="C109" s="219"/>
      <c r="D109" s="219"/>
      <c r="E109" s="215"/>
      <c r="F109" s="218"/>
      <c r="H109" s="172"/>
      <c r="I109" s="265"/>
      <c r="J109" s="260"/>
      <c r="K109" s="260"/>
      <c r="L109" s="260"/>
      <c r="M109" s="263"/>
      <c r="N109" s="264"/>
    </row>
    <row r="110" spans="2:14" ht="15" customHeight="1" x14ac:dyDescent="0.25">
      <c r="B110" s="217"/>
      <c r="C110" s="219"/>
      <c r="D110" s="219"/>
      <c r="E110" s="215"/>
      <c r="F110" s="218"/>
      <c r="H110" s="172"/>
      <c r="I110" s="265"/>
      <c r="J110" s="260"/>
      <c r="K110" s="260"/>
      <c r="L110" s="260"/>
      <c r="M110" s="263"/>
      <c r="N110" s="264"/>
    </row>
    <row r="111" spans="2:14" ht="15" customHeight="1" x14ac:dyDescent="0.25">
      <c r="B111" s="217"/>
      <c r="C111" s="219"/>
      <c r="D111" s="219"/>
      <c r="E111" s="215"/>
      <c r="F111" s="218"/>
      <c r="H111" s="172"/>
      <c r="I111" s="265"/>
      <c r="J111" s="260"/>
      <c r="K111" s="260"/>
      <c r="L111" s="260"/>
      <c r="M111" s="263"/>
      <c r="N111" s="264"/>
    </row>
    <row r="112" spans="2:14" ht="15" customHeight="1" x14ac:dyDescent="0.25">
      <c r="B112" s="217"/>
      <c r="C112" s="219"/>
      <c r="D112" s="219"/>
      <c r="E112" s="215"/>
      <c r="F112" s="218"/>
      <c r="H112" s="172"/>
      <c r="I112" s="265"/>
      <c r="J112" s="260"/>
      <c r="K112" s="260"/>
      <c r="L112" s="260"/>
      <c r="M112" s="263"/>
      <c r="N112" s="264"/>
    </row>
    <row r="113" spans="2:14" ht="15" customHeight="1" x14ac:dyDescent="0.25">
      <c r="B113" s="217"/>
      <c r="C113" s="219"/>
      <c r="D113" s="219"/>
      <c r="E113" s="215"/>
      <c r="F113" s="218"/>
      <c r="H113" s="172"/>
      <c r="I113" s="265"/>
      <c r="J113" s="260"/>
      <c r="K113" s="260"/>
      <c r="L113" s="260"/>
      <c r="M113" s="263"/>
      <c r="N113" s="264"/>
    </row>
    <row r="114" spans="2:14" ht="15" customHeight="1" x14ac:dyDescent="0.25">
      <c r="B114" s="217"/>
      <c r="C114" s="219"/>
      <c r="D114" s="219"/>
      <c r="E114" s="215"/>
      <c r="F114" s="218"/>
      <c r="H114" s="172"/>
      <c r="I114" s="265"/>
      <c r="J114" s="260"/>
      <c r="K114" s="260"/>
      <c r="L114" s="260"/>
      <c r="M114" s="263"/>
      <c r="N114" s="264"/>
    </row>
    <row r="115" spans="2:14" ht="15" customHeight="1" x14ac:dyDescent="0.25">
      <c r="B115" s="217"/>
      <c r="C115" s="219"/>
      <c r="D115" s="219"/>
      <c r="E115" s="215"/>
      <c r="F115" s="218"/>
      <c r="H115" s="172"/>
      <c r="I115" s="265"/>
      <c r="J115" s="260"/>
      <c r="K115" s="260"/>
      <c r="L115" s="260"/>
      <c r="M115" s="263"/>
      <c r="N115" s="264"/>
    </row>
    <row r="116" spans="2:14" ht="15" customHeight="1" x14ac:dyDescent="0.25">
      <c r="B116" s="217"/>
      <c r="C116" s="219"/>
      <c r="D116" s="219"/>
      <c r="E116" s="215"/>
      <c r="F116" s="218"/>
      <c r="H116" s="172"/>
      <c r="I116" s="265"/>
      <c r="J116" s="260"/>
      <c r="K116" s="260"/>
      <c r="L116" s="260"/>
      <c r="M116" s="263"/>
      <c r="N116" s="264"/>
    </row>
    <row r="117" spans="2:14" ht="15" customHeight="1" x14ac:dyDescent="0.25">
      <c r="B117" s="217"/>
      <c r="C117" s="219"/>
      <c r="D117" s="219"/>
      <c r="E117" s="215"/>
      <c r="F117" s="218"/>
      <c r="H117" s="172"/>
      <c r="I117" s="265"/>
      <c r="J117" s="260"/>
      <c r="K117" s="260"/>
      <c r="L117" s="260"/>
      <c r="M117" s="263"/>
      <c r="N117" s="264"/>
    </row>
    <row r="118" spans="2:14" ht="15" customHeight="1" x14ac:dyDescent="0.25">
      <c r="B118" s="217"/>
      <c r="C118" s="219"/>
      <c r="D118" s="219"/>
      <c r="E118" s="215"/>
      <c r="F118" s="218"/>
      <c r="H118" s="172"/>
      <c r="I118" s="265"/>
      <c r="J118" s="260"/>
      <c r="K118" s="260"/>
      <c r="L118" s="260"/>
      <c r="M118" s="263"/>
      <c r="N118" s="264"/>
    </row>
    <row r="119" spans="2:14" ht="15" customHeight="1" x14ac:dyDescent="0.25">
      <c r="B119" s="217"/>
      <c r="C119" s="219"/>
      <c r="D119" s="219"/>
      <c r="E119" s="215"/>
      <c r="F119" s="218"/>
      <c r="H119" s="172"/>
      <c r="I119" s="265"/>
      <c r="J119" s="260"/>
      <c r="K119" s="260"/>
      <c r="L119" s="260"/>
      <c r="M119" s="263"/>
      <c r="N119" s="264"/>
    </row>
    <row r="120" spans="2:14" ht="15" customHeight="1" x14ac:dyDescent="0.25">
      <c r="B120" s="217"/>
      <c r="C120" s="219"/>
      <c r="D120" s="219"/>
      <c r="E120" s="215"/>
      <c r="F120" s="218"/>
      <c r="H120" s="172"/>
      <c r="I120" s="265"/>
      <c r="J120" s="260"/>
      <c r="K120" s="260"/>
      <c r="L120" s="260"/>
      <c r="M120" s="263"/>
      <c r="N120" s="264"/>
    </row>
    <row r="121" spans="2:14" ht="15" customHeight="1" x14ac:dyDescent="0.25">
      <c r="B121" s="217"/>
      <c r="C121" s="219"/>
      <c r="D121" s="219"/>
      <c r="E121" s="215"/>
      <c r="F121" s="218"/>
      <c r="H121" s="172"/>
      <c r="I121" s="265"/>
      <c r="J121" s="260"/>
      <c r="K121" s="260"/>
      <c r="L121" s="260"/>
      <c r="M121" s="263"/>
      <c r="N121" s="264"/>
    </row>
    <row r="122" spans="2:14" ht="15" customHeight="1" x14ac:dyDescent="0.25">
      <c r="B122" s="217"/>
      <c r="C122" s="219"/>
      <c r="D122" s="219"/>
      <c r="E122" s="215"/>
      <c r="F122" s="218"/>
      <c r="H122" s="172"/>
      <c r="I122" s="265"/>
      <c r="J122" s="260"/>
      <c r="K122" s="260"/>
      <c r="L122" s="260"/>
      <c r="M122" s="263"/>
      <c r="N122" s="264"/>
    </row>
    <row r="123" spans="2:14" ht="15" customHeight="1" x14ac:dyDescent="0.25">
      <c r="B123" s="217"/>
      <c r="C123" s="219"/>
      <c r="D123" s="219"/>
      <c r="E123" s="215"/>
      <c r="F123" s="218"/>
      <c r="H123" s="172"/>
      <c r="I123" s="265"/>
      <c r="J123" s="260"/>
      <c r="K123" s="260"/>
      <c r="L123" s="260"/>
      <c r="M123" s="263"/>
      <c r="N123" s="264"/>
    </row>
    <row r="124" spans="2:14" ht="15" customHeight="1" x14ac:dyDescent="0.25">
      <c r="B124" s="217"/>
      <c r="C124" s="219"/>
      <c r="D124" s="219"/>
      <c r="E124" s="215"/>
      <c r="F124" s="218"/>
      <c r="H124" s="172"/>
      <c r="I124" s="265"/>
      <c r="J124" s="260"/>
      <c r="K124" s="260"/>
      <c r="L124" s="260"/>
      <c r="M124" s="263"/>
      <c r="N124" s="264"/>
    </row>
    <row r="125" spans="2:14" ht="15" customHeight="1" x14ac:dyDescent="0.25">
      <c r="B125" s="217"/>
      <c r="C125" s="219"/>
      <c r="D125" s="219"/>
      <c r="E125" s="215"/>
      <c r="F125" s="218"/>
      <c r="H125" s="172"/>
      <c r="I125" s="265"/>
      <c r="J125" s="260"/>
      <c r="K125" s="260"/>
      <c r="L125" s="260"/>
      <c r="M125" s="263"/>
      <c r="N125" s="264"/>
    </row>
    <row r="126" spans="2:14" ht="15" customHeight="1" x14ac:dyDescent="0.25">
      <c r="B126" s="217"/>
      <c r="C126" s="219"/>
      <c r="D126" s="219"/>
      <c r="E126" s="215"/>
      <c r="F126" s="218"/>
      <c r="H126" s="172"/>
      <c r="I126" s="265"/>
      <c r="J126" s="260"/>
      <c r="K126" s="260"/>
      <c r="L126" s="260"/>
      <c r="M126" s="263"/>
      <c r="N126" s="264"/>
    </row>
    <row r="127" spans="2:14" ht="15" customHeight="1" x14ac:dyDescent="0.25">
      <c r="B127" s="217"/>
      <c r="C127" s="219"/>
      <c r="D127" s="219"/>
      <c r="E127" s="215"/>
      <c r="F127" s="218"/>
      <c r="H127" s="172"/>
      <c r="I127" s="265"/>
      <c r="J127" s="260"/>
      <c r="K127" s="260"/>
      <c r="L127" s="260"/>
      <c r="M127" s="263"/>
      <c r="N127" s="264"/>
    </row>
    <row r="128" spans="2:14" ht="15" customHeight="1" x14ac:dyDescent="0.25">
      <c r="B128" s="217"/>
      <c r="C128" s="219"/>
      <c r="D128" s="219"/>
      <c r="E128" s="215"/>
      <c r="F128" s="218"/>
      <c r="H128" s="172"/>
      <c r="I128" s="265"/>
      <c r="J128" s="260"/>
      <c r="K128" s="260"/>
      <c r="L128" s="260"/>
      <c r="M128" s="263"/>
      <c r="N128" s="264"/>
    </row>
    <row r="129" spans="2:14" ht="15" customHeight="1" x14ac:dyDescent="0.25">
      <c r="B129" s="217"/>
      <c r="C129" s="219"/>
      <c r="D129" s="219"/>
      <c r="E129" s="215"/>
      <c r="F129" s="218"/>
      <c r="H129" s="172"/>
      <c r="I129" s="265"/>
      <c r="J129" s="260"/>
      <c r="K129" s="260"/>
      <c r="L129" s="260"/>
      <c r="M129" s="263"/>
      <c r="N129" s="264"/>
    </row>
    <row r="130" spans="2:14" ht="15" customHeight="1" x14ac:dyDescent="0.25">
      <c r="B130" s="217"/>
      <c r="C130" s="219"/>
      <c r="D130" s="219"/>
      <c r="E130" s="215"/>
      <c r="F130" s="218"/>
      <c r="H130" s="172"/>
      <c r="I130" s="265"/>
      <c r="J130" s="260"/>
      <c r="K130" s="260"/>
      <c r="L130" s="260"/>
      <c r="M130" s="263"/>
      <c r="N130" s="264"/>
    </row>
    <row r="131" spans="2:14" ht="15" customHeight="1" x14ac:dyDescent="0.25">
      <c r="B131" s="217"/>
      <c r="C131" s="219"/>
      <c r="D131" s="219"/>
      <c r="E131" s="215"/>
      <c r="F131" s="218"/>
      <c r="H131" s="172"/>
      <c r="I131" s="265"/>
      <c r="J131" s="260"/>
      <c r="K131" s="260"/>
      <c r="L131" s="260"/>
      <c r="M131" s="263"/>
      <c r="N131" s="264"/>
    </row>
    <row r="132" spans="2:14" ht="15" customHeight="1" x14ac:dyDescent="0.25">
      <c r="B132" s="217"/>
      <c r="C132" s="219"/>
      <c r="D132" s="219"/>
      <c r="E132" s="215"/>
      <c r="F132" s="218"/>
      <c r="H132" s="172"/>
      <c r="I132" s="265"/>
      <c r="J132" s="260"/>
      <c r="K132" s="260"/>
      <c r="L132" s="260"/>
      <c r="M132" s="263"/>
      <c r="N132" s="264"/>
    </row>
    <row r="133" spans="2:14" ht="15" customHeight="1" x14ac:dyDescent="0.25">
      <c r="B133" s="217"/>
      <c r="C133" s="219"/>
      <c r="D133" s="219"/>
      <c r="E133" s="215"/>
      <c r="F133" s="218"/>
      <c r="H133" s="172"/>
      <c r="I133" s="265"/>
      <c r="J133" s="260"/>
      <c r="K133" s="260"/>
      <c r="L133" s="260"/>
      <c r="M133" s="263"/>
      <c r="N133" s="264"/>
    </row>
    <row r="134" spans="2:14" ht="15" customHeight="1" x14ac:dyDescent="0.25">
      <c r="B134" s="217"/>
      <c r="C134" s="219"/>
      <c r="D134" s="219"/>
      <c r="E134" s="215"/>
      <c r="F134" s="218"/>
      <c r="H134" s="172"/>
      <c r="I134" s="265"/>
      <c r="J134" s="260"/>
      <c r="K134" s="260"/>
      <c r="L134" s="260"/>
      <c r="M134" s="263"/>
      <c r="N134" s="264"/>
    </row>
    <row r="135" spans="2:14" ht="15" customHeight="1" x14ac:dyDescent="0.25">
      <c r="B135" s="217"/>
      <c r="C135" s="219"/>
      <c r="D135" s="219"/>
      <c r="E135" s="215"/>
      <c r="F135" s="218"/>
      <c r="H135" s="172"/>
      <c r="I135" s="265"/>
      <c r="J135" s="260"/>
      <c r="K135" s="260"/>
      <c r="L135" s="260"/>
      <c r="M135" s="263"/>
      <c r="N135" s="264"/>
    </row>
    <row r="136" spans="2:14" ht="15" customHeight="1" x14ac:dyDescent="0.25">
      <c r="B136" s="217"/>
      <c r="C136" s="219"/>
      <c r="D136" s="219"/>
      <c r="E136" s="215"/>
      <c r="F136" s="218"/>
      <c r="H136" s="172"/>
      <c r="I136" s="265"/>
      <c r="J136" s="260"/>
      <c r="K136" s="260"/>
      <c r="L136" s="260"/>
      <c r="M136" s="263"/>
      <c r="N136" s="264"/>
    </row>
    <row r="137" spans="2:14" ht="15" customHeight="1" x14ac:dyDescent="0.25">
      <c r="B137" s="217"/>
      <c r="C137" s="219"/>
      <c r="D137" s="219"/>
      <c r="E137" s="215"/>
      <c r="F137" s="218"/>
      <c r="H137" s="261"/>
      <c r="I137" s="262"/>
      <c r="J137" s="260"/>
      <c r="K137" s="260"/>
      <c r="L137" s="260"/>
      <c r="M137" s="222"/>
      <c r="N137" s="264"/>
    </row>
    <row r="138" spans="2:14" ht="15" customHeight="1" x14ac:dyDescent="0.25">
      <c r="B138" s="217"/>
      <c r="C138" s="219"/>
      <c r="D138" s="219"/>
      <c r="E138" s="215"/>
      <c r="F138" s="218"/>
      <c r="H138" s="261"/>
      <c r="I138" s="262"/>
      <c r="J138" s="260"/>
      <c r="K138" s="260"/>
      <c r="L138" s="260"/>
      <c r="M138" s="263"/>
      <c r="N138" s="264"/>
    </row>
    <row r="139" spans="2:14" ht="15" customHeight="1" x14ac:dyDescent="0.25">
      <c r="B139" s="217"/>
      <c r="C139" s="219"/>
      <c r="D139" s="219"/>
      <c r="E139" s="215"/>
      <c r="F139" s="218"/>
      <c r="H139" s="261"/>
      <c r="I139" s="262"/>
      <c r="J139" s="260"/>
      <c r="K139" s="260"/>
      <c r="L139" s="260"/>
      <c r="M139" s="263"/>
      <c r="N139" s="264"/>
    </row>
    <row r="140" spans="2:14" ht="15" customHeight="1" x14ac:dyDescent="0.25">
      <c r="B140" s="217"/>
      <c r="C140" s="219"/>
      <c r="D140" s="219"/>
      <c r="E140" s="215"/>
      <c r="F140" s="218"/>
      <c r="H140" s="261"/>
      <c r="I140" s="262"/>
      <c r="J140" s="260"/>
      <c r="K140" s="260"/>
      <c r="L140" s="260"/>
      <c r="M140" s="263"/>
      <c r="N140" s="264"/>
    </row>
    <row r="141" spans="2:14" ht="15" customHeight="1" x14ac:dyDescent="0.25">
      <c r="B141" s="217"/>
      <c r="C141" s="219"/>
      <c r="D141" s="219"/>
      <c r="E141" s="215"/>
      <c r="F141" s="218"/>
      <c r="H141" s="261"/>
      <c r="I141" s="262"/>
      <c r="J141" s="260"/>
      <c r="K141" s="260"/>
      <c r="L141" s="260"/>
      <c r="M141" s="263"/>
      <c r="N141" s="264"/>
    </row>
    <row r="142" spans="2:14" ht="15" customHeight="1" x14ac:dyDescent="0.25">
      <c r="B142" s="217"/>
      <c r="C142" s="219"/>
      <c r="D142" s="219"/>
      <c r="E142" s="215"/>
      <c r="F142" s="218"/>
      <c r="H142" s="172"/>
      <c r="I142" s="265"/>
      <c r="J142" s="260"/>
      <c r="K142" s="260"/>
      <c r="L142" s="260"/>
      <c r="M142" s="263"/>
      <c r="N142" s="264"/>
    </row>
    <row r="143" spans="2:14" ht="15" customHeight="1" x14ac:dyDescent="0.25">
      <c r="B143" s="217"/>
      <c r="C143" s="219"/>
      <c r="D143" s="219"/>
      <c r="E143" s="215"/>
      <c r="F143" s="218"/>
      <c r="H143" s="172"/>
      <c r="I143" s="265"/>
      <c r="J143" s="260"/>
      <c r="K143" s="260"/>
      <c r="L143" s="260"/>
      <c r="M143" s="263"/>
      <c r="N143" s="264"/>
    </row>
    <row r="144" spans="2:14" ht="15" customHeight="1" x14ac:dyDescent="0.25">
      <c r="B144" s="217"/>
      <c r="C144" s="219"/>
      <c r="D144" s="219"/>
      <c r="E144" s="215"/>
      <c r="F144" s="218"/>
      <c r="H144" s="172"/>
      <c r="I144" s="265"/>
      <c r="J144" s="260"/>
      <c r="K144" s="260"/>
      <c r="L144" s="260"/>
      <c r="M144" s="263"/>
      <c r="N144" s="264"/>
    </row>
    <row r="145" spans="2:14" ht="15" customHeight="1" x14ac:dyDescent="0.25">
      <c r="B145" s="217"/>
      <c r="C145" s="219"/>
      <c r="D145" s="219"/>
      <c r="E145" s="215"/>
      <c r="F145" s="218"/>
      <c r="H145" s="172"/>
      <c r="I145" s="265"/>
      <c r="J145" s="260"/>
      <c r="K145" s="260"/>
      <c r="L145" s="260"/>
      <c r="M145" s="263"/>
      <c r="N145" s="264"/>
    </row>
    <row r="146" spans="2:14" ht="15" customHeight="1" x14ac:dyDescent="0.25">
      <c r="B146" s="217"/>
      <c r="C146" s="219"/>
      <c r="D146" s="219"/>
      <c r="E146" s="215"/>
      <c r="F146" s="218"/>
      <c r="H146" s="172"/>
      <c r="I146" s="265"/>
      <c r="J146" s="260"/>
      <c r="K146" s="260"/>
      <c r="L146" s="260"/>
      <c r="M146" s="263"/>
      <c r="N146" s="264"/>
    </row>
    <row r="147" spans="2:14" ht="15" customHeight="1" x14ac:dyDescent="0.25">
      <c r="B147" s="217"/>
      <c r="C147" s="219"/>
      <c r="D147" s="219"/>
      <c r="E147" s="215"/>
      <c r="F147" s="218"/>
      <c r="H147" s="172"/>
      <c r="I147" s="265"/>
      <c r="J147" s="260"/>
      <c r="K147" s="260"/>
      <c r="L147" s="260"/>
      <c r="M147" s="263"/>
      <c r="N147" s="264"/>
    </row>
    <row r="148" spans="2:14" ht="15" customHeight="1" x14ac:dyDescent="0.25">
      <c r="B148" s="217"/>
      <c r="C148" s="219"/>
      <c r="D148" s="219"/>
      <c r="E148" s="215"/>
      <c r="F148" s="218"/>
      <c r="H148" s="172"/>
      <c r="I148" s="265"/>
      <c r="J148" s="260"/>
      <c r="K148" s="260"/>
      <c r="L148" s="260"/>
      <c r="M148" s="263"/>
      <c r="N148" s="264"/>
    </row>
    <row r="149" spans="2:14" ht="15" customHeight="1" x14ac:dyDescent="0.25">
      <c r="B149" s="217"/>
      <c r="C149" s="219"/>
      <c r="D149" s="219"/>
      <c r="E149" s="215"/>
      <c r="F149" s="218"/>
      <c r="H149" s="172"/>
      <c r="I149" s="265"/>
      <c r="J149" s="260"/>
      <c r="K149" s="260"/>
      <c r="L149" s="260"/>
      <c r="M149" s="263"/>
      <c r="N149" s="264"/>
    </row>
    <row r="150" spans="2:14" ht="15" customHeight="1" x14ac:dyDescent="0.25">
      <c r="B150" s="217"/>
      <c r="C150" s="219"/>
      <c r="D150" s="219"/>
      <c r="E150" s="215"/>
      <c r="F150" s="218"/>
      <c r="H150" s="172"/>
      <c r="I150" s="265"/>
      <c r="J150" s="260"/>
      <c r="K150" s="260"/>
      <c r="L150" s="260"/>
      <c r="M150" s="263"/>
      <c r="N150" s="264"/>
    </row>
    <row r="151" spans="2:14" ht="15" customHeight="1" x14ac:dyDescent="0.25">
      <c r="B151" s="217"/>
      <c r="C151" s="219"/>
      <c r="D151" s="219"/>
      <c r="E151" s="215"/>
      <c r="F151" s="218"/>
      <c r="H151" s="172"/>
      <c r="I151" s="265"/>
      <c r="J151" s="260"/>
      <c r="K151" s="260"/>
      <c r="L151" s="260"/>
      <c r="M151" s="263"/>
      <c r="N151" s="264"/>
    </row>
    <row r="152" spans="2:14" ht="15" customHeight="1" x14ac:dyDescent="0.25">
      <c r="B152" s="217"/>
      <c r="C152" s="219"/>
      <c r="D152" s="219"/>
      <c r="E152" s="215"/>
      <c r="F152" s="218"/>
      <c r="H152" s="172"/>
      <c r="I152" s="265"/>
      <c r="J152" s="260"/>
      <c r="K152" s="260"/>
      <c r="L152" s="260"/>
      <c r="M152" s="263"/>
      <c r="N152" s="264"/>
    </row>
    <row r="153" spans="2:14" ht="15" customHeight="1" x14ac:dyDescent="0.25">
      <c r="B153" s="217"/>
      <c r="C153" s="219"/>
      <c r="D153" s="219"/>
      <c r="E153" s="215"/>
      <c r="F153" s="218"/>
      <c r="H153" s="172"/>
      <c r="I153" s="265"/>
      <c r="J153" s="260"/>
      <c r="K153" s="260"/>
      <c r="L153" s="260"/>
      <c r="M153" s="263"/>
      <c r="N153" s="264"/>
    </row>
    <row r="154" spans="2:14" ht="15" customHeight="1" x14ac:dyDescent="0.25">
      <c r="B154" s="217"/>
      <c r="C154" s="219"/>
      <c r="D154" s="219"/>
      <c r="E154" s="215"/>
      <c r="F154" s="218"/>
      <c r="H154" s="172"/>
      <c r="I154" s="265"/>
      <c r="J154" s="260"/>
      <c r="K154" s="260"/>
      <c r="L154" s="260"/>
      <c r="M154" s="263"/>
      <c r="N154" s="264"/>
    </row>
    <row r="155" spans="2:14" ht="15" customHeight="1" x14ac:dyDescent="0.25">
      <c r="B155" s="217"/>
      <c r="C155" s="219"/>
      <c r="D155" s="219"/>
      <c r="E155" s="215"/>
      <c r="F155" s="218"/>
      <c r="H155" s="172"/>
      <c r="I155" s="265"/>
      <c r="J155" s="260"/>
      <c r="K155" s="260"/>
      <c r="L155" s="260"/>
      <c r="M155" s="263"/>
      <c r="N155" s="264"/>
    </row>
    <row r="156" spans="2:14" ht="15" customHeight="1" x14ac:dyDescent="0.25">
      <c r="B156" s="217"/>
      <c r="C156" s="219"/>
      <c r="D156" s="219"/>
      <c r="E156" s="215"/>
      <c r="F156" s="218"/>
      <c r="H156" s="172"/>
      <c r="I156" s="265"/>
      <c r="J156" s="260"/>
      <c r="K156" s="260"/>
      <c r="L156" s="260"/>
      <c r="M156" s="263"/>
      <c r="N156" s="264"/>
    </row>
    <row r="157" spans="2:14" ht="15" customHeight="1" x14ac:dyDescent="0.25">
      <c r="B157" s="217"/>
      <c r="C157" s="219"/>
      <c r="D157" s="219"/>
      <c r="E157" s="215"/>
      <c r="F157" s="218"/>
      <c r="H157" s="172"/>
      <c r="I157" s="265"/>
      <c r="J157" s="260"/>
      <c r="K157" s="260"/>
      <c r="L157" s="260"/>
      <c r="M157" s="263"/>
      <c r="N157" s="264"/>
    </row>
    <row r="158" spans="2:14" ht="15" customHeight="1" x14ac:dyDescent="0.25">
      <c r="B158" s="217"/>
      <c r="C158" s="219"/>
      <c r="D158" s="219"/>
      <c r="E158" s="215"/>
      <c r="F158" s="218"/>
      <c r="H158" s="172"/>
      <c r="I158" s="265"/>
      <c r="J158" s="260"/>
      <c r="K158" s="260"/>
      <c r="L158" s="260"/>
      <c r="M158" s="263"/>
      <c r="N158" s="264"/>
    </row>
    <row r="159" spans="2:14" ht="15" customHeight="1" x14ac:dyDescent="0.25">
      <c r="B159" s="217"/>
      <c r="C159" s="219"/>
      <c r="D159" s="219"/>
      <c r="E159" s="215"/>
      <c r="F159" s="218"/>
      <c r="H159" s="172"/>
      <c r="I159" s="265"/>
      <c r="J159" s="260"/>
      <c r="K159" s="260"/>
      <c r="L159" s="260"/>
      <c r="M159" s="263"/>
      <c r="N159" s="264"/>
    </row>
    <row r="160" spans="2:14" ht="15" customHeight="1" x14ac:dyDescent="0.25">
      <c r="B160" s="217"/>
      <c r="C160" s="219"/>
      <c r="D160" s="219"/>
      <c r="E160" s="215"/>
      <c r="F160" s="218"/>
      <c r="H160" s="172"/>
      <c r="I160" s="265"/>
      <c r="J160" s="260"/>
      <c r="K160" s="260"/>
      <c r="L160" s="260"/>
      <c r="M160" s="263"/>
      <c r="N160" s="264"/>
    </row>
    <row r="161" spans="2:14" ht="15" customHeight="1" x14ac:dyDescent="0.25">
      <c r="B161" s="217"/>
      <c r="C161" s="219"/>
      <c r="D161" s="219"/>
      <c r="E161" s="215"/>
      <c r="F161" s="218"/>
      <c r="H161" s="172"/>
      <c r="I161" s="265"/>
      <c r="J161" s="260"/>
      <c r="K161" s="260"/>
      <c r="L161" s="260"/>
      <c r="M161" s="263"/>
      <c r="N161" s="264"/>
    </row>
    <row r="162" spans="2:14" ht="15" customHeight="1" x14ac:dyDescent="0.25">
      <c r="B162" s="217"/>
      <c r="C162" s="219"/>
      <c r="D162" s="219"/>
      <c r="E162" s="215"/>
      <c r="F162" s="218"/>
      <c r="H162" s="172"/>
      <c r="I162" s="265"/>
      <c r="J162" s="260"/>
      <c r="K162" s="260"/>
      <c r="L162" s="260"/>
      <c r="M162" s="263"/>
      <c r="N162" s="264"/>
    </row>
    <row r="163" spans="2:14" ht="15" customHeight="1" x14ac:dyDescent="0.25">
      <c r="B163" s="217"/>
      <c r="C163" s="219"/>
      <c r="D163" s="219"/>
      <c r="E163" s="215"/>
      <c r="F163" s="218"/>
      <c r="H163" s="172"/>
      <c r="I163" s="265"/>
      <c r="J163" s="260"/>
      <c r="K163" s="260"/>
      <c r="L163" s="260"/>
      <c r="M163" s="263"/>
      <c r="N163" s="264"/>
    </row>
    <row r="164" spans="2:14" ht="15" customHeight="1" x14ac:dyDescent="0.25">
      <c r="B164" s="217"/>
      <c r="C164" s="219"/>
      <c r="D164" s="219"/>
      <c r="E164" s="215"/>
      <c r="F164" s="218"/>
      <c r="H164" s="172"/>
      <c r="I164" s="265"/>
      <c r="J164" s="260"/>
      <c r="K164" s="260"/>
      <c r="L164" s="260"/>
      <c r="M164" s="263"/>
      <c r="N164" s="264"/>
    </row>
    <row r="165" spans="2:14" ht="15" customHeight="1" x14ac:dyDescent="0.25">
      <c r="B165" s="217"/>
      <c r="C165" s="219"/>
      <c r="D165" s="219"/>
      <c r="E165" s="215"/>
      <c r="F165" s="218"/>
      <c r="H165" s="172"/>
      <c r="I165" s="265"/>
      <c r="J165" s="260"/>
      <c r="K165" s="260"/>
      <c r="L165" s="260"/>
      <c r="M165" s="263"/>
      <c r="N165" s="264"/>
    </row>
    <row r="166" spans="2:14" ht="15" customHeight="1" x14ac:dyDescent="0.25">
      <c r="B166" s="217"/>
      <c r="C166" s="219"/>
      <c r="D166" s="219"/>
      <c r="E166" s="215"/>
      <c r="F166" s="218"/>
      <c r="H166" s="172"/>
      <c r="I166" s="265"/>
      <c r="J166" s="260"/>
      <c r="K166" s="260"/>
      <c r="L166" s="260"/>
      <c r="M166" s="263"/>
      <c r="N166" s="264"/>
    </row>
    <row r="167" spans="2:14" ht="15" customHeight="1" x14ac:dyDescent="0.25">
      <c r="B167" s="217"/>
      <c r="C167" s="219"/>
      <c r="D167" s="219"/>
      <c r="E167" s="215"/>
      <c r="F167" s="218"/>
      <c r="H167" s="172"/>
      <c r="I167" s="265"/>
      <c r="J167" s="260"/>
      <c r="K167" s="260"/>
      <c r="L167" s="260"/>
      <c r="M167" s="263"/>
      <c r="N167" s="264"/>
    </row>
    <row r="168" spans="2:14" ht="15" customHeight="1" x14ac:dyDescent="0.25">
      <c r="B168" s="217"/>
      <c r="C168" s="219"/>
      <c r="D168" s="219"/>
      <c r="E168" s="215"/>
      <c r="F168" s="218"/>
      <c r="H168" s="172"/>
      <c r="I168" s="265"/>
      <c r="J168" s="260"/>
      <c r="K168" s="260"/>
      <c r="L168" s="260"/>
      <c r="M168" s="263"/>
      <c r="N168" s="264"/>
    </row>
    <row r="169" spans="2:14" ht="15" customHeight="1" x14ac:dyDescent="0.25">
      <c r="B169" s="217"/>
      <c r="C169" s="219"/>
      <c r="D169" s="219"/>
      <c r="E169" s="215"/>
      <c r="F169" s="218"/>
      <c r="H169" s="172"/>
      <c r="I169" s="265"/>
      <c r="J169" s="260"/>
      <c r="K169" s="260"/>
      <c r="L169" s="260"/>
      <c r="M169" s="263"/>
      <c r="N169" s="264"/>
    </row>
    <row r="170" spans="2:14" ht="15" customHeight="1" x14ac:dyDescent="0.25">
      <c r="B170" s="217"/>
      <c r="C170" s="219"/>
      <c r="D170" s="219"/>
      <c r="E170" s="215"/>
      <c r="F170" s="218"/>
      <c r="H170" s="172"/>
      <c r="I170" s="265"/>
      <c r="J170" s="260"/>
      <c r="K170" s="260"/>
      <c r="L170" s="260"/>
      <c r="M170" s="263"/>
      <c r="N170" s="264"/>
    </row>
    <row r="171" spans="2:14" ht="15" customHeight="1" x14ac:dyDescent="0.25">
      <c r="B171" s="217"/>
      <c r="C171" s="219"/>
      <c r="D171" s="219"/>
      <c r="E171" s="215"/>
      <c r="F171" s="218"/>
      <c r="H171" s="172"/>
      <c r="I171" s="265"/>
      <c r="J171" s="260"/>
      <c r="K171" s="260"/>
      <c r="L171" s="260"/>
      <c r="M171" s="263"/>
      <c r="N171" s="264"/>
    </row>
    <row r="172" spans="2:14" ht="15" customHeight="1" x14ac:dyDescent="0.25">
      <c r="B172" s="217"/>
      <c r="C172" s="219"/>
      <c r="D172" s="219"/>
      <c r="E172" s="215"/>
      <c r="F172" s="218"/>
      <c r="H172" s="172"/>
      <c r="I172" s="265"/>
      <c r="J172" s="260"/>
      <c r="K172" s="260"/>
      <c r="L172" s="260"/>
      <c r="M172" s="263"/>
      <c r="N172" s="264"/>
    </row>
    <row r="173" spans="2:14" ht="15" customHeight="1" x14ac:dyDescent="0.25">
      <c r="B173" s="217"/>
      <c r="C173" s="219"/>
      <c r="D173" s="219"/>
      <c r="E173" s="215"/>
      <c r="F173" s="218"/>
      <c r="H173" s="172"/>
      <c r="I173" s="265"/>
      <c r="J173" s="260"/>
      <c r="K173" s="260"/>
      <c r="L173" s="260"/>
      <c r="M173" s="263"/>
      <c r="N173" s="264"/>
    </row>
    <row r="174" spans="2:14" ht="15" customHeight="1" x14ac:dyDescent="0.25">
      <c r="B174" s="217"/>
      <c r="C174" s="219"/>
      <c r="D174" s="219"/>
      <c r="E174" s="215"/>
      <c r="F174" s="218"/>
      <c r="H174" s="172"/>
      <c r="I174" s="265"/>
      <c r="J174" s="260"/>
      <c r="K174" s="260"/>
      <c r="L174" s="260"/>
      <c r="M174" s="263"/>
      <c r="N174" s="264"/>
    </row>
    <row r="175" spans="2:14" ht="15" customHeight="1" x14ac:dyDescent="0.25">
      <c r="B175" s="217"/>
      <c r="C175" s="219"/>
      <c r="D175" s="219"/>
      <c r="E175" s="215"/>
      <c r="F175" s="218"/>
      <c r="H175" s="172"/>
      <c r="I175" s="265"/>
      <c r="J175" s="260"/>
      <c r="K175" s="260"/>
      <c r="L175" s="260"/>
      <c r="M175" s="263"/>
      <c r="N175" s="264"/>
    </row>
    <row r="176" spans="2:14" ht="15" customHeight="1" x14ac:dyDescent="0.25">
      <c r="B176" s="217"/>
      <c r="C176" s="219"/>
      <c r="D176" s="219"/>
      <c r="E176" s="215"/>
      <c r="F176" s="218"/>
      <c r="H176" s="172"/>
      <c r="I176" s="265"/>
      <c r="J176" s="260"/>
      <c r="K176" s="260"/>
      <c r="L176" s="260"/>
      <c r="M176" s="263"/>
      <c r="N176" s="264"/>
    </row>
    <row r="177" spans="2:14" ht="15" customHeight="1" thickBot="1" x14ac:dyDescent="0.3">
      <c r="B177" s="217"/>
      <c r="C177" s="219"/>
      <c r="D177" s="219"/>
      <c r="E177" s="215"/>
      <c r="F177" s="218"/>
      <c r="H177" s="282"/>
      <c r="I177" s="247"/>
      <c r="J177" s="248"/>
      <c r="K177" s="248"/>
      <c r="L177" s="248"/>
      <c r="M177" s="250"/>
      <c r="N177" s="249"/>
    </row>
    <row r="178" spans="2:14" ht="15" customHeight="1" thickBot="1" x14ac:dyDescent="0.3">
      <c r="B178" s="217"/>
      <c r="C178" s="219"/>
      <c r="D178" s="219"/>
      <c r="E178" s="215"/>
      <c r="F178" s="218"/>
      <c r="H178" s="190"/>
      <c r="I178" s="191"/>
      <c r="J178" s="192"/>
      <c r="K178" s="193"/>
      <c r="L178" s="194"/>
      <c r="M178" s="155" t="s">
        <v>176</v>
      </c>
      <c r="N178" s="158">
        <f>SUM(N15:N177)</f>
        <v>12275.58</v>
      </c>
    </row>
    <row r="179" spans="2:14" ht="15" customHeight="1" x14ac:dyDescent="0.25">
      <c r="B179" s="217"/>
      <c r="C179" s="219"/>
      <c r="D179" s="219"/>
      <c r="E179" s="215"/>
      <c r="F179" s="218"/>
      <c r="H179" s="159"/>
      <c r="I179" s="160"/>
      <c r="J179" s="177"/>
      <c r="K179" s="177"/>
      <c r="L179" s="177"/>
      <c r="M179" s="161"/>
      <c r="N179" s="178"/>
    </row>
    <row r="180" spans="2:14" ht="15" customHeight="1" x14ac:dyDescent="0.25">
      <c r="B180" s="217"/>
      <c r="C180" s="219"/>
      <c r="D180" s="219"/>
      <c r="E180" s="215"/>
      <c r="F180" s="218"/>
      <c r="H180" s="159"/>
      <c r="I180" s="160"/>
      <c r="J180" s="177"/>
      <c r="K180" s="177"/>
      <c r="L180" s="257"/>
      <c r="M180" s="258"/>
      <c r="N180" s="256"/>
    </row>
    <row r="181" spans="2:14" ht="15" customHeight="1" thickBot="1" x14ac:dyDescent="0.3">
      <c r="B181" s="183"/>
      <c r="C181" s="184"/>
      <c r="D181" s="184"/>
      <c r="E181" s="185"/>
      <c r="F181" s="186"/>
      <c r="H181" s="159"/>
      <c r="I181" s="160"/>
      <c r="J181" s="177"/>
      <c r="K181" s="177"/>
      <c r="L181" s="257"/>
      <c r="M181" s="258"/>
      <c r="N181" s="256"/>
    </row>
    <row r="182" spans="2:14" ht="15" customHeight="1" thickBot="1" x14ac:dyDescent="0.3">
      <c r="B182" s="188"/>
      <c r="C182" s="189"/>
      <c r="D182" s="156" t="s">
        <v>175</v>
      </c>
      <c r="E182" s="157"/>
      <c r="F182" s="158">
        <f>SUM(F15:F181)</f>
        <v>35000</v>
      </c>
    </row>
    <row r="183" spans="2:14" ht="15" customHeight="1" x14ac:dyDescent="0.25">
      <c r="B183" s="175"/>
      <c r="C183" s="176"/>
      <c r="D183" s="176"/>
      <c r="E183" s="177"/>
      <c r="F183" s="178"/>
    </row>
    <row r="184" spans="2:14" ht="15" customHeight="1" x14ac:dyDescent="0.25">
      <c r="B184" s="175"/>
      <c r="C184" s="176"/>
      <c r="D184" s="254"/>
      <c r="E184" s="255"/>
      <c r="F184" s="256"/>
      <c r="H184" s="139"/>
      <c r="I184" s="139"/>
      <c r="J184" s="139"/>
    </row>
    <row r="185" spans="2:14" s="187" customFormat="1" ht="20.100000000000001" customHeight="1" x14ac:dyDescent="0.25">
      <c r="B185" s="175"/>
      <c r="C185" s="176"/>
      <c r="D185" s="254"/>
      <c r="E185" s="255"/>
      <c r="F185" s="256"/>
      <c r="H185" s="216"/>
      <c r="I185" s="216"/>
      <c r="J185" s="216"/>
      <c r="K185" s="216"/>
      <c r="L185" s="216"/>
      <c r="M185" s="216"/>
      <c r="N185" s="216"/>
    </row>
    <row r="186" spans="2:14" s="46" customFormat="1" ht="30" customHeight="1" thickBot="1" x14ac:dyDescent="0.3">
      <c r="B186" s="216"/>
      <c r="C186" s="216"/>
      <c r="D186" s="216"/>
      <c r="E186" s="216"/>
      <c r="F186" s="216"/>
      <c r="G186" s="163"/>
      <c r="H186" s="216"/>
      <c r="I186" s="216"/>
      <c r="J186" s="216"/>
      <c r="K186" s="216"/>
      <c r="L186" s="216"/>
      <c r="M186" s="216"/>
      <c r="N186" s="216"/>
    </row>
    <row r="187" spans="2:14" ht="16.5" thickBot="1" x14ac:dyDescent="0.3">
      <c r="B187" s="327" t="s">
        <v>161</v>
      </c>
      <c r="C187" s="328"/>
      <c r="D187" s="328"/>
      <c r="E187" s="329"/>
      <c r="G187" s="187"/>
    </row>
    <row r="188" spans="2:14" ht="15.75" x14ac:dyDescent="0.25">
      <c r="B188" s="164" t="s">
        <v>157</v>
      </c>
      <c r="C188" s="163"/>
      <c r="D188" s="163"/>
      <c r="E188" s="266">
        <f>+F182</f>
        <v>35000</v>
      </c>
      <c r="G188" s="187"/>
    </row>
    <row r="189" spans="2:14" x14ac:dyDescent="0.25">
      <c r="B189" s="164" t="s">
        <v>158</v>
      </c>
      <c r="C189" s="163"/>
      <c r="D189" s="163"/>
      <c r="E189" s="266">
        <f>+N178</f>
        <v>12275.58</v>
      </c>
    </row>
    <row r="190" spans="2:14" x14ac:dyDescent="0.25">
      <c r="B190" s="164" t="s">
        <v>163</v>
      </c>
      <c r="C190" s="163"/>
      <c r="D190" s="163"/>
      <c r="E190" s="266">
        <f>+E188-E189</f>
        <v>22724.42</v>
      </c>
    </row>
    <row r="191" spans="2:14" x14ac:dyDescent="0.25">
      <c r="B191" s="164"/>
      <c r="C191" s="163"/>
      <c r="D191" s="163"/>
      <c r="E191" s="266"/>
      <c r="G191" s="139"/>
    </row>
    <row r="192" spans="2:14" x14ac:dyDescent="0.25">
      <c r="B192" s="164" t="s">
        <v>159</v>
      </c>
      <c r="C192" s="212"/>
      <c r="D192" s="163"/>
      <c r="E192" s="266">
        <v>0</v>
      </c>
    </row>
    <row r="193" spans="2:5" x14ac:dyDescent="0.25">
      <c r="B193" s="164"/>
      <c r="C193" s="163"/>
      <c r="D193" s="163"/>
      <c r="E193" s="266"/>
    </row>
    <row r="194" spans="2:5" ht="15.75" thickBot="1" x14ac:dyDescent="0.3">
      <c r="B194" s="165" t="s">
        <v>160</v>
      </c>
      <c r="C194" s="166"/>
      <c r="D194" s="166"/>
      <c r="E194" s="167">
        <f>+E190-E192</f>
        <v>22724.42</v>
      </c>
    </row>
    <row r="195" spans="2:5" x14ac:dyDescent="0.25">
      <c r="E195" s="198"/>
    </row>
    <row r="196" spans="2:5" x14ac:dyDescent="0.25">
      <c r="E196" s="198"/>
    </row>
    <row r="198" spans="2:5" x14ac:dyDescent="0.25">
      <c r="E198" s="198"/>
    </row>
  </sheetData>
  <autoFilter ref="H14:N136"/>
  <mergeCells count="6">
    <mergeCell ref="B187:E187"/>
    <mergeCell ref="B7:N8"/>
    <mergeCell ref="B11:F11"/>
    <mergeCell ref="H11:N11"/>
    <mergeCell ref="B13:F13"/>
    <mergeCell ref="H13:N13"/>
  </mergeCells>
  <pageMargins left="0.70866141732283472" right="0.70866141732283472" top="0.74803149606299213" bottom="0.74803149606299213" header="0.31496062992125984" footer="0.31496062992125984"/>
  <pageSetup paperSize="9" scale="2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T85"/>
  <sheetViews>
    <sheetView workbookViewId="0">
      <selection activeCell="G10" sqref="G10:I10"/>
    </sheetView>
  </sheetViews>
  <sheetFormatPr baseColWidth="10" defaultRowHeight="15" x14ac:dyDescent="0.25"/>
  <cols>
    <col min="1" max="1" width="4.7109375" customWidth="1"/>
    <col min="3" max="3" width="11.28515625" bestFit="1" customWidth="1"/>
    <col min="4" max="4" width="15.7109375" bestFit="1" customWidth="1"/>
    <col min="5" max="5" width="14.140625" bestFit="1" customWidth="1"/>
    <col min="6" max="6" width="10.5703125" bestFit="1" customWidth="1"/>
    <col min="7" max="7" width="11.28515625" bestFit="1" customWidth="1"/>
    <col min="8" max="8" width="15.28515625" bestFit="1" customWidth="1"/>
    <col min="9" max="9" width="11.28515625" bestFit="1" customWidth="1"/>
    <col min="10" max="11" width="14.140625" bestFit="1" customWidth="1"/>
    <col min="12" max="12" width="10.5703125" bestFit="1" customWidth="1"/>
    <col min="13" max="14" width="14.140625" bestFit="1" customWidth="1"/>
    <col min="15" max="16" width="0" hidden="1" customWidth="1"/>
    <col min="17" max="17" width="14.140625" bestFit="1" customWidth="1"/>
    <col min="18" max="18" width="14.85546875" bestFit="1" customWidth="1"/>
    <col min="20" max="20" width="13.140625" bestFit="1" customWidth="1"/>
    <col min="22" max="22" width="12.140625" bestFit="1" customWidth="1"/>
    <col min="260" max="260" width="36.140625" customWidth="1"/>
    <col min="261" max="261" width="14" bestFit="1" customWidth="1"/>
    <col min="262" max="262" width="10.5703125" bestFit="1" customWidth="1"/>
    <col min="265" max="265" width="33.85546875" customWidth="1"/>
    <col min="266" max="266" width="12.140625" bestFit="1" customWidth="1"/>
    <col min="267" max="267" width="12.140625" customWidth="1"/>
    <col min="516" max="516" width="36.140625" customWidth="1"/>
    <col min="517" max="517" width="14" bestFit="1" customWidth="1"/>
    <col min="518" max="518" width="10.5703125" bestFit="1" customWidth="1"/>
    <col min="521" max="521" width="33.85546875" customWidth="1"/>
    <col min="522" max="522" width="12.140625" bestFit="1" customWidth="1"/>
    <col min="523" max="523" width="12.140625" customWidth="1"/>
    <col min="772" max="772" width="36.140625" customWidth="1"/>
    <col min="773" max="773" width="14" bestFit="1" customWidth="1"/>
    <col min="774" max="774" width="10.5703125" bestFit="1" customWidth="1"/>
    <col min="777" max="777" width="33.85546875" customWidth="1"/>
    <col min="778" max="778" width="12.140625" bestFit="1" customWidth="1"/>
    <col min="779" max="779" width="12.140625" customWidth="1"/>
    <col min="1028" max="1028" width="36.140625" customWidth="1"/>
    <col min="1029" max="1029" width="14" bestFit="1" customWidth="1"/>
    <col min="1030" max="1030" width="10.5703125" bestFit="1" customWidth="1"/>
    <col min="1033" max="1033" width="33.85546875" customWidth="1"/>
    <col min="1034" max="1034" width="12.140625" bestFit="1" customWidth="1"/>
    <col min="1035" max="1035" width="12.140625" customWidth="1"/>
    <col min="1284" max="1284" width="36.140625" customWidth="1"/>
    <col min="1285" max="1285" width="14" bestFit="1" customWidth="1"/>
    <col min="1286" max="1286" width="10.5703125" bestFit="1" customWidth="1"/>
    <col min="1289" max="1289" width="33.85546875" customWidth="1"/>
    <col min="1290" max="1290" width="12.140625" bestFit="1" customWidth="1"/>
    <col min="1291" max="1291" width="12.140625" customWidth="1"/>
    <col min="1540" max="1540" width="36.140625" customWidth="1"/>
    <col min="1541" max="1541" width="14" bestFit="1" customWidth="1"/>
    <col min="1542" max="1542" width="10.5703125" bestFit="1" customWidth="1"/>
    <col min="1545" max="1545" width="33.85546875" customWidth="1"/>
    <col min="1546" max="1546" width="12.140625" bestFit="1" customWidth="1"/>
    <col min="1547" max="1547" width="12.140625" customWidth="1"/>
    <col min="1796" max="1796" width="36.140625" customWidth="1"/>
    <col min="1797" max="1797" width="14" bestFit="1" customWidth="1"/>
    <col min="1798" max="1798" width="10.5703125" bestFit="1" customWidth="1"/>
    <col min="1801" max="1801" width="33.85546875" customWidth="1"/>
    <col min="1802" max="1802" width="12.140625" bestFit="1" customWidth="1"/>
    <col min="1803" max="1803" width="12.140625" customWidth="1"/>
    <col min="2052" max="2052" width="36.140625" customWidth="1"/>
    <col min="2053" max="2053" width="14" bestFit="1" customWidth="1"/>
    <col min="2054" max="2054" width="10.5703125" bestFit="1" customWidth="1"/>
    <col min="2057" max="2057" width="33.85546875" customWidth="1"/>
    <col min="2058" max="2058" width="12.140625" bestFit="1" customWidth="1"/>
    <col min="2059" max="2059" width="12.140625" customWidth="1"/>
    <col min="2308" max="2308" width="36.140625" customWidth="1"/>
    <col min="2309" max="2309" width="14" bestFit="1" customWidth="1"/>
    <col min="2310" max="2310" width="10.5703125" bestFit="1" customWidth="1"/>
    <col min="2313" max="2313" width="33.85546875" customWidth="1"/>
    <col min="2314" max="2314" width="12.140625" bestFit="1" customWidth="1"/>
    <col min="2315" max="2315" width="12.140625" customWidth="1"/>
    <col min="2564" max="2564" width="36.140625" customWidth="1"/>
    <col min="2565" max="2565" width="14" bestFit="1" customWidth="1"/>
    <col min="2566" max="2566" width="10.5703125" bestFit="1" customWidth="1"/>
    <col min="2569" max="2569" width="33.85546875" customWidth="1"/>
    <col min="2570" max="2570" width="12.140625" bestFit="1" customWidth="1"/>
    <col min="2571" max="2571" width="12.140625" customWidth="1"/>
    <col min="2820" max="2820" width="36.140625" customWidth="1"/>
    <col min="2821" max="2821" width="14" bestFit="1" customWidth="1"/>
    <col min="2822" max="2822" width="10.5703125" bestFit="1" customWidth="1"/>
    <col min="2825" max="2825" width="33.85546875" customWidth="1"/>
    <col min="2826" max="2826" width="12.140625" bestFit="1" customWidth="1"/>
    <col min="2827" max="2827" width="12.140625" customWidth="1"/>
    <col min="3076" max="3076" width="36.140625" customWidth="1"/>
    <col min="3077" max="3077" width="14" bestFit="1" customWidth="1"/>
    <col min="3078" max="3078" width="10.5703125" bestFit="1" customWidth="1"/>
    <col min="3081" max="3081" width="33.85546875" customWidth="1"/>
    <col min="3082" max="3082" width="12.140625" bestFit="1" customWidth="1"/>
    <col min="3083" max="3083" width="12.140625" customWidth="1"/>
    <col min="3332" max="3332" width="36.140625" customWidth="1"/>
    <col min="3333" max="3333" width="14" bestFit="1" customWidth="1"/>
    <col min="3334" max="3334" width="10.5703125" bestFit="1" customWidth="1"/>
    <col min="3337" max="3337" width="33.85546875" customWidth="1"/>
    <col min="3338" max="3338" width="12.140625" bestFit="1" customWidth="1"/>
    <col min="3339" max="3339" width="12.140625" customWidth="1"/>
    <col min="3588" max="3588" width="36.140625" customWidth="1"/>
    <col min="3589" max="3589" width="14" bestFit="1" customWidth="1"/>
    <col min="3590" max="3590" width="10.5703125" bestFit="1" customWidth="1"/>
    <col min="3593" max="3593" width="33.85546875" customWidth="1"/>
    <col min="3594" max="3594" width="12.140625" bestFit="1" customWidth="1"/>
    <col min="3595" max="3595" width="12.140625" customWidth="1"/>
    <col min="3844" max="3844" width="36.140625" customWidth="1"/>
    <col min="3845" max="3845" width="14" bestFit="1" customWidth="1"/>
    <col min="3846" max="3846" width="10.5703125" bestFit="1" customWidth="1"/>
    <col min="3849" max="3849" width="33.85546875" customWidth="1"/>
    <col min="3850" max="3850" width="12.140625" bestFit="1" customWidth="1"/>
    <col min="3851" max="3851" width="12.140625" customWidth="1"/>
    <col min="4100" max="4100" width="36.140625" customWidth="1"/>
    <col min="4101" max="4101" width="14" bestFit="1" customWidth="1"/>
    <col min="4102" max="4102" width="10.5703125" bestFit="1" customWidth="1"/>
    <col min="4105" max="4105" width="33.85546875" customWidth="1"/>
    <col min="4106" max="4106" width="12.140625" bestFit="1" customWidth="1"/>
    <col min="4107" max="4107" width="12.140625" customWidth="1"/>
    <col min="4356" max="4356" width="36.140625" customWidth="1"/>
    <col min="4357" max="4357" width="14" bestFit="1" customWidth="1"/>
    <col min="4358" max="4358" width="10.5703125" bestFit="1" customWidth="1"/>
    <col min="4361" max="4361" width="33.85546875" customWidth="1"/>
    <col min="4362" max="4362" width="12.140625" bestFit="1" customWidth="1"/>
    <col min="4363" max="4363" width="12.140625" customWidth="1"/>
    <col min="4612" max="4612" width="36.140625" customWidth="1"/>
    <col min="4613" max="4613" width="14" bestFit="1" customWidth="1"/>
    <col min="4614" max="4614" width="10.5703125" bestFit="1" customWidth="1"/>
    <col min="4617" max="4617" width="33.85546875" customWidth="1"/>
    <col min="4618" max="4618" width="12.140625" bestFit="1" customWidth="1"/>
    <col min="4619" max="4619" width="12.140625" customWidth="1"/>
    <col min="4868" max="4868" width="36.140625" customWidth="1"/>
    <col min="4869" max="4869" width="14" bestFit="1" customWidth="1"/>
    <col min="4870" max="4870" width="10.5703125" bestFit="1" customWidth="1"/>
    <col min="4873" max="4873" width="33.85546875" customWidth="1"/>
    <col min="4874" max="4874" width="12.140625" bestFit="1" customWidth="1"/>
    <col min="4875" max="4875" width="12.140625" customWidth="1"/>
    <col min="5124" max="5124" width="36.140625" customWidth="1"/>
    <col min="5125" max="5125" width="14" bestFit="1" customWidth="1"/>
    <col min="5126" max="5126" width="10.5703125" bestFit="1" customWidth="1"/>
    <col min="5129" max="5129" width="33.85546875" customWidth="1"/>
    <col min="5130" max="5130" width="12.140625" bestFit="1" customWidth="1"/>
    <col min="5131" max="5131" width="12.140625" customWidth="1"/>
    <col min="5380" max="5380" width="36.140625" customWidth="1"/>
    <col min="5381" max="5381" width="14" bestFit="1" customWidth="1"/>
    <col min="5382" max="5382" width="10.5703125" bestFit="1" customWidth="1"/>
    <col min="5385" max="5385" width="33.85546875" customWidth="1"/>
    <col min="5386" max="5386" width="12.140625" bestFit="1" customWidth="1"/>
    <col min="5387" max="5387" width="12.140625" customWidth="1"/>
    <col min="5636" max="5636" width="36.140625" customWidth="1"/>
    <col min="5637" max="5637" width="14" bestFit="1" customWidth="1"/>
    <col min="5638" max="5638" width="10.5703125" bestFit="1" customWidth="1"/>
    <col min="5641" max="5641" width="33.85546875" customWidth="1"/>
    <col min="5642" max="5642" width="12.140625" bestFit="1" customWidth="1"/>
    <col min="5643" max="5643" width="12.140625" customWidth="1"/>
    <col min="5892" max="5892" width="36.140625" customWidth="1"/>
    <col min="5893" max="5893" width="14" bestFit="1" customWidth="1"/>
    <col min="5894" max="5894" width="10.5703125" bestFit="1" customWidth="1"/>
    <col min="5897" max="5897" width="33.85546875" customWidth="1"/>
    <col min="5898" max="5898" width="12.140625" bestFit="1" customWidth="1"/>
    <col min="5899" max="5899" width="12.140625" customWidth="1"/>
    <col min="6148" max="6148" width="36.140625" customWidth="1"/>
    <col min="6149" max="6149" width="14" bestFit="1" customWidth="1"/>
    <col min="6150" max="6150" width="10.5703125" bestFit="1" customWidth="1"/>
    <col min="6153" max="6153" width="33.85546875" customWidth="1"/>
    <col min="6154" max="6154" width="12.140625" bestFit="1" customWidth="1"/>
    <col min="6155" max="6155" width="12.140625" customWidth="1"/>
    <col min="6404" max="6404" width="36.140625" customWidth="1"/>
    <col min="6405" max="6405" width="14" bestFit="1" customWidth="1"/>
    <col min="6406" max="6406" width="10.5703125" bestFit="1" customWidth="1"/>
    <col min="6409" max="6409" width="33.85546875" customWidth="1"/>
    <col min="6410" max="6410" width="12.140625" bestFit="1" customWidth="1"/>
    <col min="6411" max="6411" width="12.140625" customWidth="1"/>
    <col min="6660" max="6660" width="36.140625" customWidth="1"/>
    <col min="6661" max="6661" width="14" bestFit="1" customWidth="1"/>
    <col min="6662" max="6662" width="10.5703125" bestFit="1" customWidth="1"/>
    <col min="6665" max="6665" width="33.85546875" customWidth="1"/>
    <col min="6666" max="6666" width="12.140625" bestFit="1" customWidth="1"/>
    <col min="6667" max="6667" width="12.140625" customWidth="1"/>
    <col min="6916" max="6916" width="36.140625" customWidth="1"/>
    <col min="6917" max="6917" width="14" bestFit="1" customWidth="1"/>
    <col min="6918" max="6918" width="10.5703125" bestFit="1" customWidth="1"/>
    <col min="6921" max="6921" width="33.85546875" customWidth="1"/>
    <col min="6922" max="6922" width="12.140625" bestFit="1" customWidth="1"/>
    <col min="6923" max="6923" width="12.140625" customWidth="1"/>
    <col min="7172" max="7172" width="36.140625" customWidth="1"/>
    <col min="7173" max="7173" width="14" bestFit="1" customWidth="1"/>
    <col min="7174" max="7174" width="10.5703125" bestFit="1" customWidth="1"/>
    <col min="7177" max="7177" width="33.85546875" customWidth="1"/>
    <col min="7178" max="7178" width="12.140625" bestFit="1" customWidth="1"/>
    <col min="7179" max="7179" width="12.140625" customWidth="1"/>
    <col min="7428" max="7428" width="36.140625" customWidth="1"/>
    <col min="7429" max="7429" width="14" bestFit="1" customWidth="1"/>
    <col min="7430" max="7430" width="10.5703125" bestFit="1" customWidth="1"/>
    <col min="7433" max="7433" width="33.85546875" customWidth="1"/>
    <col min="7434" max="7434" width="12.140625" bestFit="1" customWidth="1"/>
    <col min="7435" max="7435" width="12.140625" customWidth="1"/>
    <col min="7684" max="7684" width="36.140625" customWidth="1"/>
    <col min="7685" max="7685" width="14" bestFit="1" customWidth="1"/>
    <col min="7686" max="7686" width="10.5703125" bestFit="1" customWidth="1"/>
    <col min="7689" max="7689" width="33.85546875" customWidth="1"/>
    <col min="7690" max="7690" width="12.140625" bestFit="1" customWidth="1"/>
    <col min="7691" max="7691" width="12.140625" customWidth="1"/>
    <col min="7940" max="7940" width="36.140625" customWidth="1"/>
    <col min="7941" max="7941" width="14" bestFit="1" customWidth="1"/>
    <col min="7942" max="7942" width="10.5703125" bestFit="1" customWidth="1"/>
    <col min="7945" max="7945" width="33.85546875" customWidth="1"/>
    <col min="7946" max="7946" width="12.140625" bestFit="1" customWidth="1"/>
    <col min="7947" max="7947" width="12.140625" customWidth="1"/>
    <col min="8196" max="8196" width="36.140625" customWidth="1"/>
    <col min="8197" max="8197" width="14" bestFit="1" customWidth="1"/>
    <col min="8198" max="8198" width="10.5703125" bestFit="1" customWidth="1"/>
    <col min="8201" max="8201" width="33.85546875" customWidth="1"/>
    <col min="8202" max="8202" width="12.140625" bestFit="1" customWidth="1"/>
    <col min="8203" max="8203" width="12.140625" customWidth="1"/>
    <col min="8452" max="8452" width="36.140625" customWidth="1"/>
    <col min="8453" max="8453" width="14" bestFit="1" customWidth="1"/>
    <col min="8454" max="8454" width="10.5703125" bestFit="1" customWidth="1"/>
    <col min="8457" max="8457" width="33.85546875" customWidth="1"/>
    <col min="8458" max="8458" width="12.140625" bestFit="1" customWidth="1"/>
    <col min="8459" max="8459" width="12.140625" customWidth="1"/>
    <col min="8708" max="8708" width="36.140625" customWidth="1"/>
    <col min="8709" max="8709" width="14" bestFit="1" customWidth="1"/>
    <col min="8710" max="8710" width="10.5703125" bestFit="1" customWidth="1"/>
    <col min="8713" max="8713" width="33.85546875" customWidth="1"/>
    <col min="8714" max="8714" width="12.140625" bestFit="1" customWidth="1"/>
    <col min="8715" max="8715" width="12.140625" customWidth="1"/>
    <col min="8964" max="8964" width="36.140625" customWidth="1"/>
    <col min="8965" max="8965" width="14" bestFit="1" customWidth="1"/>
    <col min="8966" max="8966" width="10.5703125" bestFit="1" customWidth="1"/>
    <col min="8969" max="8969" width="33.85546875" customWidth="1"/>
    <col min="8970" max="8970" width="12.140625" bestFit="1" customWidth="1"/>
    <col min="8971" max="8971" width="12.140625" customWidth="1"/>
    <col min="9220" max="9220" width="36.140625" customWidth="1"/>
    <col min="9221" max="9221" width="14" bestFit="1" customWidth="1"/>
    <col min="9222" max="9222" width="10.5703125" bestFit="1" customWidth="1"/>
    <col min="9225" max="9225" width="33.85546875" customWidth="1"/>
    <col min="9226" max="9226" width="12.140625" bestFit="1" customWidth="1"/>
    <col min="9227" max="9227" width="12.140625" customWidth="1"/>
    <col min="9476" max="9476" width="36.140625" customWidth="1"/>
    <col min="9477" max="9477" width="14" bestFit="1" customWidth="1"/>
    <col min="9478" max="9478" width="10.5703125" bestFit="1" customWidth="1"/>
    <col min="9481" max="9481" width="33.85546875" customWidth="1"/>
    <col min="9482" max="9482" width="12.140625" bestFit="1" customWidth="1"/>
    <col min="9483" max="9483" width="12.140625" customWidth="1"/>
    <col min="9732" max="9732" width="36.140625" customWidth="1"/>
    <col min="9733" max="9733" width="14" bestFit="1" customWidth="1"/>
    <col min="9734" max="9734" width="10.5703125" bestFit="1" customWidth="1"/>
    <col min="9737" max="9737" width="33.85546875" customWidth="1"/>
    <col min="9738" max="9738" width="12.140625" bestFit="1" customWidth="1"/>
    <col min="9739" max="9739" width="12.140625" customWidth="1"/>
    <col min="9988" max="9988" width="36.140625" customWidth="1"/>
    <col min="9989" max="9989" width="14" bestFit="1" customWidth="1"/>
    <col min="9990" max="9990" width="10.5703125" bestFit="1" customWidth="1"/>
    <col min="9993" max="9993" width="33.85546875" customWidth="1"/>
    <col min="9994" max="9994" width="12.140625" bestFit="1" customWidth="1"/>
    <col min="9995" max="9995" width="12.140625" customWidth="1"/>
    <col min="10244" max="10244" width="36.140625" customWidth="1"/>
    <col min="10245" max="10245" width="14" bestFit="1" customWidth="1"/>
    <col min="10246" max="10246" width="10.5703125" bestFit="1" customWidth="1"/>
    <col min="10249" max="10249" width="33.85546875" customWidth="1"/>
    <col min="10250" max="10250" width="12.140625" bestFit="1" customWidth="1"/>
    <col min="10251" max="10251" width="12.140625" customWidth="1"/>
    <col min="10500" max="10500" width="36.140625" customWidth="1"/>
    <col min="10501" max="10501" width="14" bestFit="1" customWidth="1"/>
    <col min="10502" max="10502" width="10.5703125" bestFit="1" customWidth="1"/>
    <col min="10505" max="10505" width="33.85546875" customWidth="1"/>
    <col min="10506" max="10506" width="12.140625" bestFit="1" customWidth="1"/>
    <col min="10507" max="10507" width="12.140625" customWidth="1"/>
    <col min="10756" max="10756" width="36.140625" customWidth="1"/>
    <col min="10757" max="10757" width="14" bestFit="1" customWidth="1"/>
    <col min="10758" max="10758" width="10.5703125" bestFit="1" customWidth="1"/>
    <col min="10761" max="10761" width="33.85546875" customWidth="1"/>
    <col min="10762" max="10762" width="12.140625" bestFit="1" customWidth="1"/>
    <col min="10763" max="10763" width="12.140625" customWidth="1"/>
    <col min="11012" max="11012" width="36.140625" customWidth="1"/>
    <col min="11013" max="11013" width="14" bestFit="1" customWidth="1"/>
    <col min="11014" max="11014" width="10.5703125" bestFit="1" customWidth="1"/>
    <col min="11017" max="11017" width="33.85546875" customWidth="1"/>
    <col min="11018" max="11018" width="12.140625" bestFit="1" customWidth="1"/>
    <col min="11019" max="11019" width="12.140625" customWidth="1"/>
    <col min="11268" max="11268" width="36.140625" customWidth="1"/>
    <col min="11269" max="11269" width="14" bestFit="1" customWidth="1"/>
    <col min="11270" max="11270" width="10.5703125" bestFit="1" customWidth="1"/>
    <col min="11273" max="11273" width="33.85546875" customWidth="1"/>
    <col min="11274" max="11274" width="12.140625" bestFit="1" customWidth="1"/>
    <col min="11275" max="11275" width="12.140625" customWidth="1"/>
    <col min="11524" max="11524" width="36.140625" customWidth="1"/>
    <col min="11525" max="11525" width="14" bestFit="1" customWidth="1"/>
    <col min="11526" max="11526" width="10.5703125" bestFit="1" customWidth="1"/>
    <col min="11529" max="11529" width="33.85546875" customWidth="1"/>
    <col min="11530" max="11530" width="12.140625" bestFit="1" customWidth="1"/>
    <col min="11531" max="11531" width="12.140625" customWidth="1"/>
    <col min="11780" max="11780" width="36.140625" customWidth="1"/>
    <col min="11781" max="11781" width="14" bestFit="1" customWidth="1"/>
    <col min="11782" max="11782" width="10.5703125" bestFit="1" customWidth="1"/>
    <col min="11785" max="11785" width="33.85546875" customWidth="1"/>
    <col min="11786" max="11786" width="12.140625" bestFit="1" customWidth="1"/>
    <col min="11787" max="11787" width="12.140625" customWidth="1"/>
    <col min="12036" max="12036" width="36.140625" customWidth="1"/>
    <col min="12037" max="12037" width="14" bestFit="1" customWidth="1"/>
    <col min="12038" max="12038" width="10.5703125" bestFit="1" customWidth="1"/>
    <col min="12041" max="12041" width="33.85546875" customWidth="1"/>
    <col min="12042" max="12042" width="12.140625" bestFit="1" customWidth="1"/>
    <col min="12043" max="12043" width="12.140625" customWidth="1"/>
    <col min="12292" max="12292" width="36.140625" customWidth="1"/>
    <col min="12293" max="12293" width="14" bestFit="1" customWidth="1"/>
    <col min="12294" max="12294" width="10.5703125" bestFit="1" customWidth="1"/>
    <col min="12297" max="12297" width="33.85546875" customWidth="1"/>
    <col min="12298" max="12298" width="12.140625" bestFit="1" customWidth="1"/>
    <col min="12299" max="12299" width="12.140625" customWidth="1"/>
    <col min="12548" max="12548" width="36.140625" customWidth="1"/>
    <col min="12549" max="12549" width="14" bestFit="1" customWidth="1"/>
    <col min="12550" max="12550" width="10.5703125" bestFit="1" customWidth="1"/>
    <col min="12553" max="12553" width="33.85546875" customWidth="1"/>
    <col min="12554" max="12554" width="12.140625" bestFit="1" customWidth="1"/>
    <col min="12555" max="12555" width="12.140625" customWidth="1"/>
    <col min="12804" max="12804" width="36.140625" customWidth="1"/>
    <col min="12805" max="12805" width="14" bestFit="1" customWidth="1"/>
    <col min="12806" max="12806" width="10.5703125" bestFit="1" customWidth="1"/>
    <col min="12809" max="12809" width="33.85546875" customWidth="1"/>
    <col min="12810" max="12810" width="12.140625" bestFit="1" customWidth="1"/>
    <col min="12811" max="12811" width="12.140625" customWidth="1"/>
    <col min="13060" max="13060" width="36.140625" customWidth="1"/>
    <col min="13061" max="13061" width="14" bestFit="1" customWidth="1"/>
    <col min="13062" max="13062" width="10.5703125" bestFit="1" customWidth="1"/>
    <col min="13065" max="13065" width="33.85546875" customWidth="1"/>
    <col min="13066" max="13066" width="12.140625" bestFit="1" customWidth="1"/>
    <col min="13067" max="13067" width="12.140625" customWidth="1"/>
    <col min="13316" max="13316" width="36.140625" customWidth="1"/>
    <col min="13317" max="13317" width="14" bestFit="1" customWidth="1"/>
    <col min="13318" max="13318" width="10.5703125" bestFit="1" customWidth="1"/>
    <col min="13321" max="13321" width="33.85546875" customWidth="1"/>
    <col min="13322" max="13322" width="12.140625" bestFit="1" customWidth="1"/>
    <col min="13323" max="13323" width="12.140625" customWidth="1"/>
    <col min="13572" max="13572" width="36.140625" customWidth="1"/>
    <col min="13573" max="13573" width="14" bestFit="1" customWidth="1"/>
    <col min="13574" max="13574" width="10.5703125" bestFit="1" customWidth="1"/>
    <col min="13577" max="13577" width="33.85546875" customWidth="1"/>
    <col min="13578" max="13578" width="12.140625" bestFit="1" customWidth="1"/>
    <col min="13579" max="13579" width="12.140625" customWidth="1"/>
    <col min="13828" max="13828" width="36.140625" customWidth="1"/>
    <col min="13829" max="13829" width="14" bestFit="1" customWidth="1"/>
    <col min="13830" max="13830" width="10.5703125" bestFit="1" customWidth="1"/>
    <col min="13833" max="13833" width="33.85546875" customWidth="1"/>
    <col min="13834" max="13834" width="12.140625" bestFit="1" customWidth="1"/>
    <col min="13835" max="13835" width="12.140625" customWidth="1"/>
    <col min="14084" max="14084" width="36.140625" customWidth="1"/>
    <col min="14085" max="14085" width="14" bestFit="1" customWidth="1"/>
    <col min="14086" max="14086" width="10.5703125" bestFit="1" customWidth="1"/>
    <col min="14089" max="14089" width="33.85546875" customWidth="1"/>
    <col min="14090" max="14090" width="12.140625" bestFit="1" customWidth="1"/>
    <col min="14091" max="14091" width="12.140625" customWidth="1"/>
    <col min="14340" max="14340" width="36.140625" customWidth="1"/>
    <col min="14341" max="14341" width="14" bestFit="1" customWidth="1"/>
    <col min="14342" max="14342" width="10.5703125" bestFit="1" customWidth="1"/>
    <col min="14345" max="14345" width="33.85546875" customWidth="1"/>
    <col min="14346" max="14346" width="12.140625" bestFit="1" customWidth="1"/>
    <col min="14347" max="14347" width="12.140625" customWidth="1"/>
    <col min="14596" max="14596" width="36.140625" customWidth="1"/>
    <col min="14597" max="14597" width="14" bestFit="1" customWidth="1"/>
    <col min="14598" max="14598" width="10.5703125" bestFit="1" customWidth="1"/>
    <col min="14601" max="14601" width="33.85546875" customWidth="1"/>
    <col min="14602" max="14602" width="12.140625" bestFit="1" customWidth="1"/>
    <col min="14603" max="14603" width="12.140625" customWidth="1"/>
    <col min="14852" max="14852" width="36.140625" customWidth="1"/>
    <col min="14853" max="14853" width="14" bestFit="1" customWidth="1"/>
    <col min="14854" max="14854" width="10.5703125" bestFit="1" customWidth="1"/>
    <col min="14857" max="14857" width="33.85546875" customWidth="1"/>
    <col min="14858" max="14858" width="12.140625" bestFit="1" customWidth="1"/>
    <col min="14859" max="14859" width="12.140625" customWidth="1"/>
    <col min="15108" max="15108" width="36.140625" customWidth="1"/>
    <col min="15109" max="15109" width="14" bestFit="1" customWidth="1"/>
    <col min="15110" max="15110" width="10.5703125" bestFit="1" customWidth="1"/>
    <col min="15113" max="15113" width="33.85546875" customWidth="1"/>
    <col min="15114" max="15114" width="12.140625" bestFit="1" customWidth="1"/>
    <col min="15115" max="15115" width="12.140625" customWidth="1"/>
    <col min="15364" max="15364" width="36.140625" customWidth="1"/>
    <col min="15365" max="15365" width="14" bestFit="1" customWidth="1"/>
    <col min="15366" max="15366" width="10.5703125" bestFit="1" customWidth="1"/>
    <col min="15369" max="15369" width="33.85546875" customWidth="1"/>
    <col min="15370" max="15370" width="12.140625" bestFit="1" customWidth="1"/>
    <col min="15371" max="15371" width="12.140625" customWidth="1"/>
    <col min="15620" max="15620" width="36.140625" customWidth="1"/>
    <col min="15621" max="15621" width="14" bestFit="1" customWidth="1"/>
    <col min="15622" max="15622" width="10.5703125" bestFit="1" customWidth="1"/>
    <col min="15625" max="15625" width="33.85546875" customWidth="1"/>
    <col min="15626" max="15626" width="12.140625" bestFit="1" customWidth="1"/>
    <col min="15627" max="15627" width="12.140625" customWidth="1"/>
    <col min="15876" max="15876" width="36.140625" customWidth="1"/>
    <col min="15877" max="15877" width="14" bestFit="1" customWidth="1"/>
    <col min="15878" max="15878" width="10.5703125" bestFit="1" customWidth="1"/>
    <col min="15881" max="15881" width="33.85546875" customWidth="1"/>
    <col min="15882" max="15882" width="12.140625" bestFit="1" customWidth="1"/>
    <col min="15883" max="15883" width="12.140625" customWidth="1"/>
    <col min="16132" max="16132" width="36.140625" customWidth="1"/>
    <col min="16133" max="16133" width="14" bestFit="1" customWidth="1"/>
    <col min="16134" max="16134" width="10.5703125" bestFit="1" customWidth="1"/>
    <col min="16137" max="16137" width="33.85546875" customWidth="1"/>
    <col min="16138" max="16138" width="12.140625" bestFit="1" customWidth="1"/>
    <col min="16139" max="16139" width="12.140625" customWidth="1"/>
  </cols>
  <sheetData>
    <row r="1" spans="2:17" ht="15" customHeight="1" x14ac:dyDescent="0.25">
      <c r="B1" s="35"/>
      <c r="C1" s="35"/>
      <c r="D1" s="35"/>
      <c r="E1" s="22"/>
      <c r="F1" s="7"/>
      <c r="G1" s="7"/>
      <c r="H1" s="7"/>
      <c r="I1" s="7"/>
      <c r="J1" s="7"/>
      <c r="K1" s="7"/>
    </row>
    <row r="2" spans="2:17" ht="15" customHeight="1" x14ac:dyDescent="0.25">
      <c r="B2" s="35"/>
      <c r="C2" s="35"/>
      <c r="D2" s="35"/>
      <c r="E2" s="22"/>
      <c r="F2" s="7"/>
      <c r="G2" s="7"/>
      <c r="H2" s="7"/>
      <c r="I2" s="7"/>
      <c r="J2" s="7"/>
      <c r="K2" s="7"/>
    </row>
    <row r="3" spans="2:17" ht="15" customHeight="1" x14ac:dyDescent="0.25">
      <c r="B3" s="37"/>
      <c r="C3" s="37"/>
      <c r="D3" s="37"/>
      <c r="E3" s="23"/>
      <c r="F3" s="7"/>
      <c r="G3" s="7"/>
      <c r="H3" s="7"/>
      <c r="I3" s="7"/>
      <c r="J3" s="7"/>
      <c r="K3" s="7"/>
    </row>
    <row r="4" spans="2:17" ht="15" customHeight="1" x14ac:dyDescent="0.25">
      <c r="B4" s="37"/>
      <c r="C4" s="37"/>
      <c r="D4" s="37"/>
      <c r="E4" s="23"/>
      <c r="F4" s="8"/>
      <c r="G4" s="8"/>
      <c r="H4" s="8"/>
      <c r="I4" s="8"/>
      <c r="J4" s="8"/>
      <c r="K4" s="8"/>
    </row>
    <row r="5" spans="2:17" ht="15" customHeight="1" x14ac:dyDescent="0.25">
      <c r="B5" s="36"/>
      <c r="C5" s="36"/>
      <c r="D5" s="36"/>
      <c r="E5" s="24"/>
      <c r="F5" s="9"/>
      <c r="G5" s="9"/>
      <c r="H5" s="9"/>
      <c r="I5" s="9"/>
      <c r="J5" s="9"/>
      <c r="K5" s="9"/>
    </row>
    <row r="6" spans="2:17" ht="15" customHeight="1" thickBot="1" x14ac:dyDescent="0.3">
      <c r="B6" s="36"/>
      <c r="C6" s="36"/>
      <c r="D6" s="36"/>
      <c r="E6" s="24"/>
      <c r="F6" s="2"/>
      <c r="G6" s="2"/>
      <c r="H6" s="2"/>
      <c r="I6" s="2"/>
      <c r="J6" s="2"/>
      <c r="K6" s="2"/>
    </row>
    <row r="7" spans="2:17" ht="15.75" x14ac:dyDescent="0.25">
      <c r="B7" s="352" t="s">
        <v>187</v>
      </c>
      <c r="C7" s="353"/>
      <c r="D7" s="353"/>
      <c r="E7" s="353"/>
      <c r="F7" s="353"/>
      <c r="G7" s="353"/>
      <c r="H7" s="353"/>
      <c r="I7" s="353"/>
      <c r="J7" s="353"/>
      <c r="K7" s="354"/>
    </row>
    <row r="8" spans="2:17" x14ac:dyDescent="0.25">
      <c r="B8" s="348" t="s">
        <v>13</v>
      </c>
      <c r="C8" s="349"/>
      <c r="D8" s="349"/>
      <c r="E8" s="38" t="s">
        <v>1</v>
      </c>
      <c r="F8" s="38" t="s">
        <v>29</v>
      </c>
      <c r="G8" s="349" t="s">
        <v>2</v>
      </c>
      <c r="H8" s="349"/>
      <c r="I8" s="349"/>
      <c r="J8" s="349" t="s">
        <v>1</v>
      </c>
      <c r="K8" s="374"/>
    </row>
    <row r="9" spans="2:17" x14ac:dyDescent="0.25">
      <c r="B9" s="366" t="s">
        <v>15</v>
      </c>
      <c r="C9" s="367"/>
      <c r="D9" s="367"/>
      <c r="E9" s="40">
        <f>SUMIF('Financiamiento(N)'!G10:G14,B9,'Financiamiento(N)'!I10:I14)</f>
        <v>0</v>
      </c>
      <c r="F9" s="41" t="e">
        <f>(E9*100)/E19</f>
        <v>#DIV/0!</v>
      </c>
      <c r="G9" s="368" t="s">
        <v>2</v>
      </c>
      <c r="H9" s="368"/>
      <c r="I9" s="368"/>
      <c r="J9" s="375">
        <f>SUMIF('Financiamiento(N)'!G10:G14,G9,'Financiamiento(N)'!I10:I14)</f>
        <v>0</v>
      </c>
      <c r="K9" s="376"/>
      <c r="M9" s="30">
        <v>23747836.670000002</v>
      </c>
      <c r="N9" s="30">
        <f>+E9-M9</f>
        <v>-23747836.670000002</v>
      </c>
      <c r="Q9" s="30"/>
    </row>
    <row r="10" spans="2:17" x14ac:dyDescent="0.25">
      <c r="B10" s="369" t="s">
        <v>16</v>
      </c>
      <c r="C10" s="370"/>
      <c r="D10" s="370"/>
      <c r="E10" s="42">
        <f>SUMIF('Financiamiento(N)'!G10:G14,B10,'Financiamiento(N)'!I10:I14)</f>
        <v>0</v>
      </c>
      <c r="F10" s="43" t="e">
        <f>(E10*100)/E19</f>
        <v>#DIV/0!</v>
      </c>
      <c r="G10" s="371" t="s">
        <v>12</v>
      </c>
      <c r="H10" s="371"/>
      <c r="I10" s="371"/>
      <c r="J10" s="42" t="s">
        <v>12</v>
      </c>
      <c r="K10" s="44"/>
      <c r="M10" s="30">
        <v>36389</v>
      </c>
      <c r="N10" s="30">
        <f t="shared" ref="N10:N18" si="0">+E10-M10</f>
        <v>-36389</v>
      </c>
      <c r="Q10" s="30"/>
    </row>
    <row r="11" spans="2:17" x14ac:dyDescent="0.25">
      <c r="B11" s="366" t="s">
        <v>7</v>
      </c>
      <c r="C11" s="367"/>
      <c r="D11" s="367"/>
      <c r="E11" s="40">
        <f>SUMIF('Financiamiento(N)'!G10:G14,B11,'Financiamiento(N)'!I10:I14)</f>
        <v>0</v>
      </c>
      <c r="F11" s="41" t="e">
        <f>(E11*100)/E19</f>
        <v>#DIV/0!</v>
      </c>
      <c r="G11" s="368" t="s">
        <v>12</v>
      </c>
      <c r="H11" s="368"/>
      <c r="I11" s="368"/>
      <c r="J11" s="40" t="s">
        <v>12</v>
      </c>
      <c r="K11" s="45"/>
      <c r="M11" s="30">
        <v>684321.61</v>
      </c>
      <c r="N11" s="30">
        <f t="shared" si="0"/>
        <v>-684321.61</v>
      </c>
      <c r="Q11" s="133"/>
    </row>
    <row r="12" spans="2:17" x14ac:dyDescent="0.25">
      <c r="B12" s="369" t="s">
        <v>8</v>
      </c>
      <c r="C12" s="370"/>
      <c r="D12" s="370"/>
      <c r="E12" s="42">
        <f>SUMIF('Financiamiento(N)'!G10:G14,B12,'Financiamiento(N)'!I10:I14)</f>
        <v>0</v>
      </c>
      <c r="F12" s="43" t="e">
        <f>(E12*100)/E19</f>
        <v>#DIV/0!</v>
      </c>
      <c r="G12" s="371" t="s">
        <v>12</v>
      </c>
      <c r="H12" s="371"/>
      <c r="I12" s="371"/>
      <c r="J12" s="42" t="s">
        <v>12</v>
      </c>
      <c r="K12" s="44"/>
      <c r="M12" s="30">
        <v>689264.98</v>
      </c>
      <c r="N12" s="30">
        <f t="shared" si="0"/>
        <v>-689264.98</v>
      </c>
      <c r="Q12" s="30"/>
    </row>
    <row r="13" spans="2:17" x14ac:dyDescent="0.25">
      <c r="B13" s="366" t="s">
        <v>22</v>
      </c>
      <c r="C13" s="367"/>
      <c r="D13" s="367"/>
      <c r="E13" s="40">
        <f>SUMIF('Financiamiento(N)'!G10:G14,B13,'Financiamiento(N)'!I10:I14)</f>
        <v>0</v>
      </c>
      <c r="F13" s="41" t="e">
        <f>(E13*100)/E19</f>
        <v>#DIV/0!</v>
      </c>
      <c r="G13" s="368" t="s">
        <v>12</v>
      </c>
      <c r="H13" s="368"/>
      <c r="I13" s="368"/>
      <c r="J13" s="40" t="s">
        <v>12</v>
      </c>
      <c r="K13" s="45"/>
      <c r="M13" s="30">
        <v>125623</v>
      </c>
      <c r="N13" s="30">
        <f t="shared" si="0"/>
        <v>-125623</v>
      </c>
    </row>
    <row r="14" spans="2:17" x14ac:dyDescent="0.25">
      <c r="B14" s="369" t="s">
        <v>17</v>
      </c>
      <c r="C14" s="370"/>
      <c r="D14" s="370"/>
      <c r="E14" s="42">
        <f>SUMIF('Financiamiento(N)'!G10:G14,B14,'Financiamiento(N)'!I10:I14)</f>
        <v>0</v>
      </c>
      <c r="F14" s="43" t="e">
        <f>(E14*100)/E19</f>
        <v>#DIV/0!</v>
      </c>
      <c r="G14" s="371" t="s">
        <v>12</v>
      </c>
      <c r="H14" s="371"/>
      <c r="I14" s="371"/>
      <c r="J14" s="42" t="s">
        <v>12</v>
      </c>
      <c r="K14" s="44"/>
      <c r="M14" s="30">
        <v>21673.279999999999</v>
      </c>
      <c r="N14" s="30">
        <f t="shared" si="0"/>
        <v>-21673.279999999999</v>
      </c>
    </row>
    <row r="15" spans="2:17" x14ac:dyDescent="0.25">
      <c r="B15" s="366" t="s">
        <v>20</v>
      </c>
      <c r="C15" s="367"/>
      <c r="D15" s="367"/>
      <c r="E15" s="40">
        <f>SUMIF('Financiamiento(N)'!G10:G14,B15,'Financiamiento(N)'!I10:I14)</f>
        <v>0</v>
      </c>
      <c r="F15" s="41" t="e">
        <f>(E15*100)/E19</f>
        <v>#DIV/0!</v>
      </c>
      <c r="G15" s="368" t="s">
        <v>12</v>
      </c>
      <c r="H15" s="368"/>
      <c r="I15" s="368"/>
      <c r="J15" s="40" t="s">
        <v>12</v>
      </c>
      <c r="K15" s="45"/>
      <c r="M15" s="30">
        <v>0</v>
      </c>
      <c r="N15" s="30">
        <f t="shared" si="0"/>
        <v>0</v>
      </c>
    </row>
    <row r="16" spans="2:17" x14ac:dyDescent="0.25">
      <c r="B16" s="369" t="s">
        <v>24</v>
      </c>
      <c r="C16" s="370"/>
      <c r="D16" s="370"/>
      <c r="E16" s="42">
        <f>SUMIF('Financiamiento(N)'!G10:G14,B16,'Financiamiento(N)'!I10:I14)</f>
        <v>0</v>
      </c>
      <c r="F16" s="43" t="e">
        <f>(E16*100)/E19</f>
        <v>#DIV/0!</v>
      </c>
      <c r="G16" s="371" t="s">
        <v>12</v>
      </c>
      <c r="H16" s="371"/>
      <c r="I16" s="371"/>
      <c r="J16" s="42" t="s">
        <v>12</v>
      </c>
      <c r="K16" s="44"/>
      <c r="M16" s="30">
        <v>1011288.46</v>
      </c>
      <c r="N16" s="30">
        <f t="shared" si="0"/>
        <v>-1011288.46</v>
      </c>
    </row>
    <row r="17" spans="2:18" x14ac:dyDescent="0.25">
      <c r="B17" s="366" t="s">
        <v>23</v>
      </c>
      <c r="C17" s="367"/>
      <c r="D17" s="367"/>
      <c r="E17" s="40">
        <f>SUMIF('Financiamiento(N)'!G10:G14,B17,'Financiamiento(N)'!I10:I14)</f>
        <v>0</v>
      </c>
      <c r="F17" s="41" t="e">
        <f>(E17*100)/E19</f>
        <v>#DIV/0!</v>
      </c>
      <c r="G17" s="368" t="s">
        <v>12</v>
      </c>
      <c r="H17" s="368"/>
      <c r="I17" s="368"/>
      <c r="J17" s="40" t="s">
        <v>12</v>
      </c>
      <c r="K17" s="45"/>
      <c r="M17" s="30">
        <v>201050.92</v>
      </c>
      <c r="N17" s="30">
        <f t="shared" si="0"/>
        <v>-201050.92</v>
      </c>
    </row>
    <row r="18" spans="2:18" x14ac:dyDescent="0.25">
      <c r="B18" s="369" t="s">
        <v>146</v>
      </c>
      <c r="C18" s="370"/>
      <c r="D18" s="370"/>
      <c r="E18" s="42">
        <f>SUMIF('Financiamiento(N)'!G10:G14,B18,'Financiamiento(N)'!I10:I14)</f>
        <v>0</v>
      </c>
      <c r="F18" s="43" t="e">
        <f>(E18*100)/E19</f>
        <v>#DIV/0!</v>
      </c>
      <c r="G18" s="46"/>
      <c r="H18" s="46"/>
      <c r="I18" s="46"/>
      <c r="J18" s="46"/>
      <c r="K18" s="47"/>
      <c r="M18" s="30">
        <v>33846.86</v>
      </c>
      <c r="N18" s="30">
        <f t="shared" si="0"/>
        <v>-33846.86</v>
      </c>
    </row>
    <row r="19" spans="2:18" x14ac:dyDescent="0.25">
      <c r="B19" s="355" t="s">
        <v>26</v>
      </c>
      <c r="C19" s="356"/>
      <c r="D19" s="356"/>
      <c r="E19" s="357">
        <f>SUM(E9:E18)</f>
        <v>0</v>
      </c>
      <c r="F19" s="357"/>
      <c r="G19" s="48"/>
      <c r="H19" s="48"/>
      <c r="I19" s="48"/>
      <c r="J19" s="357">
        <f>SUM(J9:J18)</f>
        <v>0</v>
      </c>
      <c r="K19" s="358"/>
      <c r="M19" s="30">
        <v>18670519.609999999</v>
      </c>
      <c r="N19" s="30">
        <f>+M19-J19</f>
        <v>18670519.609999999</v>
      </c>
    </row>
    <row r="20" spans="2:18" ht="15.75" thickBot="1" x14ac:dyDescent="0.3">
      <c r="B20" s="49"/>
      <c r="C20" s="46"/>
      <c r="D20" s="46"/>
      <c r="E20" s="46"/>
      <c r="F20" s="46"/>
      <c r="G20" s="46"/>
      <c r="H20" s="46"/>
      <c r="I20" s="46"/>
      <c r="J20" s="46"/>
      <c r="K20" s="47"/>
      <c r="Q20" s="30"/>
    </row>
    <row r="21" spans="2:18" ht="15.75" thickBot="1" x14ac:dyDescent="0.3">
      <c r="B21" s="359" t="s">
        <v>111</v>
      </c>
      <c r="C21" s="360"/>
      <c r="D21" s="360"/>
      <c r="E21" s="360"/>
      <c r="F21" s="360"/>
      <c r="G21" s="360"/>
      <c r="H21" s="360"/>
      <c r="I21" s="360"/>
      <c r="J21" s="361" t="str">
        <f>IF(E19+J19='Financiamiento(N)'!I15,"OK","ERROR")</f>
        <v>OK</v>
      </c>
      <c r="K21" s="362"/>
    </row>
    <row r="22" spans="2:18" x14ac:dyDescent="0.25">
      <c r="N22" s="30">
        <f>+E19+J19</f>
        <v>0</v>
      </c>
      <c r="P22" s="30"/>
      <c r="Q22" s="30">
        <v>45225414.385999978</v>
      </c>
      <c r="R22" s="30">
        <f>+N22-Q22</f>
        <v>-45225414.385999978</v>
      </c>
    </row>
    <row r="24" spans="2:18" x14ac:dyDescent="0.25">
      <c r="B24" s="202"/>
      <c r="C24" s="202"/>
      <c r="D24" s="202"/>
      <c r="E24" s="202"/>
      <c r="F24" s="202"/>
      <c r="G24" s="202"/>
      <c r="H24" s="202"/>
      <c r="I24" s="202"/>
      <c r="J24" s="205"/>
      <c r="K24" s="205"/>
    </row>
    <row r="25" spans="2:18" ht="15.75" thickBot="1" x14ac:dyDescent="0.3">
      <c r="B25" s="202"/>
      <c r="C25" s="202"/>
      <c r="D25" s="202"/>
      <c r="E25" s="202"/>
      <c r="F25" s="202"/>
      <c r="G25" s="202"/>
      <c r="H25" s="202"/>
      <c r="I25" s="202"/>
      <c r="J25" s="205"/>
      <c r="K25" s="205"/>
    </row>
    <row r="26" spans="2:18" ht="15.75" x14ac:dyDescent="0.25">
      <c r="B26" s="352" t="s">
        <v>186</v>
      </c>
      <c r="C26" s="353"/>
      <c r="D26" s="353"/>
      <c r="E26" s="353"/>
      <c r="F26" s="353"/>
      <c r="G26" s="353"/>
      <c r="H26" s="353"/>
      <c r="I26" s="353"/>
      <c r="J26" s="353"/>
      <c r="K26" s="354"/>
    </row>
    <row r="27" spans="2:18" x14ac:dyDescent="0.25">
      <c r="B27" s="348" t="s">
        <v>13</v>
      </c>
      <c r="C27" s="349"/>
      <c r="D27" s="349"/>
      <c r="E27" s="202" t="s">
        <v>1</v>
      </c>
      <c r="F27" s="202" t="s">
        <v>29</v>
      </c>
      <c r="G27" s="349" t="s">
        <v>2</v>
      </c>
      <c r="H27" s="349"/>
      <c r="I27" s="349"/>
      <c r="J27" s="202" t="s">
        <v>1</v>
      </c>
      <c r="K27" s="203" t="s">
        <v>29</v>
      </c>
    </row>
    <row r="28" spans="2:18" x14ac:dyDescent="0.25">
      <c r="B28" s="350" t="s">
        <v>178</v>
      </c>
      <c r="C28" s="351"/>
      <c r="D28" s="351"/>
      <c r="E28" s="50">
        <f ca="1">SUMIF('Rubro-Partida'!B8:K730,"APBH",'Financiamiento(N)'!I10:I25)</f>
        <v>0</v>
      </c>
      <c r="F28" s="206" t="e">
        <f ca="1">(E28*100)/E32</f>
        <v>#DIV/0!</v>
      </c>
      <c r="G28" s="351" t="s">
        <v>179</v>
      </c>
      <c r="H28" s="351"/>
      <c r="I28" s="351"/>
      <c r="J28" s="50">
        <f>SUMIF('Financiamiento(N)'!J10:J25,"JGM DESEADO E",'Financiamiento(N)'!I10:I25)</f>
        <v>0</v>
      </c>
      <c r="K28" s="206" t="e">
        <f>(J28*100)/J32</f>
        <v>#DIV/0!</v>
      </c>
    </row>
    <row r="29" spans="2:18" x14ac:dyDescent="0.25">
      <c r="B29" s="363" t="s">
        <v>180</v>
      </c>
      <c r="C29" s="364"/>
      <c r="D29" s="364"/>
      <c r="E29" s="52">
        <f>SUMIF('Financiamiento(N)'!J10:J25,"JGM AUSTRAL F",'Financiamiento(N)'!I10:I25)</f>
        <v>0</v>
      </c>
      <c r="F29" s="207" t="e">
        <f ca="1">(E29*100)/E32</f>
        <v>#DIV/0!</v>
      </c>
      <c r="G29" s="364" t="s">
        <v>181</v>
      </c>
      <c r="H29" s="364"/>
      <c r="I29" s="364"/>
      <c r="J29" s="52">
        <f>SUMIF('Financiamiento(N)'!J10:J25,"JGM AUSTRAL E",'Financiamiento(N)'!I10:I25)</f>
        <v>0</v>
      </c>
      <c r="K29" s="207" t="e">
        <f>(J29*100)/J32</f>
        <v>#DIV/0!</v>
      </c>
    </row>
    <row r="30" spans="2:18" x14ac:dyDescent="0.25">
      <c r="B30" s="350"/>
      <c r="C30" s="351"/>
      <c r="D30" s="351"/>
      <c r="E30" s="50"/>
      <c r="F30" s="51"/>
      <c r="G30" s="351"/>
      <c r="H30" s="351"/>
      <c r="I30" s="351"/>
      <c r="J30" s="50"/>
      <c r="K30" s="51"/>
    </row>
    <row r="31" spans="2:18" x14ac:dyDescent="0.25">
      <c r="B31" s="363"/>
      <c r="C31" s="364"/>
      <c r="D31" s="364"/>
      <c r="E31" s="52">
        <f>SUMIF('Financiamiento(N)'!J10:J25,"2015 INN F",'Financiamiento(N)'!I10:I25)</f>
        <v>0</v>
      </c>
      <c r="F31" s="53" t="e">
        <f ca="1">(E31*100)/E32</f>
        <v>#DIV/0!</v>
      </c>
      <c r="G31" s="365"/>
      <c r="H31" s="365"/>
      <c r="I31" s="365"/>
      <c r="J31" s="106"/>
      <c r="K31" s="107" t="e">
        <f>(J31*100)/J32</f>
        <v>#DIV/0!</v>
      </c>
    </row>
    <row r="32" spans="2:18" x14ac:dyDescent="0.25">
      <c r="B32" s="355" t="s">
        <v>26</v>
      </c>
      <c r="C32" s="356"/>
      <c r="D32" s="356"/>
      <c r="E32" s="357">
        <f ca="1">SUM(E28:E31)</f>
        <v>0</v>
      </c>
      <c r="F32" s="357"/>
      <c r="G32" s="48"/>
      <c r="H32" s="48"/>
      <c r="I32" s="48"/>
      <c r="J32" s="357">
        <f>SUM(J28:J31)</f>
        <v>0</v>
      </c>
      <c r="K32" s="358"/>
    </row>
    <row r="33" spans="2:20" ht="15.75" thickBot="1" x14ac:dyDescent="0.3">
      <c r="B33" s="49"/>
      <c r="C33" s="46"/>
      <c r="D33" s="46"/>
      <c r="E33" s="46"/>
      <c r="F33" s="46"/>
      <c r="G33" s="46"/>
      <c r="H33" s="46"/>
      <c r="I33" s="46"/>
      <c r="J33" s="46"/>
      <c r="K33" s="47"/>
    </row>
    <row r="34" spans="2:20" ht="15.75" thickBot="1" x14ac:dyDescent="0.3">
      <c r="B34" s="359" t="s">
        <v>111</v>
      </c>
      <c r="C34" s="360"/>
      <c r="D34" s="360"/>
      <c r="E34" s="360" t="e">
        <f ca="1">IF(E32=#REF!,"OK","ERROR")</f>
        <v>#REF!</v>
      </c>
      <c r="F34" s="360"/>
      <c r="G34" s="360" t="s">
        <v>111</v>
      </c>
      <c r="H34" s="360"/>
      <c r="I34" s="360"/>
      <c r="J34" s="361" t="e">
        <f ca="1">IF(E32+J32=Resumen!E14+Resumen!#REF!+Resumen!E16+Resumen!#REF!,"OK","ERROR")</f>
        <v>#REF!</v>
      </c>
      <c r="K34" s="362"/>
    </row>
    <row r="35" spans="2:20" x14ac:dyDescent="0.25">
      <c r="B35" s="202"/>
      <c r="C35" s="202"/>
      <c r="D35" s="202"/>
      <c r="E35" s="202"/>
      <c r="F35" s="202"/>
      <c r="G35" s="202"/>
      <c r="H35" s="202"/>
      <c r="I35" s="202"/>
      <c r="J35" s="205"/>
      <c r="K35" s="205"/>
    </row>
    <row r="36" spans="2:20" ht="15.75" thickBot="1" x14ac:dyDescent="0.3">
      <c r="B36" s="202"/>
      <c r="C36" s="202"/>
      <c r="D36" s="202"/>
      <c r="E36" s="202"/>
      <c r="F36" s="202"/>
      <c r="G36" s="202"/>
      <c r="H36" s="202"/>
      <c r="I36" s="202"/>
      <c r="J36" s="205"/>
      <c r="K36" s="205"/>
      <c r="Q36" s="30"/>
    </row>
    <row r="37" spans="2:20" ht="15.75" x14ac:dyDescent="0.25">
      <c r="B37" s="352" t="s">
        <v>182</v>
      </c>
      <c r="C37" s="353"/>
      <c r="D37" s="353"/>
      <c r="E37" s="353"/>
      <c r="F37" s="354"/>
      <c r="G37" s="352" t="s">
        <v>183</v>
      </c>
      <c r="H37" s="353"/>
      <c r="I37" s="353"/>
      <c r="J37" s="353"/>
      <c r="K37" s="354"/>
    </row>
    <row r="38" spans="2:20" x14ac:dyDescent="0.25">
      <c r="B38" s="348" t="s">
        <v>0</v>
      </c>
      <c r="C38" s="349"/>
      <c r="D38" s="349"/>
      <c r="E38" s="108" t="s">
        <v>1</v>
      </c>
      <c r="F38" s="39" t="s">
        <v>29</v>
      </c>
      <c r="G38" s="348" t="s">
        <v>0</v>
      </c>
      <c r="H38" s="349"/>
      <c r="I38" s="349"/>
      <c r="J38" s="54" t="s">
        <v>1</v>
      </c>
      <c r="K38" s="39" t="s">
        <v>29</v>
      </c>
    </row>
    <row r="39" spans="2:20" x14ac:dyDescent="0.25">
      <c r="B39" s="366" t="s">
        <v>15</v>
      </c>
      <c r="C39" s="367"/>
      <c r="D39" s="367"/>
      <c r="E39" s="40">
        <f>SUMIFS('Financiamiento(N)'!I10:I14,'Financiamiento(N)'!G10:G14,"Bs. Consumo",'Financiamiento(N)'!J10:J14,"CONICET DESEADO F")</f>
        <v>0</v>
      </c>
      <c r="F39" s="56" t="e">
        <f>(E39*100)/E50</f>
        <v>#DIV/0!</v>
      </c>
      <c r="G39" s="366" t="s">
        <v>15</v>
      </c>
      <c r="H39" s="367"/>
      <c r="I39" s="367"/>
      <c r="J39" s="40">
        <f>SUMIFS('Financiamiento(N)'!I10:I29,'Financiamiento(N)'!G10:G29,"Bs. Consumo",'Financiamiento(N)'!J10:J29,"CONICET AUSTRAL F")</f>
        <v>0</v>
      </c>
      <c r="K39" s="56" t="e">
        <f>(J39*100)/J50</f>
        <v>#REF!</v>
      </c>
      <c r="N39" s="30"/>
      <c r="R39" s="30"/>
    </row>
    <row r="40" spans="2:20" x14ac:dyDescent="0.25">
      <c r="B40" s="372" t="s">
        <v>16</v>
      </c>
      <c r="C40" s="373"/>
      <c r="D40" s="373"/>
      <c r="E40" s="55">
        <f>SUMIFS('Financiamiento(N)'!I10:I14,'Financiamiento(N)'!G10:G14,"Gs. Institucionales",'Financiamiento(N)'!J10:J14,"CONICET DESEADO F")</f>
        <v>0</v>
      </c>
      <c r="F40" s="109" t="e">
        <f>(E40*100)/E50</f>
        <v>#DIV/0!</v>
      </c>
      <c r="G40" s="372" t="s">
        <v>16</v>
      </c>
      <c r="H40" s="373"/>
      <c r="I40" s="373"/>
      <c r="J40" s="55">
        <f>SUMIFS('Financiamiento(N)'!I10:I29,'Financiamiento(N)'!G10:G29,"Gs. Institucionales",'Financiamiento(N)'!J10:J29,"CONICET AUSTRAL F")</f>
        <v>0</v>
      </c>
      <c r="K40" s="109" t="e">
        <f>(J40*100)/J50</f>
        <v>#REF!</v>
      </c>
      <c r="N40" s="30"/>
      <c r="R40" s="30"/>
    </row>
    <row r="41" spans="2:20" x14ac:dyDescent="0.25">
      <c r="B41" s="366" t="s">
        <v>7</v>
      </c>
      <c r="C41" s="367"/>
      <c r="D41" s="367"/>
      <c r="E41" s="40">
        <f>SUMIFS('Financiamiento(N)'!I10:I14,'Financiamiento(N)'!G10:G14,"Gs. Mant. Ed.",'Financiamiento(N)'!J10:J14,"CONICET DESEADO F")</f>
        <v>0</v>
      </c>
      <c r="F41" s="56" t="e">
        <f>(E41*100)/E50</f>
        <v>#DIV/0!</v>
      </c>
      <c r="G41" s="366" t="s">
        <v>7</v>
      </c>
      <c r="H41" s="367"/>
      <c r="I41" s="367"/>
      <c r="J41" s="40">
        <f>SUMIFS('Financiamiento(N)'!I10:I29,'Financiamiento(N)'!G10:G29,"Gs. Mant. Ed.",'Financiamiento(N)'!J10:J29,"CONICET AUSTRAL F")</f>
        <v>0</v>
      </c>
      <c r="K41" s="56" t="e">
        <f>(J41*100)/J50</f>
        <v>#REF!</v>
      </c>
    </row>
    <row r="42" spans="2:20" x14ac:dyDescent="0.25">
      <c r="B42" s="372" t="s">
        <v>8</v>
      </c>
      <c r="C42" s="373"/>
      <c r="D42" s="373"/>
      <c r="E42" s="55">
        <f>SUMIFS('Financiamiento(N)'!I10:I14,'Financiamiento(N)'!G10:G14,"Gs. Mant. Eq.",'Financiamiento(N)'!J10:J14,"CONICET DESEADO F")</f>
        <v>0</v>
      </c>
      <c r="F42" s="109" t="e">
        <f>(E42*100)/E50</f>
        <v>#DIV/0!</v>
      </c>
      <c r="G42" s="372" t="s">
        <v>8</v>
      </c>
      <c r="H42" s="373"/>
      <c r="I42" s="373"/>
      <c r="J42" s="55">
        <f>SUMIFS('Financiamiento(N)'!I10:I29,'Financiamiento(N)'!G10:G29,"Gs. Mant. Eq.",'Financiamiento(N)'!J10:J29,"CONICET AUSTRAL F")</f>
        <v>0</v>
      </c>
      <c r="K42" s="109" t="e">
        <f>(J42*100)/J50</f>
        <v>#REF!</v>
      </c>
    </row>
    <row r="43" spans="2:20" x14ac:dyDescent="0.25">
      <c r="B43" s="366" t="s">
        <v>22</v>
      </c>
      <c r="C43" s="367"/>
      <c r="D43" s="367"/>
      <c r="E43" s="40">
        <f>SUMIFS('Financiamiento(N)'!I10:I14,'Financiamiento(N)'!G10:G14,"Otros Gastos",'Financiamiento(N)'!J10:J14,"CONICET DESEADO F")</f>
        <v>0</v>
      </c>
      <c r="F43" s="56" t="e">
        <f>(E43*100)/E50</f>
        <v>#DIV/0!</v>
      </c>
      <c r="G43" s="366" t="s">
        <v>22</v>
      </c>
      <c r="H43" s="367"/>
      <c r="I43" s="367"/>
      <c r="J43" s="40">
        <f>SUMIFS('Financiamiento(N)'!I10:I29,'Financiamiento(N)'!G10:G29,"Otros Gastos",'Financiamiento(N)'!J10:J29,"CONICET AUSTRAL F")</f>
        <v>0</v>
      </c>
      <c r="K43" s="56" t="e">
        <f>(J43*100)/J50</f>
        <v>#REF!</v>
      </c>
    </row>
    <row r="44" spans="2:20" x14ac:dyDescent="0.25">
      <c r="B44" s="372" t="s">
        <v>17</v>
      </c>
      <c r="C44" s="373"/>
      <c r="D44" s="373"/>
      <c r="E44" s="55">
        <f>SUMIFS('Financiamiento(N)'!I10:I14,'Financiamiento(N)'!G10:G14,"Pasajes y Viáticos",'Financiamiento(N)'!J10:J14,"CONICET DESEADO F")</f>
        <v>0</v>
      </c>
      <c r="F44" s="109" t="e">
        <f>(E44*100)/E50</f>
        <v>#DIV/0!</v>
      </c>
      <c r="G44" s="372" t="s">
        <v>17</v>
      </c>
      <c r="H44" s="373"/>
      <c r="I44" s="373"/>
      <c r="J44" s="55">
        <f>SUMIFS('Financiamiento(N)'!I10:I29,'Financiamiento(N)'!G10:G29,"Pasajes y Viáticos",'Financiamiento(N)'!J10:J29,"CONICET AUSTRAL F")</f>
        <v>0</v>
      </c>
      <c r="K44" s="109" t="e">
        <f>(J44*100)/J50</f>
        <v>#REF!</v>
      </c>
    </row>
    <row r="45" spans="2:20" x14ac:dyDescent="0.25">
      <c r="B45" s="366" t="s">
        <v>20</v>
      </c>
      <c r="C45" s="367"/>
      <c r="D45" s="367"/>
      <c r="E45" s="40">
        <f>SUMIFS('Financiamiento(N)'!I10:I14,'Financiamiento(N)'!G10:G14,"Seguros",'Financiamiento(N)'!J10:J14,"CONICET DESEADO F")</f>
        <v>0</v>
      </c>
      <c r="F45" s="56" t="e">
        <f>(E45*100)/E50</f>
        <v>#DIV/0!</v>
      </c>
      <c r="G45" s="366" t="s">
        <v>20</v>
      </c>
      <c r="H45" s="367"/>
      <c r="I45" s="367"/>
      <c r="J45" s="40">
        <f>SUMIFS('Financiamiento(N)'!I10:I29,'Financiamiento(N)'!G10:G29,"Seguros",'Financiamiento(N)'!J10:J29,"CONICET AUSTRAL F")</f>
        <v>0</v>
      </c>
      <c r="K45" s="56" t="e">
        <f>(J45*100)/J50</f>
        <v>#REF!</v>
      </c>
    </row>
    <row r="46" spans="2:20" x14ac:dyDescent="0.25">
      <c r="B46" s="372" t="s">
        <v>24</v>
      </c>
      <c r="C46" s="373"/>
      <c r="D46" s="373"/>
      <c r="E46" s="55">
        <f>SUMIFS('Financiamiento(N)'!I10:I14,'Financiamiento(N)'!G10:G14,"Serv. 3 No Pe.",'Financiamiento(N)'!J10:J14,"CONICET DESEADO F")</f>
        <v>0</v>
      </c>
      <c r="F46" s="109" t="e">
        <f>(E46*100)/E50</f>
        <v>#DIV/0!</v>
      </c>
      <c r="G46" s="372" t="s">
        <v>24</v>
      </c>
      <c r="H46" s="373"/>
      <c r="I46" s="373"/>
      <c r="J46" s="55">
        <f>SUMIFS('Financiamiento(N)'!I10:I29,'Financiamiento(N)'!G10:G29,"Serv. 3 No Pe.",'Financiamiento(N)'!J10:J29,"CONICET AUSTRAL F")</f>
        <v>0</v>
      </c>
      <c r="K46" s="109" t="e">
        <f>(J46*100)/J50</f>
        <v>#REF!</v>
      </c>
      <c r="N46" s="30">
        <f>+E46+J46</f>
        <v>0</v>
      </c>
      <c r="Q46" s="137" t="e">
        <f>+#REF!+#REF!+#REF!+#REF!+#REF!+#REF!+#REF!+#REF!+#REF!+#REF!+#REF!+#REF!+#REF!+#REF!+#REF!+#REF!+#REF!+#REF!+#REF!+#REF!+#REF!+#REF!+#REF!+#REF!</f>
        <v>#REF!</v>
      </c>
      <c r="R46">
        <v>600</v>
      </c>
      <c r="S46">
        <v>4680</v>
      </c>
      <c r="T46" s="30" t="e">
        <f>+S46+R46+Q46+N46</f>
        <v>#REF!</v>
      </c>
    </row>
    <row r="47" spans="2:20" x14ac:dyDescent="0.25">
      <c r="B47" s="366" t="s">
        <v>23</v>
      </c>
      <c r="C47" s="367"/>
      <c r="D47" s="367"/>
      <c r="E47" s="40">
        <f>SUMIFS('Financiamiento(N)'!I10:I14,'Financiamiento(N)'!G10:G14,"Serv. Básicos",'Financiamiento(N)'!J10:J14,"CONICET DESEADO F")</f>
        <v>0</v>
      </c>
      <c r="F47" s="56" t="e">
        <f>(E47*100)/E50</f>
        <v>#DIV/0!</v>
      </c>
      <c r="G47" s="366" t="s">
        <v>23</v>
      </c>
      <c r="H47" s="367"/>
      <c r="I47" s="367"/>
      <c r="J47" s="40">
        <f>SUMIFS('Financiamiento(N)'!I10:I29,'Financiamiento(N)'!G10:G29,"Serv. Básicos",'Financiamiento(N)'!J10:J29,"CONICET AUSTRAL F")</f>
        <v>0</v>
      </c>
      <c r="K47" s="56" t="e">
        <f>(J47*100)/J50</f>
        <v>#REF!</v>
      </c>
    </row>
    <row r="48" spans="2:20" x14ac:dyDescent="0.25">
      <c r="B48" s="377" t="s">
        <v>2</v>
      </c>
      <c r="C48" s="378"/>
      <c r="D48" s="378"/>
      <c r="E48" s="55">
        <f>SUMIFS('Financiamiento(N)'!I10:I14,'Financiamiento(N)'!G10:G14,"Equipamiento",'Financiamiento(N)'!J10:J14,"CONICET DESEADO E")</f>
        <v>0</v>
      </c>
      <c r="F48" s="109" t="e">
        <f>(E48*100)/E50</f>
        <v>#DIV/0!</v>
      </c>
      <c r="G48" s="380" t="s">
        <v>2</v>
      </c>
      <c r="H48" s="381"/>
      <c r="I48" s="381"/>
      <c r="J48" s="382" t="e">
        <f>#REF!</f>
        <v>#REF!</v>
      </c>
      <c r="K48" s="383" t="e">
        <f>(J48*100)/J50</f>
        <v>#REF!</v>
      </c>
    </row>
    <row r="49" spans="2:18" x14ac:dyDescent="0.25">
      <c r="B49" s="366" t="s">
        <v>146</v>
      </c>
      <c r="C49" s="367"/>
      <c r="D49" s="367"/>
      <c r="E49" s="204">
        <f>SUMIF('Financiamiento(N)'!G10:G54,B49,'Financiamiento(N)'!I10:I54)</f>
        <v>0</v>
      </c>
      <c r="F49" s="56"/>
      <c r="G49" s="380"/>
      <c r="H49" s="381"/>
      <c r="I49" s="381"/>
      <c r="J49" s="382"/>
      <c r="K49" s="383"/>
    </row>
    <row r="50" spans="2:18" x14ac:dyDescent="0.25">
      <c r="B50" s="355" t="s">
        <v>26</v>
      </c>
      <c r="C50" s="356"/>
      <c r="D50" s="356"/>
      <c r="E50" s="357">
        <f>SUM(E39:E49)</f>
        <v>0</v>
      </c>
      <c r="F50" s="358"/>
      <c r="G50" s="355" t="s">
        <v>26</v>
      </c>
      <c r="H50" s="356"/>
      <c r="I50" s="356"/>
      <c r="J50" s="357" t="e">
        <f>SUM(J39:J48)</f>
        <v>#REF!</v>
      </c>
      <c r="K50" s="358"/>
      <c r="R50" s="15"/>
    </row>
    <row r="51" spans="2:18" ht="15.75" thickBot="1" x14ac:dyDescent="0.3">
      <c r="B51" s="49"/>
      <c r="C51" s="46"/>
      <c r="D51" s="46"/>
      <c r="E51" s="46"/>
      <c r="F51" s="47"/>
      <c r="G51" s="49"/>
      <c r="H51" s="46"/>
      <c r="I51" s="46"/>
      <c r="J51" s="46"/>
      <c r="K51" s="47"/>
    </row>
    <row r="52" spans="2:18" ht="15.75" thickBot="1" x14ac:dyDescent="0.3">
      <c r="B52" s="359" t="s">
        <v>111</v>
      </c>
      <c r="C52" s="360"/>
      <c r="D52" s="360"/>
      <c r="E52" s="360" t="e">
        <f>IF(E50=#REF!+#REF!,"OK","ERROR")</f>
        <v>#REF!</v>
      </c>
      <c r="F52" s="379"/>
      <c r="G52" s="359" t="s">
        <v>111</v>
      </c>
      <c r="H52" s="360"/>
      <c r="I52" s="360"/>
      <c r="J52" s="360" t="e">
        <f>IF(J50=#REF!+#REF!,"OK","ERROR")</f>
        <v>#REF!</v>
      </c>
      <c r="K52" s="379"/>
    </row>
    <row r="53" spans="2:18" x14ac:dyDescent="0.25">
      <c r="B53" s="105"/>
      <c r="C53" s="105"/>
      <c r="D53" s="105"/>
      <c r="E53" s="105"/>
      <c r="F53" s="105"/>
      <c r="G53" s="105"/>
      <c r="H53" s="105"/>
      <c r="I53" s="105"/>
      <c r="J53" s="104"/>
      <c r="K53" s="104"/>
    </row>
    <row r="54" spans="2:18" ht="15.75" thickBot="1" x14ac:dyDescent="0.3">
      <c r="B54" s="105"/>
      <c r="C54" s="105"/>
      <c r="D54" s="105"/>
      <c r="E54" s="105"/>
      <c r="F54" s="105"/>
      <c r="G54" s="105"/>
      <c r="H54" s="105"/>
      <c r="I54" s="105"/>
      <c r="J54" s="104"/>
      <c r="K54" s="104"/>
    </row>
    <row r="55" spans="2:18" ht="15.75" x14ac:dyDescent="0.25">
      <c r="B55" s="352" t="s">
        <v>184</v>
      </c>
      <c r="C55" s="353"/>
      <c r="D55" s="353"/>
      <c r="E55" s="353"/>
      <c r="F55" s="354"/>
      <c r="G55" s="352" t="s">
        <v>185</v>
      </c>
      <c r="H55" s="353"/>
      <c r="I55" s="353"/>
      <c r="J55" s="353"/>
      <c r="K55" s="354"/>
    </row>
    <row r="56" spans="2:18" x14ac:dyDescent="0.25">
      <c r="B56" s="348" t="s">
        <v>0</v>
      </c>
      <c r="C56" s="349"/>
      <c r="D56" s="349"/>
      <c r="E56" s="202" t="s">
        <v>1</v>
      </c>
      <c r="F56" s="203" t="s">
        <v>29</v>
      </c>
      <c r="G56" s="348" t="s">
        <v>0</v>
      </c>
      <c r="H56" s="349"/>
      <c r="I56" s="349"/>
      <c r="J56" s="54" t="s">
        <v>1</v>
      </c>
      <c r="K56" s="203" t="s">
        <v>29</v>
      </c>
    </row>
    <row r="57" spans="2:18" x14ac:dyDescent="0.25">
      <c r="B57" s="366" t="s">
        <v>15</v>
      </c>
      <c r="C57" s="367"/>
      <c r="D57" s="367"/>
      <c r="E57" s="204">
        <f>SUMIFS('Financiamiento(N)'!I10:I32,'Financiamiento(N)'!G10:G32,"Bs. Consumo",'Financiamiento(N)'!J10:J32,"JGM DESEADO F")</f>
        <v>0</v>
      </c>
      <c r="F57" s="56" t="e">
        <f>(E57*100)/E67</f>
        <v>#DIV/0!</v>
      </c>
      <c r="G57" s="366" t="s">
        <v>15</v>
      </c>
      <c r="H57" s="367"/>
      <c r="I57" s="367"/>
      <c r="J57" s="204">
        <f>SUMIFS('Financiamiento(N)'!I10:I47,'Financiamiento(N)'!G10:G47,"Bs. Consumo",'Financiamiento(N)'!J10:J47,"JGM AUSTRAL F")</f>
        <v>0</v>
      </c>
      <c r="K57" s="56" t="e">
        <f>(J57*100)/J67</f>
        <v>#DIV/0!</v>
      </c>
    </row>
    <row r="58" spans="2:18" x14ac:dyDescent="0.25">
      <c r="B58" s="372" t="s">
        <v>16</v>
      </c>
      <c r="C58" s="373"/>
      <c r="D58" s="373"/>
      <c r="E58" s="55">
        <f>SUMIFS('Financiamiento(N)'!I10:I32,'Financiamiento(N)'!G10:G32,"Gs. Institucionales",'Financiamiento(N)'!J10:J32,"JGM DESEADO F")</f>
        <v>0</v>
      </c>
      <c r="F58" s="109" t="e">
        <f>(E58*100)/E67</f>
        <v>#DIV/0!</v>
      </c>
      <c r="G58" s="372" t="s">
        <v>16</v>
      </c>
      <c r="H58" s="373"/>
      <c r="I58" s="373"/>
      <c r="J58" s="55">
        <f>SUMIFS('Financiamiento(N)'!I10:I47,'Financiamiento(N)'!G10:G47,"Gs. Institucionales",'Financiamiento(N)'!J10:J47,"JGM AUSTRAL F")</f>
        <v>0</v>
      </c>
      <c r="K58" s="109" t="e">
        <f>(J58*100)/J67</f>
        <v>#DIV/0!</v>
      </c>
    </row>
    <row r="59" spans="2:18" x14ac:dyDescent="0.25">
      <c r="B59" s="366" t="s">
        <v>7</v>
      </c>
      <c r="C59" s="367"/>
      <c r="D59" s="367"/>
      <c r="E59" s="204">
        <f>SUMIFS('Financiamiento(N)'!I10:I32,'Financiamiento(N)'!G10:G32,"Gs. Mant. Ed.",'Financiamiento(N)'!J10:J32,"JGM DESEADO F")</f>
        <v>0</v>
      </c>
      <c r="F59" s="56" t="e">
        <f>(E59*100)/E67</f>
        <v>#DIV/0!</v>
      </c>
      <c r="G59" s="366" t="s">
        <v>7</v>
      </c>
      <c r="H59" s="367"/>
      <c r="I59" s="367"/>
      <c r="J59" s="204">
        <f>SUMIFS('Financiamiento(N)'!I10:I47,'Financiamiento(N)'!G10:G47,"Gs. Mant. Ed.",'Financiamiento(N)'!J10:J47,"JGM AUSTRAL F")</f>
        <v>0</v>
      </c>
      <c r="K59" s="56" t="e">
        <f>(J59*100)/J67</f>
        <v>#DIV/0!</v>
      </c>
    </row>
    <row r="60" spans="2:18" x14ac:dyDescent="0.25">
      <c r="B60" s="372" t="s">
        <v>8</v>
      </c>
      <c r="C60" s="373"/>
      <c r="D60" s="373"/>
      <c r="E60" s="55">
        <f>SUMIFS('Financiamiento(N)'!I10:I32,'Financiamiento(N)'!G10:G32,"Gs. Mant. Eq.",'Financiamiento(N)'!J10:J32,"JGM DESEADO F")</f>
        <v>0</v>
      </c>
      <c r="F60" s="109" t="e">
        <f>(E60*100)/E67</f>
        <v>#DIV/0!</v>
      </c>
      <c r="G60" s="372" t="s">
        <v>8</v>
      </c>
      <c r="H60" s="373"/>
      <c r="I60" s="373"/>
      <c r="J60" s="55">
        <f>SUMIFS('Financiamiento(N)'!I10:I47,'Financiamiento(N)'!G10:G47,"Gs. Mant. Eq.",'Financiamiento(N)'!J10:J47,"JGM AUSTRAL F")</f>
        <v>0</v>
      </c>
      <c r="K60" s="109" t="e">
        <f>(J60*100)/J67</f>
        <v>#DIV/0!</v>
      </c>
    </row>
    <row r="61" spans="2:18" x14ac:dyDescent="0.25">
      <c r="B61" s="366" t="s">
        <v>22</v>
      </c>
      <c r="C61" s="367"/>
      <c r="D61" s="367"/>
      <c r="E61" s="204">
        <f>SUMIFS('Financiamiento(N)'!I10:I32,'Financiamiento(N)'!G10:G32,"Otros Gastos",'Financiamiento(N)'!J10:J32,"JGM DESEADO F")</f>
        <v>0</v>
      </c>
      <c r="F61" s="56" t="e">
        <f>(E61*100)/E67</f>
        <v>#DIV/0!</v>
      </c>
      <c r="G61" s="366" t="s">
        <v>22</v>
      </c>
      <c r="H61" s="367"/>
      <c r="I61" s="367"/>
      <c r="J61" s="204">
        <f>SUMIFS('Financiamiento(N)'!I10:I47,'Financiamiento(N)'!G10:G47,"Otros Gastos",'Financiamiento(N)'!J10:J47,"JGM AUSTRAL F")</f>
        <v>0</v>
      </c>
      <c r="K61" s="56" t="e">
        <f>(J61*100)/J67</f>
        <v>#DIV/0!</v>
      </c>
    </row>
    <row r="62" spans="2:18" x14ac:dyDescent="0.25">
      <c r="B62" s="372" t="s">
        <v>17</v>
      </c>
      <c r="C62" s="373"/>
      <c r="D62" s="373"/>
      <c r="E62" s="55">
        <f>SUMIFS('Financiamiento(N)'!I10:I32,'Financiamiento(N)'!G10:G32,"Pasajes y Viáticos",'Financiamiento(N)'!J10:J32,"JGM DESEADO F")</f>
        <v>0</v>
      </c>
      <c r="F62" s="109" t="e">
        <f>(E62*100)/E67</f>
        <v>#DIV/0!</v>
      </c>
      <c r="G62" s="372" t="s">
        <v>17</v>
      </c>
      <c r="H62" s="373"/>
      <c r="I62" s="373"/>
      <c r="J62" s="55">
        <f>SUMIFS('Financiamiento(N)'!I10:I47,'Financiamiento(N)'!G10:G47,"Pasajes y Viáticos",'Financiamiento(N)'!J10:J47,"JGM AUSTRAL F")</f>
        <v>0</v>
      </c>
      <c r="K62" s="109" t="e">
        <f>(J62*100)/J67</f>
        <v>#DIV/0!</v>
      </c>
    </row>
    <row r="63" spans="2:18" x14ac:dyDescent="0.25">
      <c r="B63" s="366" t="s">
        <v>20</v>
      </c>
      <c r="C63" s="367"/>
      <c r="D63" s="367"/>
      <c r="E63" s="204">
        <f>SUMIFS('Financiamiento(N)'!I10:I32,'Financiamiento(N)'!G10:G32,"Seguros",'Financiamiento(N)'!J10:J32,"JGM DESEADO F")</f>
        <v>0</v>
      </c>
      <c r="F63" s="56" t="e">
        <f>(E63*100)/E67</f>
        <v>#DIV/0!</v>
      </c>
      <c r="G63" s="366" t="s">
        <v>20</v>
      </c>
      <c r="H63" s="367"/>
      <c r="I63" s="367"/>
      <c r="J63" s="204">
        <f>SUMIFS('Financiamiento(N)'!I10:I47,'Financiamiento(N)'!G10:G47,"Seguros",'Financiamiento(N)'!J10:J47,"JGM AUSTRAL F")</f>
        <v>0</v>
      </c>
      <c r="K63" s="56" t="e">
        <f>(J63*100)/J67</f>
        <v>#DIV/0!</v>
      </c>
    </row>
    <row r="64" spans="2:18" x14ac:dyDescent="0.25">
      <c r="B64" s="372" t="s">
        <v>24</v>
      </c>
      <c r="C64" s="373"/>
      <c r="D64" s="373"/>
      <c r="E64" s="55">
        <f>SUMIFS('Financiamiento(N)'!I10:I32,'Financiamiento(N)'!G10:G32,"Serv. 3 No Pe.",'Financiamiento(N)'!J10:J32,"JGM DESEADO F")</f>
        <v>0</v>
      </c>
      <c r="F64" s="109" t="e">
        <f>(E64*100)/E67</f>
        <v>#DIV/0!</v>
      </c>
      <c r="G64" s="372" t="s">
        <v>24</v>
      </c>
      <c r="H64" s="373"/>
      <c r="I64" s="373"/>
      <c r="J64" s="55">
        <f>SUMIFS('Financiamiento(N)'!I10:I47,'Financiamiento(N)'!G10:G47,"Serv. 3 No Pe.",'Financiamiento(N)'!J10:J47,"JGM AUSTRAL F")</f>
        <v>0</v>
      </c>
      <c r="K64" s="109" t="e">
        <f>(J64*100)/J67</f>
        <v>#DIV/0!</v>
      </c>
    </row>
    <row r="65" spans="2:14" x14ac:dyDescent="0.25">
      <c r="B65" s="366" t="s">
        <v>23</v>
      </c>
      <c r="C65" s="367"/>
      <c r="D65" s="367"/>
      <c r="E65" s="204">
        <f>SUMIFS('Financiamiento(N)'!I10:I32,'Financiamiento(N)'!G10:G32,"Serv. Básicos",'Financiamiento(N)'!J10:J32,"JGM DESEADO F")</f>
        <v>0</v>
      </c>
      <c r="F65" s="56" t="e">
        <f>(E65*100)/E67</f>
        <v>#DIV/0!</v>
      </c>
      <c r="G65" s="366" t="s">
        <v>23</v>
      </c>
      <c r="H65" s="367"/>
      <c r="I65" s="367"/>
      <c r="J65" s="204">
        <f>SUMIFS('Financiamiento(N)'!I10:I47,'Financiamiento(N)'!G10:G47,"Serv. Básicos",'Financiamiento(N)'!J10:J47,"JGM AUSTRAL F")</f>
        <v>0</v>
      </c>
      <c r="K65" s="56" t="e">
        <f>(J65*100)/J67</f>
        <v>#DIV/0!</v>
      </c>
    </row>
    <row r="66" spans="2:14" x14ac:dyDescent="0.25">
      <c r="B66" s="377" t="s">
        <v>2</v>
      </c>
      <c r="C66" s="378"/>
      <c r="D66" s="378"/>
      <c r="E66" s="55">
        <f>SUMIFS('Financiamiento(N)'!I10:I32,'Financiamiento(N)'!G10:G32,"Equipamiento",'Financiamiento(N)'!J10:J32,"JGM DESEADO E")</f>
        <v>0</v>
      </c>
      <c r="F66" s="109" t="e">
        <f>(E66*100)/E67</f>
        <v>#DIV/0!</v>
      </c>
      <c r="G66" s="377" t="s">
        <v>2</v>
      </c>
      <c r="H66" s="378"/>
      <c r="I66" s="378"/>
      <c r="J66" s="132">
        <f>SUMIFS('Financiamiento(N)'!I10:I32,'Financiamiento(N)'!G10:G32,"Equipamiento",'Financiamiento(N)'!J10:J32,"JGM AUSTRAL E")</f>
        <v>0</v>
      </c>
      <c r="K66" s="109" t="e">
        <f>(J66*100)/J67</f>
        <v>#DIV/0!</v>
      </c>
    </row>
    <row r="67" spans="2:14" x14ac:dyDescent="0.25">
      <c r="B67" s="355" t="s">
        <v>26</v>
      </c>
      <c r="C67" s="356"/>
      <c r="D67" s="356"/>
      <c r="E67" s="357">
        <f>SUM(E57:E66)</f>
        <v>0</v>
      </c>
      <c r="F67" s="358"/>
      <c r="G67" s="355" t="s">
        <v>26</v>
      </c>
      <c r="H67" s="356"/>
      <c r="I67" s="356"/>
      <c r="J67" s="357">
        <f>SUM(J57:J66)</f>
        <v>0</v>
      </c>
      <c r="K67" s="358"/>
    </row>
    <row r="68" spans="2:14" ht="15.75" thickBot="1" x14ac:dyDescent="0.3">
      <c r="B68" s="49"/>
      <c r="C68" s="46"/>
      <c r="D68" s="46"/>
      <c r="E68" s="46"/>
      <c r="F68" s="47"/>
      <c r="G68" s="49"/>
      <c r="H68" s="46"/>
      <c r="I68" s="46"/>
      <c r="J68" s="46"/>
      <c r="K68" s="47"/>
    </row>
    <row r="69" spans="2:14" ht="15.75" thickBot="1" x14ac:dyDescent="0.3">
      <c r="B69" s="359" t="s">
        <v>111</v>
      </c>
      <c r="C69" s="360"/>
      <c r="D69" s="360"/>
      <c r="E69" s="360" t="str">
        <f ca="1">IF(E67=E28+J28,"OK","ERROR")</f>
        <v>OK</v>
      </c>
      <c r="F69" s="379"/>
      <c r="G69" s="359" t="s">
        <v>111</v>
      </c>
      <c r="H69" s="360"/>
      <c r="I69" s="360"/>
      <c r="J69" s="360" t="str">
        <f>IF(J67=E29+J29,"OK","ERROR")</f>
        <v>OK</v>
      </c>
      <c r="K69" s="379"/>
      <c r="N69" s="30"/>
    </row>
    <row r="70" spans="2:14" x14ac:dyDescent="0.25">
      <c r="B70" s="105"/>
      <c r="C70" s="105"/>
      <c r="D70" s="105"/>
      <c r="E70" s="105"/>
      <c r="F70" s="105"/>
      <c r="G70" s="105"/>
      <c r="H70" s="105"/>
      <c r="I70" s="105"/>
      <c r="J70" s="104"/>
      <c r="K70" s="104"/>
    </row>
    <row r="71" spans="2:14" x14ac:dyDescent="0.25">
      <c r="B71" s="105"/>
      <c r="C71" s="105"/>
      <c r="D71" s="105"/>
      <c r="E71" s="105"/>
      <c r="F71" s="105"/>
      <c r="G71" s="105"/>
      <c r="H71" s="105"/>
      <c r="I71" s="105"/>
      <c r="J71" s="104"/>
      <c r="K71" s="104"/>
    </row>
    <row r="72" spans="2:14" x14ac:dyDescent="0.25">
      <c r="B72" s="105"/>
      <c r="C72" s="105"/>
      <c r="D72" s="105"/>
      <c r="E72" s="105"/>
      <c r="F72" s="105"/>
      <c r="G72" s="105"/>
      <c r="H72" s="105"/>
      <c r="I72" s="105"/>
      <c r="J72" s="104"/>
      <c r="K72" s="104"/>
    </row>
    <row r="73" spans="2:14" x14ac:dyDescent="0.25">
      <c r="B73" s="105"/>
      <c r="C73" s="105"/>
      <c r="D73" s="105"/>
      <c r="E73" s="105"/>
      <c r="F73" s="105"/>
      <c r="G73" s="105"/>
      <c r="H73" s="105"/>
      <c r="I73" s="105"/>
      <c r="J73" s="104"/>
      <c r="K73" s="104"/>
      <c r="N73" s="15"/>
    </row>
    <row r="74" spans="2:14" x14ac:dyDescent="0.25">
      <c r="B74" s="105"/>
      <c r="C74" s="105"/>
      <c r="D74" s="105"/>
      <c r="E74" s="209"/>
      <c r="F74" s="105"/>
      <c r="G74" s="105"/>
      <c r="H74" s="105"/>
      <c r="I74" s="105"/>
      <c r="J74" s="104"/>
      <c r="K74" s="104"/>
    </row>
    <row r="75" spans="2:14" x14ac:dyDescent="0.25">
      <c r="B75" s="105"/>
      <c r="C75" s="105"/>
      <c r="D75" s="105"/>
      <c r="E75" s="105"/>
      <c r="F75" s="105"/>
      <c r="G75" s="105"/>
      <c r="H75" s="105"/>
      <c r="I75" s="105"/>
      <c r="J75" s="104"/>
      <c r="K75" s="104"/>
    </row>
    <row r="76" spans="2:14" x14ac:dyDescent="0.25">
      <c r="B76" s="105"/>
      <c r="C76" s="105"/>
      <c r="D76" s="105"/>
      <c r="E76" s="105"/>
      <c r="F76" s="105"/>
      <c r="G76" s="105"/>
      <c r="H76" s="105"/>
      <c r="I76" s="105"/>
      <c r="J76" s="104"/>
      <c r="K76" s="104"/>
    </row>
    <row r="77" spans="2:14" x14ac:dyDescent="0.25">
      <c r="B77" s="105"/>
      <c r="C77" s="105"/>
      <c r="D77" s="105"/>
      <c r="E77" s="105"/>
      <c r="F77" s="105"/>
      <c r="G77" s="105"/>
      <c r="H77" s="105"/>
      <c r="I77" s="105"/>
      <c r="J77" s="104"/>
      <c r="K77" s="104"/>
    </row>
    <row r="78" spans="2:14" x14ac:dyDescent="0.25">
      <c r="B78" s="105"/>
      <c r="C78" s="105"/>
      <c r="D78" s="105"/>
      <c r="E78" s="105"/>
      <c r="F78" s="105"/>
      <c r="G78" s="105"/>
      <c r="H78" s="105"/>
      <c r="I78" s="105"/>
      <c r="J78" s="104"/>
      <c r="K78" s="104"/>
    </row>
    <row r="79" spans="2:14" x14ac:dyDescent="0.25">
      <c r="B79" s="105"/>
      <c r="C79" s="105"/>
      <c r="D79" s="105"/>
      <c r="E79" s="105"/>
      <c r="F79" s="105"/>
      <c r="G79" s="105"/>
      <c r="H79" s="105"/>
      <c r="I79" s="105"/>
      <c r="J79" s="104"/>
      <c r="K79" s="104"/>
    </row>
    <row r="80" spans="2:14" x14ac:dyDescent="0.25">
      <c r="B80" s="105"/>
      <c r="C80" s="105"/>
      <c r="D80" s="105"/>
      <c r="E80" s="105"/>
      <c r="F80" s="105"/>
      <c r="G80" s="105"/>
      <c r="H80" s="105"/>
      <c r="I80" s="105"/>
      <c r="J80" s="104"/>
      <c r="K80" s="104"/>
    </row>
    <row r="81" spans="2:11" x14ac:dyDescent="0.25">
      <c r="B81" s="105"/>
      <c r="C81" s="105"/>
      <c r="D81" s="105"/>
      <c r="E81" s="105"/>
      <c r="F81" s="105"/>
      <c r="G81" s="105"/>
      <c r="H81" s="105"/>
      <c r="I81" s="105"/>
      <c r="J81" s="104"/>
      <c r="K81" s="104"/>
    </row>
    <row r="82" spans="2:11" x14ac:dyDescent="0.25">
      <c r="B82" s="105"/>
      <c r="C82" s="105"/>
      <c r="D82" s="105"/>
      <c r="E82" s="105"/>
      <c r="F82" s="105"/>
      <c r="G82" s="105"/>
      <c r="H82" s="105"/>
      <c r="I82" s="105"/>
      <c r="J82" s="104"/>
      <c r="K82" s="104"/>
    </row>
    <row r="84" spans="2:11" ht="15" customHeight="1" x14ac:dyDescent="0.25"/>
    <row r="85" spans="2:11" ht="15" customHeight="1" x14ac:dyDescent="0.25"/>
  </sheetData>
  <mergeCells count="112">
    <mergeCell ref="B26:K26"/>
    <mergeCell ref="B69:D69"/>
    <mergeCell ref="E69:F69"/>
    <mergeCell ref="G69:I69"/>
    <mergeCell ref="J69:K69"/>
    <mergeCell ref="G48:I49"/>
    <mergeCell ref="J48:J49"/>
    <mergeCell ref="K48:K49"/>
    <mergeCell ref="B67:D67"/>
    <mergeCell ref="E67:F67"/>
    <mergeCell ref="G67:I67"/>
    <mergeCell ref="J67:K67"/>
    <mergeCell ref="B64:D64"/>
    <mergeCell ref="G64:I64"/>
    <mergeCell ref="B65:D65"/>
    <mergeCell ref="G65:I65"/>
    <mergeCell ref="B66:D66"/>
    <mergeCell ref="G66:I66"/>
    <mergeCell ref="B61:D61"/>
    <mergeCell ref="G61:I61"/>
    <mergeCell ref="B62:D62"/>
    <mergeCell ref="G62:I62"/>
    <mergeCell ref="B63:D63"/>
    <mergeCell ref="G63:I63"/>
    <mergeCell ref="J52:K52"/>
    <mergeCell ref="B59:D59"/>
    <mergeCell ref="G59:I59"/>
    <mergeCell ref="B60:D60"/>
    <mergeCell ref="G60:I60"/>
    <mergeCell ref="B55:F55"/>
    <mergeCell ref="G55:K55"/>
    <mergeCell ref="B56:D56"/>
    <mergeCell ref="G56:I56"/>
    <mergeCell ref="B57:D57"/>
    <mergeCell ref="G57:I57"/>
    <mergeCell ref="B58:D58"/>
    <mergeCell ref="G58:I58"/>
    <mergeCell ref="B52:D52"/>
    <mergeCell ref="E52:F52"/>
    <mergeCell ref="G52:I52"/>
    <mergeCell ref="B40:D40"/>
    <mergeCell ref="G46:I46"/>
    <mergeCell ref="G47:I47"/>
    <mergeCell ref="G50:I50"/>
    <mergeCell ref="G38:I38"/>
    <mergeCell ref="G39:I39"/>
    <mergeCell ref="B44:D44"/>
    <mergeCell ref="B45:D45"/>
    <mergeCell ref="G42:I42"/>
    <mergeCell ref="G43:I43"/>
    <mergeCell ref="G44:I44"/>
    <mergeCell ref="G45:I45"/>
    <mergeCell ref="B38:D38"/>
    <mergeCell ref="B39:D39"/>
    <mergeCell ref="G40:I40"/>
    <mergeCell ref="G41:I41"/>
    <mergeCell ref="B46:D46"/>
    <mergeCell ref="B47:D47"/>
    <mergeCell ref="B48:D48"/>
    <mergeCell ref="B50:D50"/>
    <mergeCell ref="B49:D49"/>
    <mergeCell ref="J50:K50"/>
    <mergeCell ref="E50:F50"/>
    <mergeCell ref="B42:D42"/>
    <mergeCell ref="B43:D43"/>
    <mergeCell ref="B41:D41"/>
    <mergeCell ref="J8:K8"/>
    <mergeCell ref="J9:K9"/>
    <mergeCell ref="B7:K7"/>
    <mergeCell ref="J19:K19"/>
    <mergeCell ref="E19:F19"/>
    <mergeCell ref="B9:D9"/>
    <mergeCell ref="G9:I9"/>
    <mergeCell ref="B10:D10"/>
    <mergeCell ref="G10:I10"/>
    <mergeCell ref="B11:D11"/>
    <mergeCell ref="G11:I11"/>
    <mergeCell ref="B12:D12"/>
    <mergeCell ref="G12:I12"/>
    <mergeCell ref="B8:D8"/>
    <mergeCell ref="G8:I8"/>
    <mergeCell ref="B13:D13"/>
    <mergeCell ref="G13:I13"/>
    <mergeCell ref="B14:D14"/>
    <mergeCell ref="G14:I14"/>
    <mergeCell ref="J21:K21"/>
    <mergeCell ref="B15:D15"/>
    <mergeCell ref="G15:I15"/>
    <mergeCell ref="B16:D16"/>
    <mergeCell ref="G16:I16"/>
    <mergeCell ref="B17:D17"/>
    <mergeCell ref="G17:I17"/>
    <mergeCell ref="B18:D18"/>
    <mergeCell ref="B19:D19"/>
    <mergeCell ref="B21:I21"/>
    <mergeCell ref="B27:D27"/>
    <mergeCell ref="G27:I27"/>
    <mergeCell ref="B28:D28"/>
    <mergeCell ref="B37:F37"/>
    <mergeCell ref="B32:D32"/>
    <mergeCell ref="E32:F32"/>
    <mergeCell ref="J32:K32"/>
    <mergeCell ref="B34:I34"/>
    <mergeCell ref="J34:K34"/>
    <mergeCell ref="B29:D29"/>
    <mergeCell ref="G28:I28"/>
    <mergeCell ref="B30:D30"/>
    <mergeCell ref="G29:I29"/>
    <mergeCell ref="B31:D31"/>
    <mergeCell ref="G31:I31"/>
    <mergeCell ref="G30:I30"/>
    <mergeCell ref="G37:K3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M40"/>
  <sheetViews>
    <sheetView topLeftCell="A29" workbookViewId="0">
      <selection activeCell="C5" sqref="C5:D5"/>
    </sheetView>
  </sheetViews>
  <sheetFormatPr baseColWidth="10" defaultRowHeight="15" x14ac:dyDescent="0.25"/>
  <cols>
    <col min="1" max="1" width="4.7109375" customWidth="1"/>
    <col min="2" max="2" width="35.5703125" bestFit="1" customWidth="1"/>
    <col min="3" max="3" width="13.7109375" bestFit="1" customWidth="1"/>
    <col min="4" max="4" width="15.7109375" bestFit="1" customWidth="1"/>
    <col min="5" max="5" width="12.7109375" customWidth="1"/>
    <col min="6" max="6" width="12.7109375" bestFit="1" customWidth="1"/>
    <col min="7" max="7" width="11.28515625" bestFit="1" customWidth="1"/>
    <col min="8" max="8" width="35.5703125" bestFit="1" customWidth="1"/>
    <col min="9" max="9" width="13.140625" bestFit="1" customWidth="1"/>
    <col min="10" max="10" width="13.7109375" customWidth="1"/>
    <col min="11" max="11" width="13.140625" bestFit="1" customWidth="1"/>
    <col min="12" max="12" width="12.7109375" bestFit="1" customWidth="1"/>
    <col min="13" max="13" width="13.140625" bestFit="1" customWidth="1"/>
    <col min="14" max="14" width="13.28515625" bestFit="1" customWidth="1"/>
    <col min="258" max="258" width="13.42578125" customWidth="1"/>
    <col min="259" max="259" width="13.28515625" bestFit="1" customWidth="1"/>
    <col min="260" max="260" width="17.28515625" customWidth="1"/>
    <col min="261" max="261" width="12.7109375" customWidth="1"/>
    <col min="262" max="262" width="13.28515625" bestFit="1" customWidth="1"/>
    <col min="263" max="263" width="12.140625" customWidth="1"/>
    <col min="264" max="264" width="16.42578125" customWidth="1"/>
    <col min="265" max="265" width="11.7109375" bestFit="1" customWidth="1"/>
    <col min="266" max="266" width="13.7109375" customWidth="1"/>
    <col min="267" max="267" width="12" customWidth="1"/>
    <col min="268" max="268" width="11.7109375" bestFit="1" customWidth="1"/>
    <col min="270" max="270" width="13.28515625" bestFit="1" customWidth="1"/>
    <col min="514" max="514" width="13.42578125" customWidth="1"/>
    <col min="515" max="515" width="13.28515625" bestFit="1" customWidth="1"/>
    <col min="516" max="516" width="17.28515625" customWidth="1"/>
    <col min="517" max="517" width="12.7109375" customWidth="1"/>
    <col min="518" max="518" width="13.28515625" bestFit="1" customWidth="1"/>
    <col min="519" max="519" width="12.140625" customWidth="1"/>
    <col min="520" max="520" width="16.42578125" customWidth="1"/>
    <col min="521" max="521" width="11.7109375" bestFit="1" customWidth="1"/>
    <col min="522" max="522" width="13.7109375" customWidth="1"/>
    <col min="523" max="523" width="12" customWidth="1"/>
    <col min="524" max="524" width="11.7109375" bestFit="1" customWidth="1"/>
    <col min="526" max="526" width="13.28515625" bestFit="1" customWidth="1"/>
    <col min="770" max="770" width="13.42578125" customWidth="1"/>
    <col min="771" max="771" width="13.28515625" bestFit="1" customWidth="1"/>
    <col min="772" max="772" width="17.28515625" customWidth="1"/>
    <col min="773" max="773" width="12.7109375" customWidth="1"/>
    <col min="774" max="774" width="13.28515625" bestFit="1" customWidth="1"/>
    <col min="775" max="775" width="12.140625" customWidth="1"/>
    <col min="776" max="776" width="16.42578125" customWidth="1"/>
    <col min="777" max="777" width="11.7109375" bestFit="1" customWidth="1"/>
    <col min="778" max="778" width="13.7109375" customWidth="1"/>
    <col min="779" max="779" width="12" customWidth="1"/>
    <col min="780" max="780" width="11.7109375" bestFit="1" customWidth="1"/>
    <col min="782" max="782" width="13.28515625" bestFit="1" customWidth="1"/>
    <col min="1026" max="1026" width="13.42578125" customWidth="1"/>
    <col min="1027" max="1027" width="13.28515625" bestFit="1" customWidth="1"/>
    <col min="1028" max="1028" width="17.28515625" customWidth="1"/>
    <col min="1029" max="1029" width="12.7109375" customWidth="1"/>
    <col min="1030" max="1030" width="13.28515625" bestFit="1" customWidth="1"/>
    <col min="1031" max="1031" width="12.140625" customWidth="1"/>
    <col min="1032" max="1032" width="16.42578125" customWidth="1"/>
    <col min="1033" max="1033" width="11.7109375" bestFit="1" customWidth="1"/>
    <col min="1034" max="1034" width="13.7109375" customWidth="1"/>
    <col min="1035" max="1035" width="12" customWidth="1"/>
    <col min="1036" max="1036" width="11.7109375" bestFit="1" customWidth="1"/>
    <col min="1038" max="1038" width="13.28515625" bestFit="1" customWidth="1"/>
    <col min="1282" max="1282" width="13.42578125" customWidth="1"/>
    <col min="1283" max="1283" width="13.28515625" bestFit="1" customWidth="1"/>
    <col min="1284" max="1284" width="17.28515625" customWidth="1"/>
    <col min="1285" max="1285" width="12.7109375" customWidth="1"/>
    <col min="1286" max="1286" width="13.28515625" bestFit="1" customWidth="1"/>
    <col min="1287" max="1287" width="12.140625" customWidth="1"/>
    <col min="1288" max="1288" width="16.42578125" customWidth="1"/>
    <col min="1289" max="1289" width="11.7109375" bestFit="1" customWidth="1"/>
    <col min="1290" max="1290" width="13.7109375" customWidth="1"/>
    <col min="1291" max="1291" width="12" customWidth="1"/>
    <col min="1292" max="1292" width="11.7109375" bestFit="1" customWidth="1"/>
    <col min="1294" max="1294" width="13.28515625" bestFit="1" customWidth="1"/>
    <col min="1538" max="1538" width="13.42578125" customWidth="1"/>
    <col min="1539" max="1539" width="13.28515625" bestFit="1" customWidth="1"/>
    <col min="1540" max="1540" width="17.28515625" customWidth="1"/>
    <col min="1541" max="1541" width="12.7109375" customWidth="1"/>
    <col min="1542" max="1542" width="13.28515625" bestFit="1" customWidth="1"/>
    <col min="1543" max="1543" width="12.140625" customWidth="1"/>
    <col min="1544" max="1544" width="16.42578125" customWidth="1"/>
    <col min="1545" max="1545" width="11.7109375" bestFit="1" customWidth="1"/>
    <col min="1546" max="1546" width="13.7109375" customWidth="1"/>
    <col min="1547" max="1547" width="12" customWidth="1"/>
    <col min="1548" max="1548" width="11.7109375" bestFit="1" customWidth="1"/>
    <col min="1550" max="1550" width="13.28515625" bestFit="1" customWidth="1"/>
    <col min="1794" max="1794" width="13.42578125" customWidth="1"/>
    <col min="1795" max="1795" width="13.28515625" bestFit="1" customWidth="1"/>
    <col min="1796" max="1796" width="17.28515625" customWidth="1"/>
    <col min="1797" max="1797" width="12.7109375" customWidth="1"/>
    <col min="1798" max="1798" width="13.28515625" bestFit="1" customWidth="1"/>
    <col min="1799" max="1799" width="12.140625" customWidth="1"/>
    <col min="1800" max="1800" width="16.42578125" customWidth="1"/>
    <col min="1801" max="1801" width="11.7109375" bestFit="1" customWidth="1"/>
    <col min="1802" max="1802" width="13.7109375" customWidth="1"/>
    <col min="1803" max="1803" width="12" customWidth="1"/>
    <col min="1804" max="1804" width="11.7109375" bestFit="1" customWidth="1"/>
    <col min="1806" max="1806" width="13.28515625" bestFit="1" customWidth="1"/>
    <col min="2050" max="2050" width="13.42578125" customWidth="1"/>
    <col min="2051" max="2051" width="13.28515625" bestFit="1" customWidth="1"/>
    <col min="2052" max="2052" width="17.28515625" customWidth="1"/>
    <col min="2053" max="2053" width="12.7109375" customWidth="1"/>
    <col min="2054" max="2054" width="13.28515625" bestFit="1" customWidth="1"/>
    <col min="2055" max="2055" width="12.140625" customWidth="1"/>
    <col min="2056" max="2056" width="16.42578125" customWidth="1"/>
    <col min="2057" max="2057" width="11.7109375" bestFit="1" customWidth="1"/>
    <col min="2058" max="2058" width="13.7109375" customWidth="1"/>
    <col min="2059" max="2059" width="12" customWidth="1"/>
    <col min="2060" max="2060" width="11.7109375" bestFit="1" customWidth="1"/>
    <col min="2062" max="2062" width="13.28515625" bestFit="1" customWidth="1"/>
    <col min="2306" max="2306" width="13.42578125" customWidth="1"/>
    <col min="2307" max="2307" width="13.28515625" bestFit="1" customWidth="1"/>
    <col min="2308" max="2308" width="17.28515625" customWidth="1"/>
    <col min="2309" max="2309" width="12.7109375" customWidth="1"/>
    <col min="2310" max="2310" width="13.28515625" bestFit="1" customWidth="1"/>
    <col min="2311" max="2311" width="12.140625" customWidth="1"/>
    <col min="2312" max="2312" width="16.42578125" customWidth="1"/>
    <col min="2313" max="2313" width="11.7109375" bestFit="1" customWidth="1"/>
    <col min="2314" max="2314" width="13.7109375" customWidth="1"/>
    <col min="2315" max="2315" width="12" customWidth="1"/>
    <col min="2316" max="2316" width="11.7109375" bestFit="1" customWidth="1"/>
    <col min="2318" max="2318" width="13.28515625" bestFit="1" customWidth="1"/>
    <col min="2562" max="2562" width="13.42578125" customWidth="1"/>
    <col min="2563" max="2563" width="13.28515625" bestFit="1" customWidth="1"/>
    <col min="2564" max="2564" width="17.28515625" customWidth="1"/>
    <col min="2565" max="2565" width="12.7109375" customWidth="1"/>
    <col min="2566" max="2566" width="13.28515625" bestFit="1" customWidth="1"/>
    <col min="2567" max="2567" width="12.140625" customWidth="1"/>
    <col min="2568" max="2568" width="16.42578125" customWidth="1"/>
    <col min="2569" max="2569" width="11.7109375" bestFit="1" customWidth="1"/>
    <col min="2570" max="2570" width="13.7109375" customWidth="1"/>
    <col min="2571" max="2571" width="12" customWidth="1"/>
    <col min="2572" max="2572" width="11.7109375" bestFit="1" customWidth="1"/>
    <col min="2574" max="2574" width="13.28515625" bestFit="1" customWidth="1"/>
    <col min="2818" max="2818" width="13.42578125" customWidth="1"/>
    <col min="2819" max="2819" width="13.28515625" bestFit="1" customWidth="1"/>
    <col min="2820" max="2820" width="17.28515625" customWidth="1"/>
    <col min="2821" max="2821" width="12.7109375" customWidth="1"/>
    <col min="2822" max="2822" width="13.28515625" bestFit="1" customWidth="1"/>
    <col min="2823" max="2823" width="12.140625" customWidth="1"/>
    <col min="2824" max="2824" width="16.42578125" customWidth="1"/>
    <col min="2825" max="2825" width="11.7109375" bestFit="1" customWidth="1"/>
    <col min="2826" max="2826" width="13.7109375" customWidth="1"/>
    <col min="2827" max="2827" width="12" customWidth="1"/>
    <col min="2828" max="2828" width="11.7109375" bestFit="1" customWidth="1"/>
    <col min="2830" max="2830" width="13.28515625" bestFit="1" customWidth="1"/>
    <col min="3074" max="3074" width="13.42578125" customWidth="1"/>
    <col min="3075" max="3075" width="13.28515625" bestFit="1" customWidth="1"/>
    <col min="3076" max="3076" width="17.28515625" customWidth="1"/>
    <col min="3077" max="3077" width="12.7109375" customWidth="1"/>
    <col min="3078" max="3078" width="13.28515625" bestFit="1" customWidth="1"/>
    <col min="3079" max="3079" width="12.140625" customWidth="1"/>
    <col min="3080" max="3080" width="16.42578125" customWidth="1"/>
    <col min="3081" max="3081" width="11.7109375" bestFit="1" customWidth="1"/>
    <col min="3082" max="3082" width="13.7109375" customWidth="1"/>
    <col min="3083" max="3083" width="12" customWidth="1"/>
    <col min="3084" max="3084" width="11.7109375" bestFit="1" customWidth="1"/>
    <col min="3086" max="3086" width="13.28515625" bestFit="1" customWidth="1"/>
    <col min="3330" max="3330" width="13.42578125" customWidth="1"/>
    <col min="3331" max="3331" width="13.28515625" bestFit="1" customWidth="1"/>
    <col min="3332" max="3332" width="17.28515625" customWidth="1"/>
    <col min="3333" max="3333" width="12.7109375" customWidth="1"/>
    <col min="3334" max="3334" width="13.28515625" bestFit="1" customWidth="1"/>
    <col min="3335" max="3335" width="12.140625" customWidth="1"/>
    <col min="3336" max="3336" width="16.42578125" customWidth="1"/>
    <col min="3337" max="3337" width="11.7109375" bestFit="1" customWidth="1"/>
    <col min="3338" max="3338" width="13.7109375" customWidth="1"/>
    <col min="3339" max="3339" width="12" customWidth="1"/>
    <col min="3340" max="3340" width="11.7109375" bestFit="1" customWidth="1"/>
    <col min="3342" max="3342" width="13.28515625" bestFit="1" customWidth="1"/>
    <col min="3586" max="3586" width="13.42578125" customWidth="1"/>
    <col min="3587" max="3587" width="13.28515625" bestFit="1" customWidth="1"/>
    <col min="3588" max="3588" width="17.28515625" customWidth="1"/>
    <col min="3589" max="3589" width="12.7109375" customWidth="1"/>
    <col min="3590" max="3590" width="13.28515625" bestFit="1" customWidth="1"/>
    <col min="3591" max="3591" width="12.140625" customWidth="1"/>
    <col min="3592" max="3592" width="16.42578125" customWidth="1"/>
    <col min="3593" max="3593" width="11.7109375" bestFit="1" customWidth="1"/>
    <col min="3594" max="3594" width="13.7109375" customWidth="1"/>
    <col min="3595" max="3595" width="12" customWidth="1"/>
    <col min="3596" max="3596" width="11.7109375" bestFit="1" customWidth="1"/>
    <col min="3598" max="3598" width="13.28515625" bestFit="1" customWidth="1"/>
    <col min="3842" max="3842" width="13.42578125" customWidth="1"/>
    <col min="3843" max="3843" width="13.28515625" bestFit="1" customWidth="1"/>
    <col min="3844" max="3844" width="17.28515625" customWidth="1"/>
    <col min="3845" max="3845" width="12.7109375" customWidth="1"/>
    <col min="3846" max="3846" width="13.28515625" bestFit="1" customWidth="1"/>
    <col min="3847" max="3847" width="12.140625" customWidth="1"/>
    <col min="3848" max="3848" width="16.42578125" customWidth="1"/>
    <col min="3849" max="3849" width="11.7109375" bestFit="1" customWidth="1"/>
    <col min="3850" max="3850" width="13.7109375" customWidth="1"/>
    <col min="3851" max="3851" width="12" customWidth="1"/>
    <col min="3852" max="3852" width="11.7109375" bestFit="1" customWidth="1"/>
    <col min="3854" max="3854" width="13.28515625" bestFit="1" customWidth="1"/>
    <col min="4098" max="4098" width="13.42578125" customWidth="1"/>
    <col min="4099" max="4099" width="13.28515625" bestFit="1" customWidth="1"/>
    <col min="4100" max="4100" width="17.28515625" customWidth="1"/>
    <col min="4101" max="4101" width="12.7109375" customWidth="1"/>
    <col min="4102" max="4102" width="13.28515625" bestFit="1" customWidth="1"/>
    <col min="4103" max="4103" width="12.140625" customWidth="1"/>
    <col min="4104" max="4104" width="16.42578125" customWidth="1"/>
    <col min="4105" max="4105" width="11.7109375" bestFit="1" customWidth="1"/>
    <col min="4106" max="4106" width="13.7109375" customWidth="1"/>
    <col min="4107" max="4107" width="12" customWidth="1"/>
    <col min="4108" max="4108" width="11.7109375" bestFit="1" customWidth="1"/>
    <col min="4110" max="4110" width="13.28515625" bestFit="1" customWidth="1"/>
    <col min="4354" max="4354" width="13.42578125" customWidth="1"/>
    <col min="4355" max="4355" width="13.28515625" bestFit="1" customWidth="1"/>
    <col min="4356" max="4356" width="17.28515625" customWidth="1"/>
    <col min="4357" max="4357" width="12.7109375" customWidth="1"/>
    <col min="4358" max="4358" width="13.28515625" bestFit="1" customWidth="1"/>
    <col min="4359" max="4359" width="12.140625" customWidth="1"/>
    <col min="4360" max="4360" width="16.42578125" customWidth="1"/>
    <col min="4361" max="4361" width="11.7109375" bestFit="1" customWidth="1"/>
    <col min="4362" max="4362" width="13.7109375" customWidth="1"/>
    <col min="4363" max="4363" width="12" customWidth="1"/>
    <col min="4364" max="4364" width="11.7109375" bestFit="1" customWidth="1"/>
    <col min="4366" max="4366" width="13.28515625" bestFit="1" customWidth="1"/>
    <col min="4610" max="4610" width="13.42578125" customWidth="1"/>
    <col min="4611" max="4611" width="13.28515625" bestFit="1" customWidth="1"/>
    <col min="4612" max="4612" width="17.28515625" customWidth="1"/>
    <col min="4613" max="4613" width="12.7109375" customWidth="1"/>
    <col min="4614" max="4614" width="13.28515625" bestFit="1" customWidth="1"/>
    <col min="4615" max="4615" width="12.140625" customWidth="1"/>
    <col min="4616" max="4616" width="16.42578125" customWidth="1"/>
    <col min="4617" max="4617" width="11.7109375" bestFit="1" customWidth="1"/>
    <col min="4618" max="4618" width="13.7109375" customWidth="1"/>
    <col min="4619" max="4619" width="12" customWidth="1"/>
    <col min="4620" max="4620" width="11.7109375" bestFit="1" customWidth="1"/>
    <col min="4622" max="4622" width="13.28515625" bestFit="1" customWidth="1"/>
    <col min="4866" max="4866" width="13.42578125" customWidth="1"/>
    <col min="4867" max="4867" width="13.28515625" bestFit="1" customWidth="1"/>
    <col min="4868" max="4868" width="17.28515625" customWidth="1"/>
    <col min="4869" max="4869" width="12.7109375" customWidth="1"/>
    <col min="4870" max="4870" width="13.28515625" bestFit="1" customWidth="1"/>
    <col min="4871" max="4871" width="12.140625" customWidth="1"/>
    <col min="4872" max="4872" width="16.42578125" customWidth="1"/>
    <col min="4873" max="4873" width="11.7109375" bestFit="1" customWidth="1"/>
    <col min="4874" max="4874" width="13.7109375" customWidth="1"/>
    <col min="4875" max="4875" width="12" customWidth="1"/>
    <col min="4876" max="4876" width="11.7109375" bestFit="1" customWidth="1"/>
    <col min="4878" max="4878" width="13.28515625" bestFit="1" customWidth="1"/>
    <col min="5122" max="5122" width="13.42578125" customWidth="1"/>
    <col min="5123" max="5123" width="13.28515625" bestFit="1" customWidth="1"/>
    <col min="5124" max="5124" width="17.28515625" customWidth="1"/>
    <col min="5125" max="5125" width="12.7109375" customWidth="1"/>
    <col min="5126" max="5126" width="13.28515625" bestFit="1" customWidth="1"/>
    <col min="5127" max="5127" width="12.140625" customWidth="1"/>
    <col min="5128" max="5128" width="16.42578125" customWidth="1"/>
    <col min="5129" max="5129" width="11.7109375" bestFit="1" customWidth="1"/>
    <col min="5130" max="5130" width="13.7109375" customWidth="1"/>
    <col min="5131" max="5131" width="12" customWidth="1"/>
    <col min="5132" max="5132" width="11.7109375" bestFit="1" customWidth="1"/>
    <col min="5134" max="5134" width="13.28515625" bestFit="1" customWidth="1"/>
    <col min="5378" max="5378" width="13.42578125" customWidth="1"/>
    <col min="5379" max="5379" width="13.28515625" bestFit="1" customWidth="1"/>
    <col min="5380" max="5380" width="17.28515625" customWidth="1"/>
    <col min="5381" max="5381" width="12.7109375" customWidth="1"/>
    <col min="5382" max="5382" width="13.28515625" bestFit="1" customWidth="1"/>
    <col min="5383" max="5383" width="12.140625" customWidth="1"/>
    <col min="5384" max="5384" width="16.42578125" customWidth="1"/>
    <col min="5385" max="5385" width="11.7109375" bestFit="1" customWidth="1"/>
    <col min="5386" max="5386" width="13.7109375" customWidth="1"/>
    <col min="5387" max="5387" width="12" customWidth="1"/>
    <col min="5388" max="5388" width="11.7109375" bestFit="1" customWidth="1"/>
    <col min="5390" max="5390" width="13.28515625" bestFit="1" customWidth="1"/>
    <col min="5634" max="5634" width="13.42578125" customWidth="1"/>
    <col min="5635" max="5635" width="13.28515625" bestFit="1" customWidth="1"/>
    <col min="5636" max="5636" width="17.28515625" customWidth="1"/>
    <col min="5637" max="5637" width="12.7109375" customWidth="1"/>
    <col min="5638" max="5638" width="13.28515625" bestFit="1" customWidth="1"/>
    <col min="5639" max="5639" width="12.140625" customWidth="1"/>
    <col min="5640" max="5640" width="16.42578125" customWidth="1"/>
    <col min="5641" max="5641" width="11.7109375" bestFit="1" customWidth="1"/>
    <col min="5642" max="5642" width="13.7109375" customWidth="1"/>
    <col min="5643" max="5643" width="12" customWidth="1"/>
    <col min="5644" max="5644" width="11.7109375" bestFit="1" customWidth="1"/>
    <col min="5646" max="5646" width="13.28515625" bestFit="1" customWidth="1"/>
    <col min="5890" max="5890" width="13.42578125" customWidth="1"/>
    <col min="5891" max="5891" width="13.28515625" bestFit="1" customWidth="1"/>
    <col min="5892" max="5892" width="17.28515625" customWidth="1"/>
    <col min="5893" max="5893" width="12.7109375" customWidth="1"/>
    <col min="5894" max="5894" width="13.28515625" bestFit="1" customWidth="1"/>
    <col min="5895" max="5895" width="12.140625" customWidth="1"/>
    <col min="5896" max="5896" width="16.42578125" customWidth="1"/>
    <col min="5897" max="5897" width="11.7109375" bestFit="1" customWidth="1"/>
    <col min="5898" max="5898" width="13.7109375" customWidth="1"/>
    <col min="5899" max="5899" width="12" customWidth="1"/>
    <col min="5900" max="5900" width="11.7109375" bestFit="1" customWidth="1"/>
    <col min="5902" max="5902" width="13.28515625" bestFit="1" customWidth="1"/>
    <col min="6146" max="6146" width="13.42578125" customWidth="1"/>
    <col min="6147" max="6147" width="13.28515625" bestFit="1" customWidth="1"/>
    <col min="6148" max="6148" width="17.28515625" customWidth="1"/>
    <col min="6149" max="6149" width="12.7109375" customWidth="1"/>
    <col min="6150" max="6150" width="13.28515625" bestFit="1" customWidth="1"/>
    <col min="6151" max="6151" width="12.140625" customWidth="1"/>
    <col min="6152" max="6152" width="16.42578125" customWidth="1"/>
    <col min="6153" max="6153" width="11.7109375" bestFit="1" customWidth="1"/>
    <col min="6154" max="6154" width="13.7109375" customWidth="1"/>
    <col min="6155" max="6155" width="12" customWidth="1"/>
    <col min="6156" max="6156" width="11.7109375" bestFit="1" customWidth="1"/>
    <col min="6158" max="6158" width="13.28515625" bestFit="1" customWidth="1"/>
    <col min="6402" max="6402" width="13.42578125" customWidth="1"/>
    <col min="6403" max="6403" width="13.28515625" bestFit="1" customWidth="1"/>
    <col min="6404" max="6404" width="17.28515625" customWidth="1"/>
    <col min="6405" max="6405" width="12.7109375" customWidth="1"/>
    <col min="6406" max="6406" width="13.28515625" bestFit="1" customWidth="1"/>
    <col min="6407" max="6407" width="12.140625" customWidth="1"/>
    <col min="6408" max="6408" width="16.42578125" customWidth="1"/>
    <col min="6409" max="6409" width="11.7109375" bestFit="1" customWidth="1"/>
    <col min="6410" max="6410" width="13.7109375" customWidth="1"/>
    <col min="6411" max="6411" width="12" customWidth="1"/>
    <col min="6412" max="6412" width="11.7109375" bestFit="1" customWidth="1"/>
    <col min="6414" max="6414" width="13.28515625" bestFit="1" customWidth="1"/>
    <col min="6658" max="6658" width="13.42578125" customWidth="1"/>
    <col min="6659" max="6659" width="13.28515625" bestFit="1" customWidth="1"/>
    <col min="6660" max="6660" width="17.28515625" customWidth="1"/>
    <col min="6661" max="6661" width="12.7109375" customWidth="1"/>
    <col min="6662" max="6662" width="13.28515625" bestFit="1" customWidth="1"/>
    <col min="6663" max="6663" width="12.140625" customWidth="1"/>
    <col min="6664" max="6664" width="16.42578125" customWidth="1"/>
    <col min="6665" max="6665" width="11.7109375" bestFit="1" customWidth="1"/>
    <col min="6666" max="6666" width="13.7109375" customWidth="1"/>
    <col min="6667" max="6667" width="12" customWidth="1"/>
    <col min="6668" max="6668" width="11.7109375" bestFit="1" customWidth="1"/>
    <col min="6670" max="6670" width="13.28515625" bestFit="1" customWidth="1"/>
    <col min="6914" max="6914" width="13.42578125" customWidth="1"/>
    <col min="6915" max="6915" width="13.28515625" bestFit="1" customWidth="1"/>
    <col min="6916" max="6916" width="17.28515625" customWidth="1"/>
    <col min="6917" max="6917" width="12.7109375" customWidth="1"/>
    <col min="6918" max="6918" width="13.28515625" bestFit="1" customWidth="1"/>
    <col min="6919" max="6919" width="12.140625" customWidth="1"/>
    <col min="6920" max="6920" width="16.42578125" customWidth="1"/>
    <col min="6921" max="6921" width="11.7109375" bestFit="1" customWidth="1"/>
    <col min="6922" max="6922" width="13.7109375" customWidth="1"/>
    <col min="6923" max="6923" width="12" customWidth="1"/>
    <col min="6924" max="6924" width="11.7109375" bestFit="1" customWidth="1"/>
    <col min="6926" max="6926" width="13.28515625" bestFit="1" customWidth="1"/>
    <col min="7170" max="7170" width="13.42578125" customWidth="1"/>
    <col min="7171" max="7171" width="13.28515625" bestFit="1" customWidth="1"/>
    <col min="7172" max="7172" width="17.28515625" customWidth="1"/>
    <col min="7173" max="7173" width="12.7109375" customWidth="1"/>
    <col min="7174" max="7174" width="13.28515625" bestFit="1" customWidth="1"/>
    <col min="7175" max="7175" width="12.140625" customWidth="1"/>
    <col min="7176" max="7176" width="16.42578125" customWidth="1"/>
    <col min="7177" max="7177" width="11.7109375" bestFit="1" customWidth="1"/>
    <col min="7178" max="7178" width="13.7109375" customWidth="1"/>
    <col min="7179" max="7179" width="12" customWidth="1"/>
    <col min="7180" max="7180" width="11.7109375" bestFit="1" customWidth="1"/>
    <col min="7182" max="7182" width="13.28515625" bestFit="1" customWidth="1"/>
    <col min="7426" max="7426" width="13.42578125" customWidth="1"/>
    <col min="7427" max="7427" width="13.28515625" bestFit="1" customWidth="1"/>
    <col min="7428" max="7428" width="17.28515625" customWidth="1"/>
    <col min="7429" max="7429" width="12.7109375" customWidth="1"/>
    <col min="7430" max="7430" width="13.28515625" bestFit="1" customWidth="1"/>
    <col min="7431" max="7431" width="12.140625" customWidth="1"/>
    <col min="7432" max="7432" width="16.42578125" customWidth="1"/>
    <col min="7433" max="7433" width="11.7109375" bestFit="1" customWidth="1"/>
    <col min="7434" max="7434" width="13.7109375" customWidth="1"/>
    <col min="7435" max="7435" width="12" customWidth="1"/>
    <col min="7436" max="7436" width="11.7109375" bestFit="1" customWidth="1"/>
    <col min="7438" max="7438" width="13.28515625" bestFit="1" customWidth="1"/>
    <col min="7682" max="7682" width="13.42578125" customWidth="1"/>
    <col min="7683" max="7683" width="13.28515625" bestFit="1" customWidth="1"/>
    <col min="7684" max="7684" width="17.28515625" customWidth="1"/>
    <col min="7685" max="7685" width="12.7109375" customWidth="1"/>
    <col min="7686" max="7686" width="13.28515625" bestFit="1" customWidth="1"/>
    <col min="7687" max="7687" width="12.140625" customWidth="1"/>
    <col min="7688" max="7688" width="16.42578125" customWidth="1"/>
    <col min="7689" max="7689" width="11.7109375" bestFit="1" customWidth="1"/>
    <col min="7690" max="7690" width="13.7109375" customWidth="1"/>
    <col min="7691" max="7691" width="12" customWidth="1"/>
    <col min="7692" max="7692" width="11.7109375" bestFit="1" customWidth="1"/>
    <col min="7694" max="7694" width="13.28515625" bestFit="1" customWidth="1"/>
    <col min="7938" max="7938" width="13.42578125" customWidth="1"/>
    <col min="7939" max="7939" width="13.28515625" bestFit="1" customWidth="1"/>
    <col min="7940" max="7940" width="17.28515625" customWidth="1"/>
    <col min="7941" max="7941" width="12.7109375" customWidth="1"/>
    <col min="7942" max="7942" width="13.28515625" bestFit="1" customWidth="1"/>
    <col min="7943" max="7943" width="12.140625" customWidth="1"/>
    <col min="7944" max="7944" width="16.42578125" customWidth="1"/>
    <col min="7945" max="7945" width="11.7109375" bestFit="1" customWidth="1"/>
    <col min="7946" max="7946" width="13.7109375" customWidth="1"/>
    <col min="7947" max="7947" width="12" customWidth="1"/>
    <col min="7948" max="7948" width="11.7109375" bestFit="1" customWidth="1"/>
    <col min="7950" max="7950" width="13.28515625" bestFit="1" customWidth="1"/>
    <col min="8194" max="8194" width="13.42578125" customWidth="1"/>
    <col min="8195" max="8195" width="13.28515625" bestFit="1" customWidth="1"/>
    <col min="8196" max="8196" width="17.28515625" customWidth="1"/>
    <col min="8197" max="8197" width="12.7109375" customWidth="1"/>
    <col min="8198" max="8198" width="13.28515625" bestFit="1" customWidth="1"/>
    <col min="8199" max="8199" width="12.140625" customWidth="1"/>
    <col min="8200" max="8200" width="16.42578125" customWidth="1"/>
    <col min="8201" max="8201" width="11.7109375" bestFit="1" customWidth="1"/>
    <col min="8202" max="8202" width="13.7109375" customWidth="1"/>
    <col min="8203" max="8203" width="12" customWidth="1"/>
    <col min="8204" max="8204" width="11.7109375" bestFit="1" customWidth="1"/>
    <col min="8206" max="8206" width="13.28515625" bestFit="1" customWidth="1"/>
    <col min="8450" max="8450" width="13.42578125" customWidth="1"/>
    <col min="8451" max="8451" width="13.28515625" bestFit="1" customWidth="1"/>
    <col min="8452" max="8452" width="17.28515625" customWidth="1"/>
    <col min="8453" max="8453" width="12.7109375" customWidth="1"/>
    <col min="8454" max="8454" width="13.28515625" bestFit="1" customWidth="1"/>
    <col min="8455" max="8455" width="12.140625" customWidth="1"/>
    <col min="8456" max="8456" width="16.42578125" customWidth="1"/>
    <col min="8457" max="8457" width="11.7109375" bestFit="1" customWidth="1"/>
    <col min="8458" max="8458" width="13.7109375" customWidth="1"/>
    <col min="8459" max="8459" width="12" customWidth="1"/>
    <col min="8460" max="8460" width="11.7109375" bestFit="1" customWidth="1"/>
    <col min="8462" max="8462" width="13.28515625" bestFit="1" customWidth="1"/>
    <col min="8706" max="8706" width="13.42578125" customWidth="1"/>
    <col min="8707" max="8707" width="13.28515625" bestFit="1" customWidth="1"/>
    <col min="8708" max="8708" width="17.28515625" customWidth="1"/>
    <col min="8709" max="8709" width="12.7109375" customWidth="1"/>
    <col min="8710" max="8710" width="13.28515625" bestFit="1" customWidth="1"/>
    <col min="8711" max="8711" width="12.140625" customWidth="1"/>
    <col min="8712" max="8712" width="16.42578125" customWidth="1"/>
    <col min="8713" max="8713" width="11.7109375" bestFit="1" customWidth="1"/>
    <col min="8714" max="8714" width="13.7109375" customWidth="1"/>
    <col min="8715" max="8715" width="12" customWidth="1"/>
    <col min="8716" max="8716" width="11.7109375" bestFit="1" customWidth="1"/>
    <col min="8718" max="8718" width="13.28515625" bestFit="1" customWidth="1"/>
    <col min="8962" max="8962" width="13.42578125" customWidth="1"/>
    <col min="8963" max="8963" width="13.28515625" bestFit="1" customWidth="1"/>
    <col min="8964" max="8964" width="17.28515625" customWidth="1"/>
    <col min="8965" max="8965" width="12.7109375" customWidth="1"/>
    <col min="8966" max="8966" width="13.28515625" bestFit="1" customWidth="1"/>
    <col min="8967" max="8967" width="12.140625" customWidth="1"/>
    <col min="8968" max="8968" width="16.42578125" customWidth="1"/>
    <col min="8969" max="8969" width="11.7109375" bestFit="1" customWidth="1"/>
    <col min="8970" max="8970" width="13.7109375" customWidth="1"/>
    <col min="8971" max="8971" width="12" customWidth="1"/>
    <col min="8972" max="8972" width="11.7109375" bestFit="1" customWidth="1"/>
    <col min="8974" max="8974" width="13.28515625" bestFit="1" customWidth="1"/>
    <col min="9218" max="9218" width="13.42578125" customWidth="1"/>
    <col min="9219" max="9219" width="13.28515625" bestFit="1" customWidth="1"/>
    <col min="9220" max="9220" width="17.28515625" customWidth="1"/>
    <col min="9221" max="9221" width="12.7109375" customWidth="1"/>
    <col min="9222" max="9222" width="13.28515625" bestFit="1" customWidth="1"/>
    <col min="9223" max="9223" width="12.140625" customWidth="1"/>
    <col min="9224" max="9224" width="16.42578125" customWidth="1"/>
    <col min="9225" max="9225" width="11.7109375" bestFit="1" customWidth="1"/>
    <col min="9226" max="9226" width="13.7109375" customWidth="1"/>
    <col min="9227" max="9227" width="12" customWidth="1"/>
    <col min="9228" max="9228" width="11.7109375" bestFit="1" customWidth="1"/>
    <col min="9230" max="9230" width="13.28515625" bestFit="1" customWidth="1"/>
    <col min="9474" max="9474" width="13.42578125" customWidth="1"/>
    <col min="9475" max="9475" width="13.28515625" bestFit="1" customWidth="1"/>
    <col min="9476" max="9476" width="17.28515625" customWidth="1"/>
    <col min="9477" max="9477" width="12.7109375" customWidth="1"/>
    <col min="9478" max="9478" width="13.28515625" bestFit="1" customWidth="1"/>
    <col min="9479" max="9479" width="12.140625" customWidth="1"/>
    <col min="9480" max="9480" width="16.42578125" customWidth="1"/>
    <col min="9481" max="9481" width="11.7109375" bestFit="1" customWidth="1"/>
    <col min="9482" max="9482" width="13.7109375" customWidth="1"/>
    <col min="9483" max="9483" width="12" customWidth="1"/>
    <col min="9484" max="9484" width="11.7109375" bestFit="1" customWidth="1"/>
    <col min="9486" max="9486" width="13.28515625" bestFit="1" customWidth="1"/>
    <col min="9730" max="9730" width="13.42578125" customWidth="1"/>
    <col min="9731" max="9731" width="13.28515625" bestFit="1" customWidth="1"/>
    <col min="9732" max="9732" width="17.28515625" customWidth="1"/>
    <col min="9733" max="9733" width="12.7109375" customWidth="1"/>
    <col min="9734" max="9734" width="13.28515625" bestFit="1" customWidth="1"/>
    <col min="9735" max="9735" width="12.140625" customWidth="1"/>
    <col min="9736" max="9736" width="16.42578125" customWidth="1"/>
    <col min="9737" max="9737" width="11.7109375" bestFit="1" customWidth="1"/>
    <col min="9738" max="9738" width="13.7109375" customWidth="1"/>
    <col min="9739" max="9739" width="12" customWidth="1"/>
    <col min="9740" max="9740" width="11.7109375" bestFit="1" customWidth="1"/>
    <col min="9742" max="9742" width="13.28515625" bestFit="1" customWidth="1"/>
    <col min="9986" max="9986" width="13.42578125" customWidth="1"/>
    <col min="9987" max="9987" width="13.28515625" bestFit="1" customWidth="1"/>
    <col min="9988" max="9988" width="17.28515625" customWidth="1"/>
    <col min="9989" max="9989" width="12.7109375" customWidth="1"/>
    <col min="9990" max="9990" width="13.28515625" bestFit="1" customWidth="1"/>
    <col min="9991" max="9991" width="12.140625" customWidth="1"/>
    <col min="9992" max="9992" width="16.42578125" customWidth="1"/>
    <col min="9993" max="9993" width="11.7109375" bestFit="1" customWidth="1"/>
    <col min="9994" max="9994" width="13.7109375" customWidth="1"/>
    <col min="9995" max="9995" width="12" customWidth="1"/>
    <col min="9996" max="9996" width="11.7109375" bestFit="1" customWidth="1"/>
    <col min="9998" max="9998" width="13.28515625" bestFit="1" customWidth="1"/>
    <col min="10242" max="10242" width="13.42578125" customWidth="1"/>
    <col min="10243" max="10243" width="13.28515625" bestFit="1" customWidth="1"/>
    <col min="10244" max="10244" width="17.28515625" customWidth="1"/>
    <col min="10245" max="10245" width="12.7109375" customWidth="1"/>
    <col min="10246" max="10246" width="13.28515625" bestFit="1" customWidth="1"/>
    <col min="10247" max="10247" width="12.140625" customWidth="1"/>
    <col min="10248" max="10248" width="16.42578125" customWidth="1"/>
    <col min="10249" max="10249" width="11.7109375" bestFit="1" customWidth="1"/>
    <col min="10250" max="10250" width="13.7109375" customWidth="1"/>
    <col min="10251" max="10251" width="12" customWidth="1"/>
    <col min="10252" max="10252" width="11.7109375" bestFit="1" customWidth="1"/>
    <col min="10254" max="10254" width="13.28515625" bestFit="1" customWidth="1"/>
    <col min="10498" max="10498" width="13.42578125" customWidth="1"/>
    <col min="10499" max="10499" width="13.28515625" bestFit="1" customWidth="1"/>
    <col min="10500" max="10500" width="17.28515625" customWidth="1"/>
    <col min="10501" max="10501" width="12.7109375" customWidth="1"/>
    <col min="10502" max="10502" width="13.28515625" bestFit="1" customWidth="1"/>
    <col min="10503" max="10503" width="12.140625" customWidth="1"/>
    <col min="10504" max="10504" width="16.42578125" customWidth="1"/>
    <col min="10505" max="10505" width="11.7109375" bestFit="1" customWidth="1"/>
    <col min="10506" max="10506" width="13.7109375" customWidth="1"/>
    <col min="10507" max="10507" width="12" customWidth="1"/>
    <col min="10508" max="10508" width="11.7109375" bestFit="1" customWidth="1"/>
    <col min="10510" max="10510" width="13.28515625" bestFit="1" customWidth="1"/>
    <col min="10754" max="10754" width="13.42578125" customWidth="1"/>
    <col min="10755" max="10755" width="13.28515625" bestFit="1" customWidth="1"/>
    <col min="10756" max="10756" width="17.28515625" customWidth="1"/>
    <col min="10757" max="10757" width="12.7109375" customWidth="1"/>
    <col min="10758" max="10758" width="13.28515625" bestFit="1" customWidth="1"/>
    <col min="10759" max="10759" width="12.140625" customWidth="1"/>
    <col min="10760" max="10760" width="16.42578125" customWidth="1"/>
    <col min="10761" max="10761" width="11.7109375" bestFit="1" customWidth="1"/>
    <col min="10762" max="10762" width="13.7109375" customWidth="1"/>
    <col min="10763" max="10763" width="12" customWidth="1"/>
    <col min="10764" max="10764" width="11.7109375" bestFit="1" customWidth="1"/>
    <col min="10766" max="10766" width="13.28515625" bestFit="1" customWidth="1"/>
    <col min="11010" max="11010" width="13.42578125" customWidth="1"/>
    <col min="11011" max="11011" width="13.28515625" bestFit="1" customWidth="1"/>
    <col min="11012" max="11012" width="17.28515625" customWidth="1"/>
    <col min="11013" max="11013" width="12.7109375" customWidth="1"/>
    <col min="11014" max="11014" width="13.28515625" bestFit="1" customWidth="1"/>
    <col min="11015" max="11015" width="12.140625" customWidth="1"/>
    <col min="11016" max="11016" width="16.42578125" customWidth="1"/>
    <col min="11017" max="11017" width="11.7109375" bestFit="1" customWidth="1"/>
    <col min="11018" max="11018" width="13.7109375" customWidth="1"/>
    <col min="11019" max="11019" width="12" customWidth="1"/>
    <col min="11020" max="11020" width="11.7109375" bestFit="1" customWidth="1"/>
    <col min="11022" max="11022" width="13.28515625" bestFit="1" customWidth="1"/>
    <col min="11266" max="11266" width="13.42578125" customWidth="1"/>
    <col min="11267" max="11267" width="13.28515625" bestFit="1" customWidth="1"/>
    <col min="11268" max="11268" width="17.28515625" customWidth="1"/>
    <col min="11269" max="11269" width="12.7109375" customWidth="1"/>
    <col min="11270" max="11270" width="13.28515625" bestFit="1" customWidth="1"/>
    <col min="11271" max="11271" width="12.140625" customWidth="1"/>
    <col min="11272" max="11272" width="16.42578125" customWidth="1"/>
    <col min="11273" max="11273" width="11.7109375" bestFit="1" customWidth="1"/>
    <col min="11274" max="11274" width="13.7109375" customWidth="1"/>
    <col min="11275" max="11275" width="12" customWidth="1"/>
    <col min="11276" max="11276" width="11.7109375" bestFit="1" customWidth="1"/>
    <col min="11278" max="11278" width="13.28515625" bestFit="1" customWidth="1"/>
    <col min="11522" max="11522" width="13.42578125" customWidth="1"/>
    <col min="11523" max="11523" width="13.28515625" bestFit="1" customWidth="1"/>
    <col min="11524" max="11524" width="17.28515625" customWidth="1"/>
    <col min="11525" max="11525" width="12.7109375" customWidth="1"/>
    <col min="11526" max="11526" width="13.28515625" bestFit="1" customWidth="1"/>
    <col min="11527" max="11527" width="12.140625" customWidth="1"/>
    <col min="11528" max="11528" width="16.42578125" customWidth="1"/>
    <col min="11529" max="11529" width="11.7109375" bestFit="1" customWidth="1"/>
    <col min="11530" max="11530" width="13.7109375" customWidth="1"/>
    <col min="11531" max="11531" width="12" customWidth="1"/>
    <col min="11532" max="11532" width="11.7109375" bestFit="1" customWidth="1"/>
    <col min="11534" max="11534" width="13.28515625" bestFit="1" customWidth="1"/>
    <col min="11778" max="11778" width="13.42578125" customWidth="1"/>
    <col min="11779" max="11779" width="13.28515625" bestFit="1" customWidth="1"/>
    <col min="11780" max="11780" width="17.28515625" customWidth="1"/>
    <col min="11781" max="11781" width="12.7109375" customWidth="1"/>
    <col min="11782" max="11782" width="13.28515625" bestFit="1" customWidth="1"/>
    <col min="11783" max="11783" width="12.140625" customWidth="1"/>
    <col min="11784" max="11784" width="16.42578125" customWidth="1"/>
    <col min="11785" max="11785" width="11.7109375" bestFit="1" customWidth="1"/>
    <col min="11786" max="11786" width="13.7109375" customWidth="1"/>
    <col min="11787" max="11787" width="12" customWidth="1"/>
    <col min="11788" max="11788" width="11.7109375" bestFit="1" customWidth="1"/>
    <col min="11790" max="11790" width="13.28515625" bestFit="1" customWidth="1"/>
    <col min="12034" max="12034" width="13.42578125" customWidth="1"/>
    <col min="12035" max="12035" width="13.28515625" bestFit="1" customWidth="1"/>
    <col min="12036" max="12036" width="17.28515625" customWidth="1"/>
    <col min="12037" max="12037" width="12.7109375" customWidth="1"/>
    <col min="12038" max="12038" width="13.28515625" bestFit="1" customWidth="1"/>
    <col min="12039" max="12039" width="12.140625" customWidth="1"/>
    <col min="12040" max="12040" width="16.42578125" customWidth="1"/>
    <col min="12041" max="12041" width="11.7109375" bestFit="1" customWidth="1"/>
    <col min="12042" max="12042" width="13.7109375" customWidth="1"/>
    <col min="12043" max="12043" width="12" customWidth="1"/>
    <col min="12044" max="12044" width="11.7109375" bestFit="1" customWidth="1"/>
    <col min="12046" max="12046" width="13.28515625" bestFit="1" customWidth="1"/>
    <col min="12290" max="12290" width="13.42578125" customWidth="1"/>
    <col min="12291" max="12291" width="13.28515625" bestFit="1" customWidth="1"/>
    <col min="12292" max="12292" width="17.28515625" customWidth="1"/>
    <col min="12293" max="12293" width="12.7109375" customWidth="1"/>
    <col min="12294" max="12294" width="13.28515625" bestFit="1" customWidth="1"/>
    <col min="12295" max="12295" width="12.140625" customWidth="1"/>
    <col min="12296" max="12296" width="16.42578125" customWidth="1"/>
    <col min="12297" max="12297" width="11.7109375" bestFit="1" customWidth="1"/>
    <col min="12298" max="12298" width="13.7109375" customWidth="1"/>
    <col min="12299" max="12299" width="12" customWidth="1"/>
    <col min="12300" max="12300" width="11.7109375" bestFit="1" customWidth="1"/>
    <col min="12302" max="12302" width="13.28515625" bestFit="1" customWidth="1"/>
    <col min="12546" max="12546" width="13.42578125" customWidth="1"/>
    <col min="12547" max="12547" width="13.28515625" bestFit="1" customWidth="1"/>
    <col min="12548" max="12548" width="17.28515625" customWidth="1"/>
    <col min="12549" max="12549" width="12.7109375" customWidth="1"/>
    <col min="12550" max="12550" width="13.28515625" bestFit="1" customWidth="1"/>
    <col min="12551" max="12551" width="12.140625" customWidth="1"/>
    <col min="12552" max="12552" width="16.42578125" customWidth="1"/>
    <col min="12553" max="12553" width="11.7109375" bestFit="1" customWidth="1"/>
    <col min="12554" max="12554" width="13.7109375" customWidth="1"/>
    <col min="12555" max="12555" width="12" customWidth="1"/>
    <col min="12556" max="12556" width="11.7109375" bestFit="1" customWidth="1"/>
    <col min="12558" max="12558" width="13.28515625" bestFit="1" customWidth="1"/>
    <col min="12802" max="12802" width="13.42578125" customWidth="1"/>
    <col min="12803" max="12803" width="13.28515625" bestFit="1" customWidth="1"/>
    <col min="12804" max="12804" width="17.28515625" customWidth="1"/>
    <col min="12805" max="12805" width="12.7109375" customWidth="1"/>
    <col min="12806" max="12806" width="13.28515625" bestFit="1" customWidth="1"/>
    <col min="12807" max="12807" width="12.140625" customWidth="1"/>
    <col min="12808" max="12808" width="16.42578125" customWidth="1"/>
    <col min="12809" max="12809" width="11.7109375" bestFit="1" customWidth="1"/>
    <col min="12810" max="12810" width="13.7109375" customWidth="1"/>
    <col min="12811" max="12811" width="12" customWidth="1"/>
    <col min="12812" max="12812" width="11.7109375" bestFit="1" customWidth="1"/>
    <col min="12814" max="12814" width="13.28515625" bestFit="1" customWidth="1"/>
    <col min="13058" max="13058" width="13.42578125" customWidth="1"/>
    <col min="13059" max="13059" width="13.28515625" bestFit="1" customWidth="1"/>
    <col min="13060" max="13060" width="17.28515625" customWidth="1"/>
    <col min="13061" max="13061" width="12.7109375" customWidth="1"/>
    <col min="13062" max="13062" width="13.28515625" bestFit="1" customWidth="1"/>
    <col min="13063" max="13063" width="12.140625" customWidth="1"/>
    <col min="13064" max="13064" width="16.42578125" customWidth="1"/>
    <col min="13065" max="13065" width="11.7109375" bestFit="1" customWidth="1"/>
    <col min="13066" max="13066" width="13.7109375" customWidth="1"/>
    <col min="13067" max="13067" width="12" customWidth="1"/>
    <col min="13068" max="13068" width="11.7109375" bestFit="1" customWidth="1"/>
    <col min="13070" max="13070" width="13.28515625" bestFit="1" customWidth="1"/>
    <col min="13314" max="13314" width="13.42578125" customWidth="1"/>
    <col min="13315" max="13315" width="13.28515625" bestFit="1" customWidth="1"/>
    <col min="13316" max="13316" width="17.28515625" customWidth="1"/>
    <col min="13317" max="13317" width="12.7109375" customWidth="1"/>
    <col min="13318" max="13318" width="13.28515625" bestFit="1" customWidth="1"/>
    <col min="13319" max="13319" width="12.140625" customWidth="1"/>
    <col min="13320" max="13320" width="16.42578125" customWidth="1"/>
    <col min="13321" max="13321" width="11.7109375" bestFit="1" customWidth="1"/>
    <col min="13322" max="13322" width="13.7109375" customWidth="1"/>
    <col min="13323" max="13323" width="12" customWidth="1"/>
    <col min="13324" max="13324" width="11.7109375" bestFit="1" customWidth="1"/>
    <col min="13326" max="13326" width="13.28515625" bestFit="1" customWidth="1"/>
    <col min="13570" max="13570" width="13.42578125" customWidth="1"/>
    <col min="13571" max="13571" width="13.28515625" bestFit="1" customWidth="1"/>
    <col min="13572" max="13572" width="17.28515625" customWidth="1"/>
    <col min="13573" max="13573" width="12.7109375" customWidth="1"/>
    <col min="13574" max="13574" width="13.28515625" bestFit="1" customWidth="1"/>
    <col min="13575" max="13575" width="12.140625" customWidth="1"/>
    <col min="13576" max="13576" width="16.42578125" customWidth="1"/>
    <col min="13577" max="13577" width="11.7109375" bestFit="1" customWidth="1"/>
    <col min="13578" max="13578" width="13.7109375" customWidth="1"/>
    <col min="13579" max="13579" width="12" customWidth="1"/>
    <col min="13580" max="13580" width="11.7109375" bestFit="1" customWidth="1"/>
    <col min="13582" max="13582" width="13.28515625" bestFit="1" customWidth="1"/>
    <col min="13826" max="13826" width="13.42578125" customWidth="1"/>
    <col min="13827" max="13827" width="13.28515625" bestFit="1" customWidth="1"/>
    <col min="13828" max="13828" width="17.28515625" customWidth="1"/>
    <col min="13829" max="13829" width="12.7109375" customWidth="1"/>
    <col min="13830" max="13830" width="13.28515625" bestFit="1" customWidth="1"/>
    <col min="13831" max="13831" width="12.140625" customWidth="1"/>
    <col min="13832" max="13832" width="16.42578125" customWidth="1"/>
    <col min="13833" max="13833" width="11.7109375" bestFit="1" customWidth="1"/>
    <col min="13834" max="13834" width="13.7109375" customWidth="1"/>
    <col min="13835" max="13835" width="12" customWidth="1"/>
    <col min="13836" max="13836" width="11.7109375" bestFit="1" customWidth="1"/>
    <col min="13838" max="13838" width="13.28515625" bestFit="1" customWidth="1"/>
    <col min="14082" max="14082" width="13.42578125" customWidth="1"/>
    <col min="14083" max="14083" width="13.28515625" bestFit="1" customWidth="1"/>
    <col min="14084" max="14084" width="17.28515625" customWidth="1"/>
    <col min="14085" max="14085" width="12.7109375" customWidth="1"/>
    <col min="14086" max="14086" width="13.28515625" bestFit="1" customWidth="1"/>
    <col min="14087" max="14087" width="12.140625" customWidth="1"/>
    <col min="14088" max="14088" width="16.42578125" customWidth="1"/>
    <col min="14089" max="14089" width="11.7109375" bestFit="1" customWidth="1"/>
    <col min="14090" max="14090" width="13.7109375" customWidth="1"/>
    <col min="14091" max="14091" width="12" customWidth="1"/>
    <col min="14092" max="14092" width="11.7109375" bestFit="1" customWidth="1"/>
    <col min="14094" max="14094" width="13.28515625" bestFit="1" customWidth="1"/>
    <col min="14338" max="14338" width="13.42578125" customWidth="1"/>
    <col min="14339" max="14339" width="13.28515625" bestFit="1" customWidth="1"/>
    <col min="14340" max="14340" width="17.28515625" customWidth="1"/>
    <col min="14341" max="14341" width="12.7109375" customWidth="1"/>
    <col min="14342" max="14342" width="13.28515625" bestFit="1" customWidth="1"/>
    <col min="14343" max="14343" width="12.140625" customWidth="1"/>
    <col min="14344" max="14344" width="16.42578125" customWidth="1"/>
    <col min="14345" max="14345" width="11.7109375" bestFit="1" customWidth="1"/>
    <col min="14346" max="14346" width="13.7109375" customWidth="1"/>
    <col min="14347" max="14347" width="12" customWidth="1"/>
    <col min="14348" max="14348" width="11.7109375" bestFit="1" customWidth="1"/>
    <col min="14350" max="14350" width="13.28515625" bestFit="1" customWidth="1"/>
    <col min="14594" max="14594" width="13.42578125" customWidth="1"/>
    <col min="14595" max="14595" width="13.28515625" bestFit="1" customWidth="1"/>
    <col min="14596" max="14596" width="17.28515625" customWidth="1"/>
    <col min="14597" max="14597" width="12.7109375" customWidth="1"/>
    <col min="14598" max="14598" width="13.28515625" bestFit="1" customWidth="1"/>
    <col min="14599" max="14599" width="12.140625" customWidth="1"/>
    <col min="14600" max="14600" width="16.42578125" customWidth="1"/>
    <col min="14601" max="14601" width="11.7109375" bestFit="1" customWidth="1"/>
    <col min="14602" max="14602" width="13.7109375" customWidth="1"/>
    <col min="14603" max="14603" width="12" customWidth="1"/>
    <col min="14604" max="14604" width="11.7109375" bestFit="1" customWidth="1"/>
    <col min="14606" max="14606" width="13.28515625" bestFit="1" customWidth="1"/>
    <col min="14850" max="14850" width="13.42578125" customWidth="1"/>
    <col min="14851" max="14851" width="13.28515625" bestFit="1" customWidth="1"/>
    <col min="14852" max="14852" width="17.28515625" customWidth="1"/>
    <col min="14853" max="14853" width="12.7109375" customWidth="1"/>
    <col min="14854" max="14854" width="13.28515625" bestFit="1" customWidth="1"/>
    <col min="14855" max="14855" width="12.140625" customWidth="1"/>
    <col min="14856" max="14856" width="16.42578125" customWidth="1"/>
    <col min="14857" max="14857" width="11.7109375" bestFit="1" customWidth="1"/>
    <col min="14858" max="14858" width="13.7109375" customWidth="1"/>
    <col min="14859" max="14859" width="12" customWidth="1"/>
    <col min="14860" max="14860" width="11.7109375" bestFit="1" customWidth="1"/>
    <col min="14862" max="14862" width="13.28515625" bestFit="1" customWidth="1"/>
    <col min="15106" max="15106" width="13.42578125" customWidth="1"/>
    <col min="15107" max="15107" width="13.28515625" bestFit="1" customWidth="1"/>
    <col min="15108" max="15108" width="17.28515625" customWidth="1"/>
    <col min="15109" max="15109" width="12.7109375" customWidth="1"/>
    <col min="15110" max="15110" width="13.28515625" bestFit="1" customWidth="1"/>
    <col min="15111" max="15111" width="12.140625" customWidth="1"/>
    <col min="15112" max="15112" width="16.42578125" customWidth="1"/>
    <col min="15113" max="15113" width="11.7109375" bestFit="1" customWidth="1"/>
    <col min="15114" max="15114" width="13.7109375" customWidth="1"/>
    <col min="15115" max="15115" width="12" customWidth="1"/>
    <col min="15116" max="15116" width="11.7109375" bestFit="1" customWidth="1"/>
    <col min="15118" max="15118" width="13.28515625" bestFit="1" customWidth="1"/>
    <col min="15362" max="15362" width="13.42578125" customWidth="1"/>
    <col min="15363" max="15363" width="13.28515625" bestFit="1" customWidth="1"/>
    <col min="15364" max="15364" width="17.28515625" customWidth="1"/>
    <col min="15365" max="15365" width="12.7109375" customWidth="1"/>
    <col min="15366" max="15366" width="13.28515625" bestFit="1" customWidth="1"/>
    <col min="15367" max="15367" width="12.140625" customWidth="1"/>
    <col min="15368" max="15368" width="16.42578125" customWidth="1"/>
    <col min="15369" max="15369" width="11.7109375" bestFit="1" customWidth="1"/>
    <col min="15370" max="15370" width="13.7109375" customWidth="1"/>
    <col min="15371" max="15371" width="12" customWidth="1"/>
    <col min="15372" max="15372" width="11.7109375" bestFit="1" customWidth="1"/>
    <col min="15374" max="15374" width="13.28515625" bestFit="1" customWidth="1"/>
    <col min="15618" max="15618" width="13.42578125" customWidth="1"/>
    <col min="15619" max="15619" width="13.28515625" bestFit="1" customWidth="1"/>
    <col min="15620" max="15620" width="17.28515625" customWidth="1"/>
    <col min="15621" max="15621" width="12.7109375" customWidth="1"/>
    <col min="15622" max="15622" width="13.28515625" bestFit="1" customWidth="1"/>
    <col min="15623" max="15623" width="12.140625" customWidth="1"/>
    <col min="15624" max="15624" width="16.42578125" customWidth="1"/>
    <col min="15625" max="15625" width="11.7109375" bestFit="1" customWidth="1"/>
    <col min="15626" max="15626" width="13.7109375" customWidth="1"/>
    <col min="15627" max="15627" width="12" customWidth="1"/>
    <col min="15628" max="15628" width="11.7109375" bestFit="1" customWidth="1"/>
    <col min="15630" max="15630" width="13.28515625" bestFit="1" customWidth="1"/>
    <col min="15874" max="15874" width="13.42578125" customWidth="1"/>
    <col min="15875" max="15875" width="13.28515625" bestFit="1" customWidth="1"/>
    <col min="15876" max="15876" width="17.28515625" customWidth="1"/>
    <col min="15877" max="15877" width="12.7109375" customWidth="1"/>
    <col min="15878" max="15878" width="13.28515625" bestFit="1" customWidth="1"/>
    <col min="15879" max="15879" width="12.140625" customWidth="1"/>
    <col min="15880" max="15880" width="16.42578125" customWidth="1"/>
    <col min="15881" max="15881" width="11.7109375" bestFit="1" customWidth="1"/>
    <col min="15882" max="15882" width="13.7109375" customWidth="1"/>
    <col min="15883" max="15883" width="12" customWidth="1"/>
    <col min="15884" max="15884" width="11.7109375" bestFit="1" customWidth="1"/>
    <col min="15886" max="15886" width="13.28515625" bestFit="1" customWidth="1"/>
    <col min="16130" max="16130" width="13.42578125" customWidth="1"/>
    <col min="16131" max="16131" width="13.28515625" bestFit="1" customWidth="1"/>
    <col min="16132" max="16132" width="17.28515625" customWidth="1"/>
    <col min="16133" max="16133" width="12.7109375" customWidth="1"/>
    <col min="16134" max="16134" width="13.28515625" bestFit="1" customWidth="1"/>
    <col min="16135" max="16135" width="12.140625" customWidth="1"/>
    <col min="16136" max="16136" width="16.42578125" customWidth="1"/>
    <col min="16137" max="16137" width="11.7109375" bestFit="1" customWidth="1"/>
    <col min="16138" max="16138" width="13.7109375" customWidth="1"/>
    <col min="16139" max="16139" width="12" customWidth="1"/>
    <col min="16140" max="16140" width="11.7109375" bestFit="1" customWidth="1"/>
    <col min="16142" max="16142" width="13.28515625" bestFit="1" customWidth="1"/>
  </cols>
  <sheetData>
    <row r="3" spans="2:6" ht="15.75" x14ac:dyDescent="0.25">
      <c r="B3" s="384" t="s">
        <v>142</v>
      </c>
      <c r="C3" s="384"/>
      <c r="D3" s="384"/>
      <c r="E3" s="384"/>
      <c r="F3" s="384"/>
    </row>
    <row r="4" spans="2:6" x14ac:dyDescent="0.25">
      <c r="B4" s="6" t="s">
        <v>34</v>
      </c>
      <c r="C4" s="398" t="s">
        <v>35</v>
      </c>
      <c r="D4" s="398"/>
      <c r="E4" s="398" t="s">
        <v>29</v>
      </c>
      <c r="F4" s="398"/>
    </row>
    <row r="5" spans="2:6" x14ac:dyDescent="0.25">
      <c r="B5" s="10" t="s">
        <v>134</v>
      </c>
      <c r="C5" s="391">
        <f>SUMIF('Financiamiento(N)'!K10:K14,"Art. 66 Inc. 1 - TRES PRESUP.",'Financiamiento(N)'!I10:I14)</f>
        <v>0</v>
      </c>
      <c r="D5" s="391"/>
      <c r="E5" s="392" t="e">
        <f>(C5*100)/$C$17</f>
        <v>#DIV/0!</v>
      </c>
      <c r="F5" s="392"/>
    </row>
    <row r="6" spans="2:6" x14ac:dyDescent="0.25">
      <c r="B6" s="11" t="s">
        <v>124</v>
      </c>
      <c r="C6" s="395">
        <f>SUMIF('Financiamiento(N)'!K10:K14,"Art. 66 Inc. 2 - CONC. SOBRE CERRADO",'Financiamiento(N)'!I10:I14)</f>
        <v>0</v>
      </c>
      <c r="D6" s="395"/>
      <c r="E6" s="396" t="e">
        <f t="shared" ref="E6:E15" si="0">(C6*100)/$C$17</f>
        <v>#DIV/0!</v>
      </c>
      <c r="F6" s="396"/>
    </row>
    <row r="7" spans="2:6" x14ac:dyDescent="0.25">
      <c r="B7" s="10" t="s">
        <v>125</v>
      </c>
      <c r="C7" s="391">
        <f>SUMIF('Financiamiento(N)'!K10:K14,"Art. 66 Inc. 3 - LICITACIÓN",'Financiamiento(N)'!I10:I14)</f>
        <v>0</v>
      </c>
      <c r="D7" s="391"/>
      <c r="E7" s="392" t="e">
        <f t="shared" si="0"/>
        <v>#DIV/0!</v>
      </c>
      <c r="F7" s="392"/>
    </row>
    <row r="8" spans="2:6" x14ac:dyDescent="0.25">
      <c r="B8" s="11" t="s">
        <v>127</v>
      </c>
      <c r="C8" s="395">
        <f>SUMIF('Financiamiento(N)'!K10:K14,"Art. 66 Inc. 4 - L ICITACIÓN",'Financiamiento(N)'!I10:I14)</f>
        <v>0</v>
      </c>
      <c r="D8" s="395"/>
      <c r="E8" s="396" t="e">
        <f t="shared" si="0"/>
        <v>#DIV/0!</v>
      </c>
      <c r="F8" s="396"/>
    </row>
    <row r="9" spans="2:6" x14ac:dyDescent="0.25">
      <c r="B9" s="10" t="s">
        <v>126</v>
      </c>
      <c r="C9" s="391">
        <f>SUMIF('Financiamiento(N)'!K10:K14,"Art. 67 Inc. 1 - COMPRA DIRECTA",'Financiamiento(N)'!I10:I14)</f>
        <v>0</v>
      </c>
      <c r="D9" s="391"/>
      <c r="E9" s="392" t="e">
        <f t="shared" si="0"/>
        <v>#DIV/0!</v>
      </c>
      <c r="F9" s="392"/>
    </row>
    <row r="10" spans="2:6" x14ac:dyDescent="0.25">
      <c r="B10" s="11" t="s">
        <v>128</v>
      </c>
      <c r="C10" s="395">
        <f>SUMIF('Financiamiento(N)'!K10:K14,"Art. 67 Inc. 2 - EXCLUSIVIDAD",'Financiamiento(N)'!I10:I14)</f>
        <v>0</v>
      </c>
      <c r="D10" s="395"/>
      <c r="E10" s="396" t="e">
        <f t="shared" si="0"/>
        <v>#DIV/0!</v>
      </c>
      <c r="F10" s="396"/>
    </row>
    <row r="11" spans="2:6" x14ac:dyDescent="0.25">
      <c r="B11" s="10" t="s">
        <v>129</v>
      </c>
      <c r="C11" s="391">
        <f>SUMIF('Financiamiento(N)'!K10:K14,"Art. 67 Inc. 3 - 2 LIC. FRACASADAS",'Financiamiento(N)'!I10:I14)</f>
        <v>0</v>
      </c>
      <c r="D11" s="391"/>
      <c r="E11" s="392" t="e">
        <f t="shared" si="0"/>
        <v>#DIV/0!</v>
      </c>
      <c r="F11" s="392"/>
    </row>
    <row r="12" spans="2:6" x14ac:dyDescent="0.25">
      <c r="B12" s="11" t="s">
        <v>130</v>
      </c>
      <c r="C12" s="395">
        <f>SUMIF('Financiamiento(N)'!K10:K14,"Art. 67 Inc. 4 - URG/EMERGENCIA",'Financiamiento(N)'!I10:I14)</f>
        <v>0</v>
      </c>
      <c r="D12" s="395"/>
      <c r="E12" s="396" t="e">
        <f t="shared" si="0"/>
        <v>#DIV/0!</v>
      </c>
      <c r="F12" s="396"/>
    </row>
    <row r="13" spans="2:6" x14ac:dyDescent="0.25">
      <c r="B13" s="10" t="s">
        <v>131</v>
      </c>
      <c r="C13" s="391">
        <f>SUMIF('Financiamiento(N)'!K10:K14,"Art. 67 Inc. 5 - EXAMEN PREVIO",'Financiamiento(N)'!I10:I14)</f>
        <v>0</v>
      </c>
      <c r="D13" s="391"/>
      <c r="E13" s="392" t="e">
        <f t="shared" si="0"/>
        <v>#DIV/0!</v>
      </c>
      <c r="F13" s="392"/>
    </row>
    <row r="14" spans="2:6" x14ac:dyDescent="0.25">
      <c r="B14" s="11" t="s">
        <v>132</v>
      </c>
      <c r="C14" s="395">
        <f>SUMIF('Financiamiento(N)'!K10:K14,"Art. 67 Inc. 6 - CONT. CON UNIV. NAC",'Financiamiento(N)'!I10:I14)</f>
        <v>0</v>
      </c>
      <c r="D14" s="395"/>
      <c r="E14" s="396" t="e">
        <f t="shared" si="0"/>
        <v>#DIV/0!</v>
      </c>
      <c r="F14" s="396"/>
    </row>
    <row r="15" spans="2:6" x14ac:dyDescent="0.25">
      <c r="B15" s="10" t="s">
        <v>133</v>
      </c>
      <c r="C15" s="391">
        <f>SUMIF('Financiamiento(N)'!K10:K14,"Art. 67 Inc. 7 - CONTR. ORG MUN/PROV/NAC",'Financiamiento(N)'!I10:I14)</f>
        <v>0</v>
      </c>
      <c r="D15" s="391"/>
      <c r="E15" s="392" t="e">
        <f t="shared" si="0"/>
        <v>#DIV/0!</v>
      </c>
      <c r="F15" s="392"/>
    </row>
    <row r="16" spans="2:6" ht="15.75" thickBot="1" x14ac:dyDescent="0.3"/>
    <row r="17" spans="2:13" x14ac:dyDescent="0.25">
      <c r="B17" s="12" t="s">
        <v>26</v>
      </c>
      <c r="C17" s="397">
        <f>SUM(C5:D16)</f>
        <v>0</v>
      </c>
      <c r="D17" s="397"/>
      <c r="E17" s="393" t="e">
        <f>SUM(E5:F16)</f>
        <v>#DIV/0!</v>
      </c>
      <c r="F17" s="393"/>
      <c r="H17" s="30"/>
    </row>
    <row r="19" spans="2:13" x14ac:dyDescent="0.25">
      <c r="B19" s="394" t="s">
        <v>36</v>
      </c>
      <c r="C19" s="394"/>
      <c r="D19" s="13" t="str">
        <f>IF(C17='Financiamiento(N)'!I15,"OK","ERROR")</f>
        <v>OK</v>
      </c>
    </row>
    <row r="22" spans="2:13" ht="15.75" x14ac:dyDescent="0.25">
      <c r="B22" s="384" t="s">
        <v>143</v>
      </c>
      <c r="C22" s="384"/>
      <c r="D22" s="384"/>
      <c r="E22" s="384"/>
      <c r="F22" s="384"/>
      <c r="G22" s="384"/>
      <c r="H22" s="384"/>
      <c r="I22" s="384"/>
      <c r="J22" s="384"/>
      <c r="K22" s="384"/>
      <c r="L22" s="384"/>
      <c r="M22" s="384"/>
    </row>
    <row r="23" spans="2:13" ht="12.75" customHeight="1" x14ac:dyDescent="0.25">
      <c r="B23" s="11" t="s">
        <v>37</v>
      </c>
      <c r="C23" s="28" t="s">
        <v>15</v>
      </c>
      <c r="D23" s="28" t="s">
        <v>16</v>
      </c>
      <c r="E23" s="28" t="s">
        <v>7</v>
      </c>
      <c r="F23" s="28" t="s">
        <v>8</v>
      </c>
      <c r="G23" s="28" t="s">
        <v>22</v>
      </c>
      <c r="H23" s="28" t="s">
        <v>17</v>
      </c>
      <c r="I23" s="28" t="s">
        <v>20</v>
      </c>
      <c r="J23" s="28" t="s">
        <v>24</v>
      </c>
      <c r="K23" s="28" t="s">
        <v>23</v>
      </c>
      <c r="L23" s="28" t="s">
        <v>2</v>
      </c>
      <c r="M23" s="28" t="s">
        <v>146</v>
      </c>
    </row>
    <row r="24" spans="2:13" ht="12.75" customHeight="1" x14ac:dyDescent="0.25">
      <c r="B24" s="10" t="s">
        <v>134</v>
      </c>
      <c r="C24" s="25">
        <f>SUMIFS('Financiamiento(N)'!I10:I14,'Financiamiento(N)'!G10:G14,"Bs. Consumo",'Financiamiento(N)'!K10:K14,"Art. 66 Inc. 1 - TRES PRESUP.")</f>
        <v>0</v>
      </c>
      <c r="D24" s="25">
        <f>SUMIFS('Financiamiento(N)'!I10:I14,'Financiamiento(N)'!G10:G14,"Gs. Institucionales",'Financiamiento(N)'!K10:K14,"Art. 66 Inc. 1 - TRES PRESUP.")</f>
        <v>0</v>
      </c>
      <c r="E24" s="25">
        <f>SUMIFS('Financiamiento(N)'!I10:I14,'Financiamiento(N)'!G10:G14,"Gs. Mant. Ed.",'Financiamiento(N)'!K10:K14,"Art. 66 Inc. 1 - TRES PRESUP.")</f>
        <v>0</v>
      </c>
      <c r="F24" s="25">
        <f>SUMIFS('Financiamiento(N)'!I10:I14,'Financiamiento(N)'!G10:G14,"Gs. Mant. Eq.",'Financiamiento(N)'!K10:K14,"Art. 66 Inc. 1 - TRES PRESUP.")</f>
        <v>0</v>
      </c>
      <c r="G24" s="25">
        <f>SUMIFS('Financiamiento(N)'!I10:I14,'Financiamiento(N)'!G10:G14,"Otros Gastos",'Financiamiento(N)'!K10:K14,"Art. 66 Inc. 1 - TRES PRESUP.")</f>
        <v>0</v>
      </c>
      <c r="H24" s="25">
        <f>SUMIFS('Financiamiento(N)'!I10:I14,'Financiamiento(N)'!G10:G14,"Pasajes y Viáticos",'Financiamiento(N)'!K10:K14,"Art. 66 Inc. 1 - TRES PRESUP.")</f>
        <v>0</v>
      </c>
      <c r="I24" s="25">
        <f>SUMIFS('Financiamiento(N)'!I10:I14,'Financiamiento(N)'!G10:G14,"Seguros",'Financiamiento(N)'!K10:K14,"Art. 66 Inc. 1 - TRES PRESUP.")</f>
        <v>0</v>
      </c>
      <c r="J24" s="25">
        <f>SUMIFS('Financiamiento(N)'!I10:I14,'Financiamiento(N)'!G10:G14,"Serv. 3 No Pe.",'Financiamiento(N)'!K10:K14,"Art. 66 Inc. 1 - TRES PRESUP.")</f>
        <v>0</v>
      </c>
      <c r="K24" s="25">
        <f>SUMIFS('Financiamiento(N)'!I10:I14,'Financiamiento(N)'!G10:G14,"Serv. Básicos",'Financiamiento(N)'!K10:K14,"Art. 66 Inc. 1 - TRES PRESUP.")</f>
        <v>0</v>
      </c>
      <c r="L24" s="25">
        <f>SUMIFS('Financiamiento(N)'!I10:I14,'Financiamiento(N)'!G10:G14,"Equipamiento",'Financiamiento(N)'!K10:K14,"Art. 66 Inc. 1 - TRES PRESUP.")</f>
        <v>0</v>
      </c>
      <c r="M24" s="25">
        <v>0</v>
      </c>
    </row>
    <row r="25" spans="2:13" ht="12.75" customHeight="1" x14ac:dyDescent="0.25">
      <c r="B25" s="11" t="s">
        <v>124</v>
      </c>
      <c r="C25" s="26">
        <f>SUMIFS('Financiamiento(N)'!I10:I14,'Financiamiento(N)'!G10:G14,"Bs. Consumo",'Financiamiento(N)'!K10:K14,"Art. 66 Inc. 2 - CONC. SOBRE CERRADO")</f>
        <v>0</v>
      </c>
      <c r="D25" s="26">
        <f>SUMIFS('Financiamiento(N)'!I10:I14,'Financiamiento(N)'!G10:G14,"Gs. Institucionales",'Financiamiento(N)'!K10:K14,"Art. 66 Inc. 2 - CONC. SOBRE CERRADO")</f>
        <v>0</v>
      </c>
      <c r="E25" s="26">
        <f>SUMIFS('Financiamiento(N)'!I10:I14,'Financiamiento(N)'!G10:G14,"Gs. Mant. Ed.",'Financiamiento(N)'!K10:K14,"Art. 66 Inc. 2 - CONC. SOBRE CERRADO")</f>
        <v>0</v>
      </c>
      <c r="F25" s="26">
        <f>SUMIFS('Financiamiento(N)'!I10:I14,'Financiamiento(N)'!G10:G14,"Gs. Mant. Eq.",'Financiamiento(N)'!K10:K14,"Art. 66 Inc. 2 - CONC. SOBRE CERRADO")</f>
        <v>0</v>
      </c>
      <c r="G25" s="26">
        <f>SUMIFS('Financiamiento(N)'!I10:I14,'Financiamiento(N)'!G10:G14,"Otros Gastos",'Financiamiento(N)'!K10:K14,"Art. 66 Inc. 2 - CONC. SOBRE CERRADO")</f>
        <v>0</v>
      </c>
      <c r="H25" s="26">
        <f>SUMIFS('Financiamiento(N)'!I10:I14,'Financiamiento(N)'!G10:G14,"Pasajes y Viáticos",'Financiamiento(N)'!K10:K14,"Art. 66 Inc. 2 - CONC. SOBRE CERRADO")</f>
        <v>0</v>
      </c>
      <c r="I25" s="26">
        <f>SUMIFS('Financiamiento(N)'!I10:I14,'Financiamiento(N)'!G10:G14,"Seguros",'Financiamiento(N)'!K10:K14,"Art. 66 Inc. 2 - CONC. SOBRE CERRADO")</f>
        <v>0</v>
      </c>
      <c r="J25" s="26">
        <f>SUMIFS('Financiamiento(N)'!I10:I14,'Financiamiento(N)'!G10:G14,"Serv. 3 No Pe.",'Financiamiento(N)'!K10:K14,"Art. 66 Inc. 2 - CONC. SOBRE CERRADO")</f>
        <v>0</v>
      </c>
      <c r="K25" s="26">
        <f>SUMIFS('Financiamiento(N)'!I10:I14,'Financiamiento(N)'!G10:G14,"Serv. Básicos",'Financiamiento(N)'!K10:K14,"Art. 66 Inc. 2 - CONC. SOBRE CERRADO")</f>
        <v>0</v>
      </c>
      <c r="L25" s="26">
        <f>SUMIFS('Financiamiento(N)'!I10:I14,'Financiamiento(N)'!G10:G14,"Equipamiento",'Financiamiento(N)'!K10:K14,"Art. 66 Inc. 2 - CONC. SOBRE CERRADO")</f>
        <v>0</v>
      </c>
      <c r="M25" s="26">
        <v>0</v>
      </c>
    </row>
    <row r="26" spans="2:13" x14ac:dyDescent="0.25">
      <c r="B26" s="10" t="s">
        <v>125</v>
      </c>
      <c r="C26" s="25">
        <f>SUMIFS('Financiamiento(N)'!I10:I14,'Financiamiento(N)'!G10:G14,"Bs. Consumo",'Financiamiento(N)'!K10:K14,"Art. 66 Inc. 3 - LICITACIÓN")</f>
        <v>0</v>
      </c>
      <c r="D26" s="25">
        <f>SUMIFS('Financiamiento(N)'!I10:I14,'Financiamiento(N)'!G10:G14,"Gs. Institucionales",'Financiamiento(N)'!K10:K14,"Art. 66 Inc. 3 - LICITACIÓN")</f>
        <v>0</v>
      </c>
      <c r="E26" s="25">
        <f>SUMIFS('Financiamiento(N)'!I10:I14,'Financiamiento(N)'!G10:G14,"Gs. Mant. Ed.",'Financiamiento(N)'!K10:K14,"Art. 66 Inc. 3 - LICITACIÓN")</f>
        <v>0</v>
      </c>
      <c r="F26" s="25">
        <f>SUMIFS('Financiamiento(N)'!I10:I14,'Financiamiento(N)'!G10:G14,"Gs. Mant. Eq.",'Financiamiento(N)'!K10:K14,"Art. 66 Inc. 3 - LICITACIÓN")</f>
        <v>0</v>
      </c>
      <c r="G26" s="25">
        <f>SUMIFS('Financiamiento(N)'!I10:I14,'Financiamiento(N)'!G10:G14,"Otros Gastos",'Financiamiento(N)'!K10:K14,"Art. 66 Inc. 3 - LICITACIÓN")</f>
        <v>0</v>
      </c>
      <c r="H26" s="25">
        <f>SUMIFS('Financiamiento(N)'!I10:I14,'Financiamiento(N)'!G10:G14,"Pasajes y Viáticos",'Financiamiento(N)'!K10:K14,"Art. 66 Inc. 3 - LICITACIÓN")</f>
        <v>0</v>
      </c>
      <c r="I26" s="25">
        <f>SUMIFS('Financiamiento(N)'!I10:I14,'Financiamiento(N)'!G10:G14,"Seguros",'Financiamiento(N)'!K10:K14,"Art. 66 Inc. 3 - LICITACIÓN")</f>
        <v>0</v>
      </c>
      <c r="J26" s="25">
        <f>SUMIFS('Financiamiento(N)'!I10:I14,'Financiamiento(N)'!G10:G14,"Serv. 3 No Pe.",'Financiamiento(N)'!K10:K14,"Art. 66 Inc. 3 - LICITACIÓN")</f>
        <v>0</v>
      </c>
      <c r="K26" s="25">
        <f>SUMIFS('Financiamiento(N)'!I10:I14,'Financiamiento(N)'!G10:G14,"Serv. Básicos",'Financiamiento(N)'!K10:K14,"Art. 66 Inc. 3 - LICITACIÓN")</f>
        <v>0</v>
      </c>
      <c r="L26" s="25">
        <f>SUMIFS('Financiamiento(N)'!I10:I14,'Financiamiento(N)'!G10:G14,"Equipamiento",'Financiamiento(N)'!K10:K14,"Art. 66 Inc. 3 - LICITACIÓN")</f>
        <v>0</v>
      </c>
      <c r="M26" s="25">
        <v>0</v>
      </c>
    </row>
    <row r="27" spans="2:13" x14ac:dyDescent="0.25">
      <c r="B27" s="11" t="s">
        <v>127</v>
      </c>
      <c r="C27" s="26">
        <f>SUMIFS('Financiamiento(N)'!I10:I14,'Financiamiento(N)'!G10:G14,"Bs. Consumo",'Financiamiento(N)'!K10:K14,"Art. 66 Inc. 4 - L ICITACIÓN")</f>
        <v>0</v>
      </c>
      <c r="D27" s="26">
        <f>SUMIFS('Financiamiento(N)'!I10:I14,'Financiamiento(N)'!G10:G14,"Gs. Institucionales",'Financiamiento(N)'!K10:K14,"Art. 66 Inc. 4 - L ICITACIÓN")</f>
        <v>0</v>
      </c>
      <c r="E27" s="26">
        <f>SUMIFS('Financiamiento(N)'!I10:I14,'Financiamiento(N)'!G10:G14,"Gs. Mant. Ed.",'Financiamiento(N)'!K10:K14,"Art. 66 Inc. 4 - L ICITACIÓN")</f>
        <v>0</v>
      </c>
      <c r="F27" s="26">
        <f>SUMIFS('Financiamiento(N)'!I10:I14,'Financiamiento(N)'!G10:G14,"Gs. Mant. Eq.",'Financiamiento(N)'!K10:K14,"Art. 66 Inc. 4 - L ICITACIÓN")</f>
        <v>0</v>
      </c>
      <c r="G27" s="26">
        <f>SUMIFS('Financiamiento(N)'!I10:I14,'Financiamiento(N)'!G10:G14,"Otros Gastos",'Financiamiento(N)'!K10:K14,"Art. 66 Inc. 4 - L ICITACIÓN")</f>
        <v>0</v>
      </c>
      <c r="H27" s="26">
        <f>SUMIFS('Financiamiento(N)'!I10:I14,'Financiamiento(N)'!G10:G14,"Pasajes y Viáticos",'Financiamiento(N)'!K10:K14,"Art. 66 Inc. 4 - L ICITACIÓN")</f>
        <v>0</v>
      </c>
      <c r="I27" s="26">
        <f>SUMIFS('Financiamiento(N)'!I10:I14,'Financiamiento(N)'!G10:G14,"Seguros",'Financiamiento(N)'!K10:K14,"Art. 66 Inc. 4 - L ICITACIÓN")</f>
        <v>0</v>
      </c>
      <c r="J27" s="26">
        <f>SUMIFS('Financiamiento(N)'!I10:I14,'Financiamiento(N)'!G10:G14,"Serv. 3 No Pe.",'Financiamiento(N)'!K10:K14,"Art. 66 Inc. 4 - L ICITACIÓN")</f>
        <v>0</v>
      </c>
      <c r="K27" s="26">
        <f>SUMIFS('Financiamiento(N)'!I10:I14,'Financiamiento(N)'!G10:G14,"Serv. Básicos",'Financiamiento(N)'!K10:K14,"Art. 66 Inc. 4 - L ICITACIÓN")</f>
        <v>0</v>
      </c>
      <c r="L27" s="26">
        <f>SUMIFS('Financiamiento(N)'!I10:I14,'Financiamiento(N)'!G10:G14,"Equipamiento",'Financiamiento(N)'!K10:K14,"Art. 66 Inc. 4 - L ICITACIÓN")</f>
        <v>0</v>
      </c>
      <c r="M27" s="26">
        <v>0</v>
      </c>
    </row>
    <row r="28" spans="2:13" x14ac:dyDescent="0.25">
      <c r="B28" s="10" t="s">
        <v>126</v>
      </c>
      <c r="C28" s="25">
        <f>SUMIFS('Financiamiento(N)'!I10:I14,'Financiamiento(N)'!G10:G14,"Bs. Consumo",'Financiamiento(N)'!K10:K14,"Art. 67 Inc. 1 - COMPRA DIRECTA")</f>
        <v>0</v>
      </c>
      <c r="D28" s="25">
        <f>SUMIFS('Financiamiento(N)'!I10:I14,'Financiamiento(N)'!G10:G14,"Gs. Institucionales",'Financiamiento(N)'!K10:K14,"Art. 67 Inc. 1 - COMPRA DIRECTA")</f>
        <v>0</v>
      </c>
      <c r="E28" s="25">
        <f>SUMIFS('Financiamiento(N)'!I10:I14,'Financiamiento(N)'!G10:G14,"Gs. Mant. Ed.",'Financiamiento(N)'!K10:K14,"Art. 67 Inc. 1 - COMPRA DIRECTA")</f>
        <v>0</v>
      </c>
      <c r="F28" s="25">
        <f>SUMIFS('Financiamiento(N)'!I10:I14,'Financiamiento(N)'!G10:G14,"Gs. Mant. Eq.",'Financiamiento(N)'!K10:K14,"Art. 67 Inc. 1 - COMPRA DIRECTA")</f>
        <v>0</v>
      </c>
      <c r="G28" s="25">
        <f>SUMIFS('Financiamiento(N)'!I10:I14,'Financiamiento(N)'!G10:G14,"Otros Gastos",'Financiamiento(N)'!K10:K14,"Art. 67 Inc. 1 - COMPRA DIRECTA")</f>
        <v>0</v>
      </c>
      <c r="H28" s="25">
        <f>SUMIFS('Financiamiento(N)'!I10:I14,'Financiamiento(N)'!G10:G14,"Pasajes y Viáticos",'Financiamiento(N)'!K10:K14,"Art. 67 Inc. 1 - COMPRA DIRECTA")</f>
        <v>0</v>
      </c>
      <c r="I28" s="25">
        <f>SUMIFS('Financiamiento(N)'!I10:I14,'Financiamiento(N)'!G10:G14,"Seguros",'Financiamiento(N)'!K10:K14,"Art. 67 Inc. 1 - COMPRA DIRECTA")</f>
        <v>0</v>
      </c>
      <c r="J28" s="25">
        <f>SUMIFS('Financiamiento(N)'!I10:I14,'Financiamiento(N)'!G10:G14,"Serv. 3 No Pe.",'Financiamiento(N)'!K10:K14,"Art. 67 Inc. 1 - COMPRA DIRECTA")</f>
        <v>0</v>
      </c>
      <c r="K28" s="25">
        <f>SUMIFS('Financiamiento(N)'!I10:I14,'Financiamiento(N)'!G10:G14,"Serv. Básicos",'Financiamiento(N)'!K10:K14,"Art. 67 Inc. 1 - COMPRA DIRECTA")</f>
        <v>0</v>
      </c>
      <c r="L28" s="25">
        <f>SUMIFS('Financiamiento(N)'!I10:I14,'Financiamiento(N)'!G10:G14,"Equipamiento",'Financiamiento(N)'!K10:K14,"Art. 67 Inc. 1 - COMPRA DIRECTA")</f>
        <v>0</v>
      </c>
      <c r="M28" s="25">
        <f>'Rubro-Partida'!E18</f>
        <v>0</v>
      </c>
    </row>
    <row r="29" spans="2:13" x14ac:dyDescent="0.25">
      <c r="B29" s="11" t="s">
        <v>128</v>
      </c>
      <c r="C29" s="26">
        <f>SUMIFS('Financiamiento(N)'!I10:I14,'Financiamiento(N)'!G10:G14,"Bs. Consumo",'Financiamiento(N)'!K10:K14,"Art. 67 Inc. 2 - EXCLUSIVIDAD")</f>
        <v>0</v>
      </c>
      <c r="D29" s="26">
        <f>SUMIFS('Financiamiento(N)'!I10:I14,'Financiamiento(N)'!G10:G14,"Gs. Institucionales",'Financiamiento(N)'!K10:K14,"Art. 67 Inc. 2 - EXCLUSIVIDAD")</f>
        <v>0</v>
      </c>
      <c r="E29" s="26">
        <f>SUMIFS('Financiamiento(N)'!I10:I14,'Financiamiento(N)'!G10:G14,"Gs. Mant. Ed.",'Financiamiento(N)'!K10:K14,"Art. 67 Inc. 2 - EXCLUSIVIDAD")</f>
        <v>0</v>
      </c>
      <c r="F29" s="111">
        <f>SUMIFS('Financiamiento(N)'!I10:I14,'Financiamiento(N)'!G10:G14,"Gs. Mant. Eq.",'Financiamiento(N)'!K10:K14,"Art. 67 Inc. 2 - EXCLUSIVIDAD")</f>
        <v>0</v>
      </c>
      <c r="G29" s="26">
        <f>SUMIFS('Financiamiento(N)'!I10:I14,'Financiamiento(N)'!G10:G14,"Otros Gastos",'Financiamiento(N)'!K10:K14,"Art. 67 Inc. 2 - EXCLUSIVIDAD")</f>
        <v>0</v>
      </c>
      <c r="H29" s="26">
        <f>SUMIFS('Financiamiento(N)'!I10:I14,'Financiamiento(N)'!G10:G14,"Pasajes y Viáticos",'Financiamiento(N)'!K10:K14,"Art. 67 Inc. 2 - EXCLUSIVIDAD")</f>
        <v>0</v>
      </c>
      <c r="I29" s="26">
        <f>SUMIFS('Financiamiento(N)'!I10:I14,'Financiamiento(N)'!G10:G14,"Seguros",'Financiamiento(N)'!K10:K14,"Art. 67 Inc. 2 - EXCLUSIVIDAD")</f>
        <v>0</v>
      </c>
      <c r="J29" s="26">
        <f>SUMIFS('Financiamiento(N)'!I10:I14,'Financiamiento(N)'!G10:G14,"Serv. 3 No Pe.",'Financiamiento(N)'!K10:K14,"Art. 67 Inc. 2 - EXCLUSIVIDAD")</f>
        <v>0</v>
      </c>
      <c r="K29" s="26">
        <f>SUMIFS('Financiamiento(N)'!I10:I14,'Financiamiento(N)'!G10:G14,"Serv. Básicos",'Financiamiento(N)'!K10:K14,"Art. 67 Inc. 2 - EXCLUSIVIDAD")</f>
        <v>0</v>
      </c>
      <c r="L29" s="26">
        <f>SUMIFS('Financiamiento(N)'!I10:I14,'Financiamiento(N)'!G10:G14,"Equipamiento",'Financiamiento(N)'!K10:K14,"Art. 67 Inc. 2 - EXCLUSIVIDAD")</f>
        <v>0</v>
      </c>
      <c r="M29" s="26">
        <v>0</v>
      </c>
    </row>
    <row r="30" spans="2:13" x14ac:dyDescent="0.25">
      <c r="B30" s="10" t="s">
        <v>129</v>
      </c>
      <c r="C30" s="25">
        <f>SUMIFS('Financiamiento(N)'!I10:I14,'Financiamiento(N)'!G10:G14,"Bs. Consumo",'Financiamiento(N)'!K10:K14,"Art. 67 Inc. 3 - 2 LIC. FRACASADAS")</f>
        <v>0</v>
      </c>
      <c r="D30" s="25">
        <f>SUMIFS('Financiamiento(N)'!I10:I14,'Financiamiento(N)'!G10:G14,"Gs. Institucionales",'Financiamiento(N)'!K10:K14,"Art. 67 Inc. 3 - 2 LIC. FRACASADAS")</f>
        <v>0</v>
      </c>
      <c r="E30" s="25">
        <f>SUMIFS('Financiamiento(N)'!I10:I14,'Financiamiento(N)'!G10:G14,"Gs. Mant. Ed.",'Financiamiento(N)'!K10:K14,"Art. 67 Inc. 3 - 2 LIC. FRACASADAS")</f>
        <v>0</v>
      </c>
      <c r="F30" s="25">
        <f>SUMIFS('Financiamiento(N)'!I10:I14,'Financiamiento(N)'!G10:G14,"Gs. Mant. Eq.",'Financiamiento(N)'!K10:K14,"Art. 67 Inc. 3 - 2 LIC. FRACASADAS")</f>
        <v>0</v>
      </c>
      <c r="G30" s="25">
        <f>SUMIFS('Financiamiento(N)'!I10:I14,'Financiamiento(N)'!G10:G14,"Otros Gastos",'Financiamiento(N)'!K10:K14,"Art. 67 Inc. 3 - 2 LIC. FRACASADAS")</f>
        <v>0</v>
      </c>
      <c r="H30" s="25">
        <f>SUMIFS('Financiamiento(N)'!I10:I14,'Financiamiento(N)'!G10:G14,"Pasajes y Viáticos",'Financiamiento(N)'!K10:K14,"Art. 67 Inc. 3 - 2 LIC. FRACASADAS")</f>
        <v>0</v>
      </c>
      <c r="I30" s="25">
        <f>SUMIFS('Financiamiento(N)'!I10:I14,'Financiamiento(N)'!G10:G14,"Seguros",'Financiamiento(N)'!K10:K14,"Art. 67 Inc. 3 - 2 LIC. FRACASADAS")</f>
        <v>0</v>
      </c>
      <c r="J30" s="25">
        <f>SUMIFS('Financiamiento(N)'!I10:I14,'Financiamiento(N)'!G10:G14,"Serv. 3 No Pe.",'Financiamiento(N)'!K10:K14,"Art. 67 Inc. 3 - 2 LIC. FRACASADAS")</f>
        <v>0</v>
      </c>
      <c r="K30" s="25">
        <f>SUMIFS('Financiamiento(N)'!I10:I14,'Financiamiento(N)'!G10:G14,"Serv. Básicos",'Financiamiento(N)'!K10:K14,"Art. 67 Inc. 3 - 2 LIC. FRACASADAS")</f>
        <v>0</v>
      </c>
      <c r="L30" s="25">
        <f>SUMIFS('Financiamiento(N)'!I10:I14,'Financiamiento(N)'!G10:G14,"Equipamiento",'Financiamiento(N)'!K10:K14,"Art. 67 Inc. 3 - 2 LIC. FRACASADAS")</f>
        <v>0</v>
      </c>
      <c r="M30" s="25">
        <v>0</v>
      </c>
    </row>
    <row r="31" spans="2:13" x14ac:dyDescent="0.25">
      <c r="B31" s="11" t="s">
        <v>130</v>
      </c>
      <c r="C31" s="26">
        <f>SUMIFS('Financiamiento(N)'!I10:I14,'Financiamiento(N)'!G10:G14,"Bs. Consumo",'Financiamiento(N)'!K10:K14,"Art. 67 Inc. 4 - URG/EMERGENCIA")</f>
        <v>0</v>
      </c>
      <c r="D31" s="26">
        <f>SUMIFS('Financiamiento(N)'!I10:I14,'Financiamiento(N)'!G10:G14,"Gs. Institucionales",'Financiamiento(N)'!K10:K14,"Art. 67 Inc. 4 - URG/EMERGENCIA")</f>
        <v>0</v>
      </c>
      <c r="E31" s="26">
        <f>SUMIFS('Financiamiento(N)'!I10:I14,'Financiamiento(N)'!G10:G14,"Gs. Mant. Ed.",'Financiamiento(N)'!K10:K14,"Art. 67 Inc. 4 - URG/EMERGENCIA")</f>
        <v>0</v>
      </c>
      <c r="F31" s="26">
        <f>SUMIFS('Financiamiento(N)'!I10:I14,'Financiamiento(N)'!G10:G14,"Gs. Mant. Eq.",'Financiamiento(N)'!K10:K14,"Art. 67 Inc. 4 - URG/EMERGENCIA")</f>
        <v>0</v>
      </c>
      <c r="G31" s="26">
        <f>SUMIFS('Financiamiento(N)'!I10:I14,'Financiamiento(N)'!G10:G14,"Otros Gastos",'Financiamiento(N)'!K10:K14,"Art. 67 Inc. 4 - URG/EMERGENCIA")</f>
        <v>0</v>
      </c>
      <c r="H31" s="26">
        <f>SUMIFS('Financiamiento(N)'!I10:I14,'Financiamiento(N)'!G10:G14,"Pasajes y Viáticos",'Financiamiento(N)'!K10:K14,"Art. 67 Inc. 4 - URG/EMERGENCIA")</f>
        <v>0</v>
      </c>
      <c r="I31" s="26">
        <f>SUMIFS('Financiamiento(N)'!I10:I14,'Financiamiento(N)'!G10:G14,"Seguros",'Financiamiento(N)'!K10:K14,"Art. 67 Inc. 4 - URG/EMERGENCIA")</f>
        <v>0</v>
      </c>
      <c r="J31" s="26">
        <f>SUMIFS('Financiamiento(N)'!I10:I14,'Financiamiento(N)'!G10:G14,"Serv. 3 No Pe.",'Financiamiento(N)'!K10:K14,"Art. 67 Inc. 4 - URG/EMERGENCIA")</f>
        <v>0</v>
      </c>
      <c r="K31" s="26">
        <f>SUMIFS('Financiamiento(N)'!I10:I14,'Financiamiento(N)'!G10:G14,"Serv. Básicos",'Financiamiento(N)'!K10:K14,"Art. 67 Inc. 4 - URG/EMERGENCIA")</f>
        <v>0</v>
      </c>
      <c r="L31" s="26">
        <f>SUMIFS('Financiamiento(N)'!I10:I14,'Financiamiento(N)'!G10:G14,"Equipamiento",'Financiamiento(N)'!K10:K14,"Art. 67 Inc. 4 - URG/EMERGENCIA")</f>
        <v>0</v>
      </c>
      <c r="M31" s="26">
        <v>0</v>
      </c>
    </row>
    <row r="32" spans="2:13" x14ac:dyDescent="0.25">
      <c r="B32" s="10" t="s">
        <v>131</v>
      </c>
      <c r="C32" s="25">
        <f>SUMIFS('Financiamiento(N)'!I10:I14,'Financiamiento(N)'!G10:G14,"Bs. Consumo",'Financiamiento(N)'!K10:K14,"Art. 67 Inc. 5 - EXAMEN PREVIO")</f>
        <v>0</v>
      </c>
      <c r="D32" s="25">
        <f>SUMIFS('Financiamiento(N)'!I10:I14,'Financiamiento(N)'!G10:G14,"Gs. Institucionales",'Financiamiento(N)'!K10:K14,"Art. 67 Inc. 5 - EXAMEN PREVIO")</f>
        <v>0</v>
      </c>
      <c r="E32" s="25">
        <f>SUMIFS('Financiamiento(N)'!I10:I14,'Financiamiento(N)'!G10:G14,"Gs. Mant. Ed.",'Financiamiento(N)'!K10:K14,"Art. 67 Inc. 5 - EXAMEN PREVIO")</f>
        <v>0</v>
      </c>
      <c r="F32" s="25">
        <f>SUMIFS('Financiamiento(N)'!I10:I14,'Financiamiento(N)'!G10:G14,"Gs. Mant. Eq.",'Financiamiento(N)'!K10:K14,"Art. 67 Inc. 5 - EXAMEN PREVIO")</f>
        <v>0</v>
      </c>
      <c r="G32" s="25">
        <f>SUMIFS('Financiamiento(N)'!I10:I14,'Financiamiento(N)'!G10:G14,"Otros Gastos",'Financiamiento(N)'!K10:K14,"Art. 67 Inc. 5 - EXAMEN PREVIO")</f>
        <v>0</v>
      </c>
      <c r="H32" s="25">
        <f>SUMIFS('Financiamiento(N)'!I10:I14,'Financiamiento(N)'!G10:G14,"Pasajes y Viáticos",'Financiamiento(N)'!K10:K14,"Art. 67 Inc. 5 - EXAMEN PREVIO")</f>
        <v>0</v>
      </c>
      <c r="I32" s="25">
        <f>SUMIFS('Financiamiento(N)'!I10:I14,'Financiamiento(N)'!G10:G14,"Seguros",'Financiamiento(N)'!K10:K14,"Art. 67 Inc. 5 - EXAMEN PREVIO")</f>
        <v>0</v>
      </c>
      <c r="J32" s="25">
        <f>SUMIFS('Financiamiento(N)'!I10:I14,'Financiamiento(N)'!G10:G14,"Serv. 3 No Pe.",'Financiamiento(N)'!K10:K14,"Art. 67 Inc. 5 - EXAMEN PREVIO")</f>
        <v>0</v>
      </c>
      <c r="K32" s="25">
        <f>SUMIFS('Financiamiento(N)'!I10:I14,'Financiamiento(N)'!G10:G14,"Serv. Básicos",'Financiamiento(N)'!K10:K14,"Art. 67 Inc. 5 - EXAMEN PREVIO")</f>
        <v>0</v>
      </c>
      <c r="L32" s="25">
        <f>SUMIFS('Financiamiento(N)'!I10:I14,'Financiamiento(N)'!G10:G14,"Equipamiento",'Financiamiento(N)'!K10:K14,"Art. 67 Inc. 5 - EXAMEN PREVIO")</f>
        <v>0</v>
      </c>
      <c r="M32" s="25">
        <v>0</v>
      </c>
    </row>
    <row r="33" spans="2:13" x14ac:dyDescent="0.25">
      <c r="B33" s="11" t="s">
        <v>132</v>
      </c>
      <c r="C33" s="26">
        <f>SUMIFS('Financiamiento(N)'!I10:I14,'Financiamiento(N)'!G10:G14,"Bs. Consumo",'Financiamiento(N)'!K10:K14,"Art. 67 Inc. 6 - CONT. CON UNIV. NAC")</f>
        <v>0</v>
      </c>
      <c r="D33" s="26">
        <f>SUMIFS('Financiamiento(N)'!I10:I14,'Financiamiento(N)'!G10:G14,"Gs. Institucionales",'Financiamiento(N)'!K10:K14,"Art. 67 Inc. 6 - CONT. CON UNIV. NAC")</f>
        <v>0</v>
      </c>
      <c r="E33" s="26">
        <f>SUMIFS('Financiamiento(N)'!I10:I14,'Financiamiento(N)'!G10:G14,"Gs. Mant. Ed.",'Financiamiento(N)'!K10:K14,"Art. 67 Inc. 6 - CONT. CON UNIV. NAC")</f>
        <v>0</v>
      </c>
      <c r="F33" s="26">
        <f>SUMIFS('Financiamiento(N)'!I10:I14,'Financiamiento(N)'!G10:G14,"Gs. Mant. Eq.",'Financiamiento(N)'!K10:K14,"Art. 67 Inc. 6 - CONT. CON UNIV. NAC")</f>
        <v>0</v>
      </c>
      <c r="G33" s="26">
        <f>SUMIFS('Financiamiento(N)'!I10:I14,'Financiamiento(N)'!G10:G14,"Otros Gastos",'Financiamiento(N)'!K10:K14,"Art. 67 Inc. 6 - CONT. CON UNIV. NAC")</f>
        <v>0</v>
      </c>
      <c r="H33" s="26">
        <f>SUMIFS('Financiamiento(N)'!I10:I14,'Financiamiento(N)'!G10:G14,"Pasajes y Viáticos",'Financiamiento(N)'!K10:K14,"Art. 67 Inc. 6 - CONT. CON UNIV. NAC")</f>
        <v>0</v>
      </c>
      <c r="I33" s="26">
        <f>SUMIFS('Financiamiento(N)'!I10:I14,'Financiamiento(N)'!G10:G14,"Seguros",'Financiamiento(N)'!K10:K14,"Art. 67 Inc. 6 - CONT. CON UNIV. NAC")</f>
        <v>0</v>
      </c>
      <c r="J33" s="26">
        <f>SUMIFS('Financiamiento(N)'!I10:I14,'Financiamiento(N)'!G10:G14,"Serv. 3 No Pe.",'Financiamiento(N)'!K10:K14,"Art. 67 Inc. 6 - CONT. CON UNIV. NAC")</f>
        <v>0</v>
      </c>
      <c r="K33" s="26">
        <f>SUMIFS('Financiamiento(N)'!I10:I14,'Financiamiento(N)'!G10:G14,"Serv. Básicos",'Financiamiento(N)'!K10:K14,"Art. 67 Inc. 6 - CONT. CON UNIV. NAC")</f>
        <v>0</v>
      </c>
      <c r="L33" s="26">
        <f>SUMIFS('Financiamiento(N)'!I10:I14,'Financiamiento(N)'!G10:G14,"Equipamiento",'Financiamiento(N)'!K10:K14,"Art. 67 Inc. 6 - CONT. CON UNIV. NAC")</f>
        <v>0</v>
      </c>
      <c r="M33" s="26">
        <v>0</v>
      </c>
    </row>
    <row r="34" spans="2:13" x14ac:dyDescent="0.25">
      <c r="B34" s="10" t="s">
        <v>133</v>
      </c>
      <c r="C34" s="25">
        <f>SUMIFS('Financiamiento(N)'!I10:I14,'Financiamiento(N)'!G10:G14,"Bs. Consumo",'Financiamiento(N)'!K10:K14,"Art. 67 Inc. 7 - CONTR. ORG MUN/PROV/NAC")</f>
        <v>0</v>
      </c>
      <c r="D34" s="25">
        <f>SUMIFS('Financiamiento(N)'!I10:I14,'Financiamiento(N)'!G10:G14,"Gs. Institucionales",'Financiamiento(N)'!K10:K14,"Art. 67 Inc. 7 - CONTR. ORG MUN/PROV/NAC")</f>
        <v>0</v>
      </c>
      <c r="E34" s="25">
        <f>SUMIFS('Financiamiento(N)'!I10:I14,'Financiamiento(N)'!G10:G14,"Gs. Mant. Ed.",'Financiamiento(N)'!K10:K14,"Art. 67 Inc. 7 - CONTR. ORG MUN/PROV/NAC")</f>
        <v>0</v>
      </c>
      <c r="F34" s="25">
        <f>SUMIFS('Financiamiento(N)'!I10:I14,'Financiamiento(N)'!G10:G14,"Gs. Mant. Eq.",'Financiamiento(N)'!K10:K14,"Art. 67 Inc. 7 - CONTR. ORG MUN/PROV/NAC")</f>
        <v>0</v>
      </c>
      <c r="G34" s="25">
        <f>SUMIFS('Financiamiento(N)'!I10:I14,'Financiamiento(N)'!G10:G14,"Otros Gastos",'Financiamiento(N)'!K10:K14,"Art. 67 Inc. 7 - CONTR. ORG MUN/PROV/NAC")</f>
        <v>0</v>
      </c>
      <c r="H34" s="25">
        <f>SUMIFS('Financiamiento(N)'!I10:I14,'Financiamiento(N)'!G10:G14,"Pasajes y Viáticos",'Financiamiento(N)'!K10:K14,"Art. 67 Inc. 7 - CONTR. ORG MUN/PROV/NAC")</f>
        <v>0</v>
      </c>
      <c r="I34" s="25">
        <f>SUMIFS('Financiamiento(N)'!I10:I14,'Financiamiento(N)'!G10:G14,"Seguros",'Financiamiento(N)'!K10:K14,"Art. 67 Inc. 7 - CONTR. ORG MUN/PROV/NAC")</f>
        <v>0</v>
      </c>
      <c r="J34" s="25">
        <f>SUMIFS('Financiamiento(N)'!I10:I14,'Financiamiento(N)'!G10:G14,"Serv. 3 No Pe.",'Financiamiento(N)'!K10:K14,"Art. 67 Inc. 7 - CONTR. ORG MUN/PROV/NAC")</f>
        <v>0</v>
      </c>
      <c r="K34" s="25">
        <f>SUMIFS('Financiamiento(N)'!I10:I14,'Financiamiento(N)'!G10:G14,"Serv. Básicos",'Financiamiento(N)'!K10:K14,"Art. 67 Inc. 7 - CONTR. ORG MUN/PROV/NAC")</f>
        <v>0</v>
      </c>
      <c r="L34" s="25">
        <f>SUMIFS('Financiamiento(N)'!I10:I14,'Financiamiento(N)'!G10:G14,"Equipamiento",'Financiamiento(N)'!K10:K14,"Art. 67 Inc. 7 - CONTR. ORG MUN/PROV/NAC")</f>
        <v>0</v>
      </c>
      <c r="M34" s="25">
        <v>0</v>
      </c>
    </row>
    <row r="35" spans="2:13" ht="15.75" thickBot="1" x14ac:dyDescent="0.3"/>
    <row r="36" spans="2:13" ht="15.75" thickBot="1" x14ac:dyDescent="0.3">
      <c r="B36" s="14" t="s">
        <v>26</v>
      </c>
      <c r="C36" s="27">
        <f>SUM(C24:C35)</f>
        <v>0</v>
      </c>
      <c r="D36" s="27">
        <f>SUM(D24:D35)</f>
        <v>0</v>
      </c>
      <c r="E36" s="112">
        <f t="shared" ref="E36:M36" si="1">SUM(E24:E34)</f>
        <v>0</v>
      </c>
      <c r="F36" s="112">
        <f t="shared" si="1"/>
        <v>0</v>
      </c>
      <c r="G36" s="112">
        <f t="shared" si="1"/>
        <v>0</v>
      </c>
      <c r="H36" s="112">
        <f t="shared" si="1"/>
        <v>0</v>
      </c>
      <c r="I36" s="112">
        <f t="shared" si="1"/>
        <v>0</v>
      </c>
      <c r="J36" s="112">
        <f t="shared" si="1"/>
        <v>0</v>
      </c>
      <c r="K36" s="112">
        <f t="shared" si="1"/>
        <v>0</v>
      </c>
      <c r="L36" s="113">
        <f t="shared" si="1"/>
        <v>0</v>
      </c>
      <c r="M36" s="113">
        <f t="shared" si="1"/>
        <v>0</v>
      </c>
    </row>
    <row r="37" spans="2:13" ht="15.75" thickBot="1" x14ac:dyDescent="0.3">
      <c r="G37" s="15"/>
    </row>
    <row r="38" spans="2:13" ht="15" customHeight="1" x14ac:dyDescent="0.25">
      <c r="B38" s="385" t="s">
        <v>38</v>
      </c>
      <c r="C38" s="388" t="str">
        <f>IF(C36='Rubro-Partida'!E9,"OK","ERROR")</f>
        <v>OK</v>
      </c>
      <c r="D38" s="388" t="str">
        <f>IF(D36='Rubro-Partida'!E10,"OK","ERROR")</f>
        <v>OK</v>
      </c>
      <c r="E38" s="388" t="str">
        <f>IF(E36='Rubro-Partida'!E11,"OK","ERROR")</f>
        <v>OK</v>
      </c>
      <c r="F38" s="388" t="str">
        <f>IF(F36='Rubro-Partida'!E12,"OK","ERROR")</f>
        <v>OK</v>
      </c>
      <c r="G38" s="388" t="str">
        <f>IF(G36='Rubro-Partida'!E13,"OK","ERROR")</f>
        <v>OK</v>
      </c>
      <c r="H38" s="388" t="str">
        <f>IF(H36='Rubro-Partida'!E14,"OK","ERROR")</f>
        <v>OK</v>
      </c>
      <c r="I38" s="388" t="str">
        <f>IF(I36='Rubro-Partida'!E15,"OK","ERROR")</f>
        <v>OK</v>
      </c>
      <c r="J38" s="388" t="str">
        <f>IF(J36='Rubro-Partida'!E16,"OK","ERROR")</f>
        <v>OK</v>
      </c>
      <c r="K38" s="388" t="str">
        <f>IF(K36='Rubro-Partida'!E17,"OK","ERROR")</f>
        <v>OK</v>
      </c>
      <c r="L38" s="388" t="str">
        <f>IF(L36='Rubro-Partida'!J9,"OK","ERROR")</f>
        <v>OK</v>
      </c>
      <c r="M38" s="388" t="str">
        <f>IF(M36='Rubro-Partida'!E18,"OK","ERROR")</f>
        <v>OK</v>
      </c>
    </row>
    <row r="39" spans="2:13" x14ac:dyDescent="0.25">
      <c r="B39" s="386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</row>
    <row r="40" spans="2:13" ht="15.75" thickBot="1" x14ac:dyDescent="0.3">
      <c r="B40" s="387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</row>
  </sheetData>
  <mergeCells count="41">
    <mergeCell ref="C9:D9"/>
    <mergeCell ref="E9:F9"/>
    <mergeCell ref="C10:D10"/>
    <mergeCell ref="E10:F10"/>
    <mergeCell ref="C7:D7"/>
    <mergeCell ref="E7:F7"/>
    <mergeCell ref="C8:D8"/>
    <mergeCell ref="E8:F8"/>
    <mergeCell ref="C6:D6"/>
    <mergeCell ref="E6:F6"/>
    <mergeCell ref="B3:F3"/>
    <mergeCell ref="C4:D4"/>
    <mergeCell ref="E4:F4"/>
    <mergeCell ref="C5:D5"/>
    <mergeCell ref="E5:F5"/>
    <mergeCell ref="C11:D11"/>
    <mergeCell ref="E11:F11"/>
    <mergeCell ref="E17:F17"/>
    <mergeCell ref="B19:C19"/>
    <mergeCell ref="C12:D12"/>
    <mergeCell ref="E12:F12"/>
    <mergeCell ref="C13:D13"/>
    <mergeCell ref="E13:F13"/>
    <mergeCell ref="C14:D14"/>
    <mergeCell ref="E14:F14"/>
    <mergeCell ref="C15:D15"/>
    <mergeCell ref="E15:F15"/>
    <mergeCell ref="C17:D17"/>
    <mergeCell ref="B22:M22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U100"/>
  <sheetViews>
    <sheetView topLeftCell="D1" zoomScale="55" zoomScaleNormal="55" workbookViewId="0">
      <selection activeCell="R1" sqref="R1"/>
    </sheetView>
  </sheetViews>
  <sheetFormatPr baseColWidth="10" defaultRowHeight="15" x14ac:dyDescent="0.25"/>
  <cols>
    <col min="1" max="1" width="22.7109375" bestFit="1" customWidth="1"/>
    <col min="2" max="2" width="27.28515625" bestFit="1" customWidth="1"/>
    <col min="3" max="3" width="27.28515625" style="214" customWidth="1"/>
    <col min="4" max="4" width="30.42578125" bestFit="1" customWidth="1"/>
    <col min="5" max="5" width="18.5703125" bestFit="1" customWidth="1"/>
    <col min="6" max="6" width="17.28515625" style="214" customWidth="1"/>
    <col min="7" max="7" width="30.85546875" bestFit="1" customWidth="1"/>
    <col min="8" max="8" width="16" bestFit="1" customWidth="1"/>
    <col min="10" max="10" width="22.28515625" bestFit="1" customWidth="1"/>
    <col min="11" max="11" width="13.42578125" bestFit="1" customWidth="1"/>
    <col min="12" max="12" width="47.42578125" bestFit="1" customWidth="1"/>
    <col min="13" max="13" width="11.7109375" bestFit="1" customWidth="1"/>
    <col min="15" max="15" width="20.85546875" bestFit="1" customWidth="1"/>
    <col min="16" max="16" width="14" customWidth="1"/>
    <col min="17" max="17" width="20.85546875" bestFit="1" customWidth="1"/>
    <col min="18" max="18" width="11.7109375" customWidth="1"/>
    <col min="19" max="19" width="16.7109375" bestFit="1" customWidth="1"/>
    <col min="21" max="21" width="18" bestFit="1" customWidth="1"/>
  </cols>
  <sheetData>
    <row r="1" spans="1:21" x14ac:dyDescent="0.25">
      <c r="A1" s="298" t="s">
        <v>289</v>
      </c>
      <c r="B1" t="s">
        <v>100</v>
      </c>
      <c r="D1" t="s">
        <v>101</v>
      </c>
      <c r="E1" s="298" t="s">
        <v>284</v>
      </c>
      <c r="F1" s="301"/>
      <c r="G1" s="300" t="s">
        <v>285</v>
      </c>
      <c r="H1" t="s">
        <v>102</v>
      </c>
      <c r="I1" t="s">
        <v>103</v>
      </c>
      <c r="J1" s="298" t="s">
        <v>291</v>
      </c>
      <c r="K1" t="s">
        <v>43</v>
      </c>
      <c r="L1" s="296" t="s">
        <v>286</v>
      </c>
      <c r="M1" t="s">
        <v>104</v>
      </c>
      <c r="O1" s="296" t="s">
        <v>275</v>
      </c>
      <c r="Q1" s="296" t="s">
        <v>287</v>
      </c>
      <c r="S1" s="296" t="s">
        <v>281</v>
      </c>
      <c r="U1" s="296" t="s">
        <v>293</v>
      </c>
    </row>
    <row r="2" spans="1:21" x14ac:dyDescent="0.25">
      <c r="A2" s="297" t="s">
        <v>40</v>
      </c>
      <c r="B2" t="s">
        <v>5</v>
      </c>
      <c r="D2" s="17"/>
      <c r="E2" s="297" t="s">
        <v>15</v>
      </c>
      <c r="F2" s="302"/>
      <c r="G2" s="299" t="s">
        <v>138</v>
      </c>
      <c r="H2" s="17" t="s">
        <v>25</v>
      </c>
      <c r="I2" s="17" t="s">
        <v>40</v>
      </c>
      <c r="J2" s="299" t="s">
        <v>138</v>
      </c>
      <c r="K2" s="275" t="s">
        <v>211</v>
      </c>
      <c r="L2" s="295" t="s">
        <v>123</v>
      </c>
      <c r="M2" s="17" t="s">
        <v>18</v>
      </c>
      <c r="O2" s="230" t="s">
        <v>136</v>
      </c>
      <c r="Q2" s="295" t="s">
        <v>264</v>
      </c>
      <c r="S2" s="295" t="s">
        <v>48</v>
      </c>
      <c r="U2" s="295" t="s">
        <v>213</v>
      </c>
    </row>
    <row r="3" spans="1:21" x14ac:dyDescent="0.25">
      <c r="A3" s="297" t="s">
        <v>41</v>
      </c>
      <c r="B3" t="s">
        <v>3</v>
      </c>
      <c r="D3" s="17" t="s">
        <v>3</v>
      </c>
      <c r="E3" s="297" t="s">
        <v>2</v>
      </c>
      <c r="F3" s="302"/>
      <c r="G3" s="297" t="s">
        <v>192</v>
      </c>
      <c r="H3" s="17" t="s">
        <v>6</v>
      </c>
      <c r="I3" s="17" t="s">
        <v>41</v>
      </c>
      <c r="J3" s="297" t="s">
        <v>49</v>
      </c>
      <c r="K3" s="276" t="s">
        <v>212</v>
      </c>
      <c r="L3" s="299" t="s">
        <v>138</v>
      </c>
      <c r="M3" s="17" t="s">
        <v>14</v>
      </c>
      <c r="O3" s="230" t="s">
        <v>137</v>
      </c>
      <c r="Q3" s="295" t="s">
        <v>265</v>
      </c>
      <c r="S3" s="295" t="s">
        <v>282</v>
      </c>
      <c r="U3" s="295" t="s">
        <v>214</v>
      </c>
    </row>
    <row r="4" spans="1:21" x14ac:dyDescent="0.25">
      <c r="A4" s="295" t="s">
        <v>98</v>
      </c>
      <c r="B4" t="s">
        <v>99</v>
      </c>
      <c r="D4" s="17" t="s">
        <v>5</v>
      </c>
      <c r="E4" s="297" t="s">
        <v>16</v>
      </c>
      <c r="F4" s="302"/>
      <c r="G4" s="297" t="s">
        <v>193</v>
      </c>
      <c r="H4" s="17" t="s">
        <v>4</v>
      </c>
      <c r="J4" s="297" t="s">
        <v>50</v>
      </c>
      <c r="K4" s="17"/>
      <c r="L4" s="297" t="s">
        <v>134</v>
      </c>
      <c r="M4" s="17" t="s">
        <v>21</v>
      </c>
      <c r="O4" s="230" t="s">
        <v>220</v>
      </c>
      <c r="Q4" s="295" t="s">
        <v>266</v>
      </c>
      <c r="S4" s="295" t="s">
        <v>283</v>
      </c>
      <c r="U4" s="295" t="s">
        <v>294</v>
      </c>
    </row>
    <row r="5" spans="1:21" x14ac:dyDescent="0.25">
      <c r="D5" s="17"/>
      <c r="E5" s="297" t="s">
        <v>7</v>
      </c>
      <c r="F5" s="302"/>
      <c r="G5" s="297" t="s">
        <v>194</v>
      </c>
      <c r="K5" s="17"/>
      <c r="L5" s="297" t="s">
        <v>124</v>
      </c>
      <c r="M5" s="17" t="s">
        <v>30</v>
      </c>
      <c r="O5" s="230" t="s">
        <v>105</v>
      </c>
      <c r="Q5" s="295" t="s">
        <v>267</v>
      </c>
    </row>
    <row r="6" spans="1:21" x14ac:dyDescent="0.25">
      <c r="D6" s="17" t="s">
        <v>42</v>
      </c>
      <c r="E6" s="297" t="s">
        <v>8</v>
      </c>
      <c r="F6" s="302"/>
      <c r="G6" s="297" t="s">
        <v>195</v>
      </c>
      <c r="K6" s="17"/>
      <c r="L6" s="297" t="s">
        <v>125</v>
      </c>
      <c r="M6" s="17" t="s">
        <v>19</v>
      </c>
      <c r="Q6" s="295" t="s">
        <v>268</v>
      </c>
    </row>
    <row r="7" spans="1:21" x14ac:dyDescent="0.25">
      <c r="E7" s="297" t="s">
        <v>22</v>
      </c>
      <c r="F7" s="302"/>
      <c r="G7" s="297" t="s">
        <v>188</v>
      </c>
      <c r="K7" s="17" t="s">
        <v>109</v>
      </c>
      <c r="L7" s="297" t="s">
        <v>127</v>
      </c>
      <c r="M7" s="17" t="s">
        <v>31</v>
      </c>
      <c r="Q7" s="295" t="s">
        <v>269</v>
      </c>
    </row>
    <row r="8" spans="1:21" x14ac:dyDescent="0.25">
      <c r="E8" s="297" t="s">
        <v>17</v>
      </c>
      <c r="F8" s="302"/>
      <c r="G8" s="297" t="s">
        <v>196</v>
      </c>
      <c r="H8" t="s">
        <v>18</v>
      </c>
      <c r="K8" s="17" t="s">
        <v>110</v>
      </c>
      <c r="L8" s="297" t="s">
        <v>126</v>
      </c>
      <c r="M8" s="17" t="s">
        <v>32</v>
      </c>
      <c r="Q8" s="295" t="s">
        <v>270</v>
      </c>
    </row>
    <row r="9" spans="1:21" x14ac:dyDescent="0.25">
      <c r="E9" s="297" t="s">
        <v>20</v>
      </c>
      <c r="F9" s="302"/>
      <c r="G9" s="297" t="s">
        <v>190</v>
      </c>
      <c r="H9" t="s">
        <v>25</v>
      </c>
      <c r="L9" s="297" t="s">
        <v>128</v>
      </c>
      <c r="M9" s="17" t="s">
        <v>33</v>
      </c>
      <c r="Q9" s="295" t="s">
        <v>271</v>
      </c>
    </row>
    <row r="10" spans="1:21" x14ac:dyDescent="0.25">
      <c r="E10" s="297" t="s">
        <v>23</v>
      </c>
      <c r="F10" s="302"/>
      <c r="G10" s="297" t="s">
        <v>197</v>
      </c>
      <c r="H10" t="s">
        <v>6</v>
      </c>
      <c r="L10" s="297" t="s">
        <v>129</v>
      </c>
      <c r="Q10" s="295" t="s">
        <v>272</v>
      </c>
    </row>
    <row r="11" spans="1:21" x14ac:dyDescent="0.25">
      <c r="E11" s="297" t="s">
        <v>24</v>
      </c>
      <c r="F11" s="302"/>
      <c r="G11" s="297" t="s">
        <v>198</v>
      </c>
      <c r="H11" t="s">
        <v>4</v>
      </c>
      <c r="L11" s="297" t="s">
        <v>130</v>
      </c>
      <c r="Q11" s="295" t="s">
        <v>273</v>
      </c>
    </row>
    <row r="12" spans="1:21" x14ac:dyDescent="0.25">
      <c r="E12" s="297" t="s">
        <v>146</v>
      </c>
      <c r="F12" s="302"/>
      <c r="G12" s="299" t="s">
        <v>139</v>
      </c>
      <c r="H12" t="s">
        <v>14</v>
      </c>
      <c r="L12" s="297" t="s">
        <v>131</v>
      </c>
      <c r="Q12" s="295"/>
    </row>
    <row r="13" spans="1:21" x14ac:dyDescent="0.25">
      <c r="G13" s="299" t="s">
        <v>199</v>
      </c>
      <c r="H13" t="s">
        <v>21</v>
      </c>
      <c r="L13" s="297" t="s">
        <v>132</v>
      </c>
      <c r="Q13" s="295"/>
    </row>
    <row r="14" spans="1:21" x14ac:dyDescent="0.25">
      <c r="G14" s="299" t="s">
        <v>200</v>
      </c>
      <c r="H14" t="s">
        <v>30</v>
      </c>
      <c r="L14" s="297" t="s">
        <v>133</v>
      </c>
      <c r="Q14" s="295"/>
    </row>
    <row r="15" spans="1:21" x14ac:dyDescent="0.25">
      <c r="G15" s="299" t="s">
        <v>201</v>
      </c>
      <c r="H15" t="s">
        <v>19</v>
      </c>
      <c r="Q15" s="295"/>
    </row>
    <row r="16" spans="1:21" x14ac:dyDescent="0.25">
      <c r="G16" s="299" t="s">
        <v>202</v>
      </c>
      <c r="H16" t="s">
        <v>31</v>
      </c>
      <c r="P16" s="151" t="s">
        <v>171</v>
      </c>
      <c r="Q16" s="295"/>
    </row>
    <row r="17" spans="1:17" x14ac:dyDescent="0.25">
      <c r="A17" t="s">
        <v>51</v>
      </c>
      <c r="B17" t="s">
        <v>57</v>
      </c>
      <c r="D17" t="s">
        <v>73</v>
      </c>
      <c r="E17" t="s">
        <v>48</v>
      </c>
      <c r="G17" s="295" t="s">
        <v>189</v>
      </c>
      <c r="H17" t="s">
        <v>32</v>
      </c>
      <c r="P17" s="152" t="s">
        <v>172</v>
      </c>
      <c r="Q17" s="295"/>
    </row>
    <row r="18" spans="1:17" x14ac:dyDescent="0.25">
      <c r="A18" t="s">
        <v>52</v>
      </c>
      <c r="B18" t="s">
        <v>58</v>
      </c>
      <c r="D18" t="s">
        <v>74</v>
      </c>
      <c r="E18" t="s">
        <v>97</v>
      </c>
      <c r="G18" s="295" t="s">
        <v>203</v>
      </c>
      <c r="H18" t="s">
        <v>33</v>
      </c>
      <c r="Q18" s="295"/>
    </row>
    <row r="19" spans="1:17" x14ac:dyDescent="0.25">
      <c r="A19" t="s">
        <v>53</v>
      </c>
      <c r="B19" t="s">
        <v>59</v>
      </c>
      <c r="D19" t="s">
        <v>75</v>
      </c>
      <c r="G19" s="295" t="s">
        <v>191</v>
      </c>
      <c r="Q19" s="295"/>
    </row>
    <row r="20" spans="1:17" x14ac:dyDescent="0.25">
      <c r="A20" t="s">
        <v>54</v>
      </c>
      <c r="B20" t="s">
        <v>60</v>
      </c>
      <c r="D20" t="s">
        <v>76</v>
      </c>
      <c r="G20" s="295" t="s">
        <v>204</v>
      </c>
      <c r="Q20" s="295"/>
    </row>
    <row r="21" spans="1:17" x14ac:dyDescent="0.25">
      <c r="A21" t="s">
        <v>55</v>
      </c>
      <c r="B21" t="s">
        <v>61</v>
      </c>
      <c r="D21" t="s">
        <v>77</v>
      </c>
      <c r="G21" s="295" t="s">
        <v>205</v>
      </c>
      <c r="Q21" s="295"/>
    </row>
    <row r="22" spans="1:17" x14ac:dyDescent="0.25">
      <c r="A22" t="s">
        <v>56</v>
      </c>
      <c r="B22" t="s">
        <v>62</v>
      </c>
      <c r="D22" t="s">
        <v>78</v>
      </c>
      <c r="G22" s="295" t="s">
        <v>140</v>
      </c>
      <c r="Q22" s="295"/>
    </row>
    <row r="23" spans="1:17" x14ac:dyDescent="0.25">
      <c r="B23" t="s">
        <v>63</v>
      </c>
      <c r="D23" t="s">
        <v>79</v>
      </c>
      <c r="G23" s="295" t="s">
        <v>209</v>
      </c>
      <c r="Q23" s="295"/>
    </row>
    <row r="24" spans="1:17" x14ac:dyDescent="0.25">
      <c r="B24" t="s">
        <v>64</v>
      </c>
      <c r="D24" t="s">
        <v>80</v>
      </c>
      <c r="G24" s="295" t="s">
        <v>210</v>
      </c>
      <c r="Q24" s="295"/>
    </row>
    <row r="25" spans="1:17" x14ac:dyDescent="0.25">
      <c r="B25" t="s">
        <v>65</v>
      </c>
      <c r="D25" t="s">
        <v>81</v>
      </c>
      <c r="G25" s="295" t="s">
        <v>208</v>
      </c>
      <c r="Q25" s="295"/>
    </row>
    <row r="26" spans="1:17" x14ac:dyDescent="0.25">
      <c r="B26" t="s">
        <v>66</v>
      </c>
      <c r="D26" t="s">
        <v>82</v>
      </c>
      <c r="G26" s="295" t="s">
        <v>207</v>
      </c>
      <c r="Q26" s="295"/>
    </row>
    <row r="27" spans="1:17" s="214" customFormat="1" x14ac:dyDescent="0.25">
      <c r="G27" s="295" t="s">
        <v>215</v>
      </c>
      <c r="Q27" s="295"/>
    </row>
    <row r="28" spans="1:17" s="214" customFormat="1" x14ac:dyDescent="0.25">
      <c r="G28" s="295" t="s">
        <v>216</v>
      </c>
      <c r="Q28" s="295"/>
    </row>
    <row r="29" spans="1:17" s="214" customFormat="1" x14ac:dyDescent="0.25">
      <c r="G29" s="295" t="s">
        <v>221</v>
      </c>
      <c r="Q29" s="295"/>
    </row>
    <row r="30" spans="1:17" s="214" customFormat="1" x14ac:dyDescent="0.25">
      <c r="G30" s="295" t="s">
        <v>222</v>
      </c>
      <c r="Q30" s="295"/>
    </row>
    <row r="31" spans="1:17" s="214" customFormat="1" x14ac:dyDescent="0.25">
      <c r="G31" s="295" t="s">
        <v>223</v>
      </c>
      <c r="Q31" s="295"/>
    </row>
    <row r="32" spans="1:17" s="214" customFormat="1" x14ac:dyDescent="0.25">
      <c r="G32" s="295" t="s">
        <v>224</v>
      </c>
      <c r="Q32" s="295"/>
    </row>
    <row r="33" spans="2:17" s="214" customFormat="1" x14ac:dyDescent="0.25">
      <c r="G33" s="295" t="s">
        <v>231</v>
      </c>
      <c r="Q33" s="295"/>
    </row>
    <row r="34" spans="2:17" s="214" customFormat="1" x14ac:dyDescent="0.25">
      <c r="G34" s="295" t="s">
        <v>232</v>
      </c>
      <c r="Q34" s="295"/>
    </row>
    <row r="35" spans="2:17" s="214" customFormat="1" x14ac:dyDescent="0.25">
      <c r="G35" s="295" t="s">
        <v>233</v>
      </c>
      <c r="Q35" s="295"/>
    </row>
    <row r="36" spans="2:17" s="214" customFormat="1" x14ac:dyDescent="0.25">
      <c r="G36" s="295" t="s">
        <v>234</v>
      </c>
      <c r="Q36" s="295"/>
    </row>
    <row r="37" spans="2:17" x14ac:dyDescent="0.25">
      <c r="B37" t="s">
        <v>67</v>
      </c>
      <c r="D37" t="s">
        <v>83</v>
      </c>
      <c r="G37" s="295" t="s">
        <v>137</v>
      </c>
      <c r="Q37" s="295"/>
    </row>
    <row r="38" spans="2:17" x14ac:dyDescent="0.25">
      <c r="B38" t="s">
        <v>68</v>
      </c>
      <c r="D38" t="s">
        <v>84</v>
      </c>
      <c r="G38" s="295" t="s">
        <v>136</v>
      </c>
      <c r="Q38" s="295"/>
    </row>
    <row r="39" spans="2:17" x14ac:dyDescent="0.25">
      <c r="B39" t="s">
        <v>69</v>
      </c>
      <c r="D39" t="s">
        <v>85</v>
      </c>
      <c r="G39" s="295" t="s">
        <v>105</v>
      </c>
      <c r="Q39" s="295"/>
    </row>
    <row r="40" spans="2:17" x14ac:dyDescent="0.25">
      <c r="B40" t="s">
        <v>70</v>
      </c>
      <c r="D40" t="s">
        <v>86</v>
      </c>
      <c r="Q40" s="295"/>
    </row>
    <row r="41" spans="2:17" x14ac:dyDescent="0.25">
      <c r="B41" t="s">
        <v>71</v>
      </c>
      <c r="D41" t="s">
        <v>87</v>
      </c>
      <c r="Q41" s="295"/>
    </row>
    <row r="42" spans="2:17" x14ac:dyDescent="0.25">
      <c r="B42" t="s">
        <v>72</v>
      </c>
      <c r="D42" t="s">
        <v>88</v>
      </c>
      <c r="Q42" s="295"/>
    </row>
    <row r="43" spans="2:17" x14ac:dyDescent="0.25">
      <c r="D43" t="s">
        <v>89</v>
      </c>
      <c r="Q43" s="295"/>
    </row>
    <row r="44" spans="2:17" x14ac:dyDescent="0.25">
      <c r="D44" t="s">
        <v>90</v>
      </c>
      <c r="Q44" s="295"/>
    </row>
    <row r="45" spans="2:17" x14ac:dyDescent="0.25">
      <c r="D45" t="s">
        <v>91</v>
      </c>
      <c r="Q45" s="295"/>
    </row>
    <row r="46" spans="2:17" x14ac:dyDescent="0.25">
      <c r="D46" t="s">
        <v>92</v>
      </c>
      <c r="Q46" s="295"/>
    </row>
    <row r="47" spans="2:17" x14ac:dyDescent="0.25">
      <c r="D47" t="s">
        <v>93</v>
      </c>
      <c r="Q47" s="295"/>
    </row>
    <row r="48" spans="2:17" x14ac:dyDescent="0.25">
      <c r="D48" t="s">
        <v>94</v>
      </c>
      <c r="Q48" s="295"/>
    </row>
    <row r="49" spans="4:17" x14ac:dyDescent="0.25">
      <c r="D49" t="s">
        <v>95</v>
      </c>
      <c r="Q49" s="295"/>
    </row>
    <row r="50" spans="4:17" x14ac:dyDescent="0.25">
      <c r="D50" t="s">
        <v>96</v>
      </c>
      <c r="Q50" s="295"/>
    </row>
    <row r="51" spans="4:17" x14ac:dyDescent="0.25">
      <c r="Q51" s="295"/>
    </row>
    <row r="52" spans="4:17" x14ac:dyDescent="0.25">
      <c r="Q52" s="295"/>
    </row>
    <row r="53" spans="4:17" x14ac:dyDescent="0.25">
      <c r="Q53" s="295"/>
    </row>
    <row r="54" spans="4:17" x14ac:dyDescent="0.25">
      <c r="Q54" s="295"/>
    </row>
    <row r="55" spans="4:17" x14ac:dyDescent="0.25">
      <c r="Q55" s="295"/>
    </row>
    <row r="56" spans="4:17" x14ac:dyDescent="0.25">
      <c r="Q56" s="295"/>
    </row>
    <row r="57" spans="4:17" x14ac:dyDescent="0.25">
      <c r="Q57" s="295"/>
    </row>
    <row r="58" spans="4:17" x14ac:dyDescent="0.25">
      <c r="Q58" s="295"/>
    </row>
    <row r="59" spans="4:17" x14ac:dyDescent="0.25">
      <c r="Q59" s="295"/>
    </row>
    <row r="60" spans="4:17" x14ac:dyDescent="0.25">
      <c r="Q60" s="295"/>
    </row>
    <row r="61" spans="4:17" x14ac:dyDescent="0.25">
      <c r="Q61" s="295"/>
    </row>
    <row r="62" spans="4:17" x14ac:dyDescent="0.25">
      <c r="Q62" s="295"/>
    </row>
    <row r="63" spans="4:17" x14ac:dyDescent="0.25">
      <c r="Q63" s="295"/>
    </row>
    <row r="64" spans="4:17" x14ac:dyDescent="0.25">
      <c r="Q64" s="295"/>
    </row>
    <row r="65" spans="17:17" x14ac:dyDescent="0.25">
      <c r="Q65" s="295"/>
    </row>
    <row r="66" spans="17:17" x14ac:dyDescent="0.25">
      <c r="Q66" s="295"/>
    </row>
    <row r="67" spans="17:17" x14ac:dyDescent="0.25">
      <c r="Q67" s="295"/>
    </row>
    <row r="68" spans="17:17" x14ac:dyDescent="0.25">
      <c r="Q68" s="295"/>
    </row>
    <row r="69" spans="17:17" x14ac:dyDescent="0.25">
      <c r="Q69" s="295"/>
    </row>
    <row r="70" spans="17:17" x14ac:dyDescent="0.25">
      <c r="Q70" s="295"/>
    </row>
    <row r="71" spans="17:17" x14ac:dyDescent="0.25">
      <c r="Q71" s="295"/>
    </row>
    <row r="72" spans="17:17" x14ac:dyDescent="0.25">
      <c r="Q72" s="295"/>
    </row>
    <row r="73" spans="17:17" x14ac:dyDescent="0.25">
      <c r="Q73" s="295"/>
    </row>
    <row r="74" spans="17:17" x14ac:dyDescent="0.25">
      <c r="Q74" s="295"/>
    </row>
    <row r="75" spans="17:17" x14ac:dyDescent="0.25">
      <c r="Q75" s="295"/>
    </row>
    <row r="76" spans="17:17" x14ac:dyDescent="0.25">
      <c r="Q76" s="295"/>
    </row>
    <row r="77" spans="17:17" x14ac:dyDescent="0.25">
      <c r="Q77" s="295"/>
    </row>
    <row r="78" spans="17:17" x14ac:dyDescent="0.25">
      <c r="Q78" s="295"/>
    </row>
    <row r="79" spans="17:17" x14ac:dyDescent="0.25">
      <c r="Q79" s="295"/>
    </row>
    <row r="80" spans="17:17" x14ac:dyDescent="0.25">
      <c r="Q80" s="295"/>
    </row>
    <row r="81" spans="17:17" x14ac:dyDescent="0.25">
      <c r="Q81" s="295"/>
    </row>
    <row r="82" spans="17:17" x14ac:dyDescent="0.25">
      <c r="Q82" s="295"/>
    </row>
    <row r="83" spans="17:17" x14ac:dyDescent="0.25">
      <c r="Q83" s="295"/>
    </row>
    <row r="84" spans="17:17" x14ac:dyDescent="0.25">
      <c r="Q84" s="295"/>
    </row>
    <row r="85" spans="17:17" x14ac:dyDescent="0.25">
      <c r="Q85" s="295"/>
    </row>
    <row r="86" spans="17:17" x14ac:dyDescent="0.25">
      <c r="Q86" s="295"/>
    </row>
    <row r="87" spans="17:17" x14ac:dyDescent="0.25">
      <c r="Q87" s="295"/>
    </row>
    <row r="88" spans="17:17" x14ac:dyDescent="0.25">
      <c r="Q88" s="295"/>
    </row>
    <row r="89" spans="17:17" x14ac:dyDescent="0.25">
      <c r="Q89" s="295"/>
    </row>
    <row r="90" spans="17:17" x14ac:dyDescent="0.25">
      <c r="Q90" s="295"/>
    </row>
    <row r="91" spans="17:17" x14ac:dyDescent="0.25">
      <c r="Q91" s="295"/>
    </row>
    <row r="92" spans="17:17" x14ac:dyDescent="0.25">
      <c r="Q92" s="295"/>
    </row>
    <row r="93" spans="17:17" x14ac:dyDescent="0.25">
      <c r="Q93" s="295"/>
    </row>
    <row r="94" spans="17:17" x14ac:dyDescent="0.25">
      <c r="Q94" s="295"/>
    </row>
    <row r="95" spans="17:17" x14ac:dyDescent="0.25">
      <c r="Q95" s="295"/>
    </row>
    <row r="96" spans="17:17" x14ac:dyDescent="0.25">
      <c r="Q96" s="295"/>
    </row>
    <row r="97" spans="17:17" x14ac:dyDescent="0.25">
      <c r="Q97" s="295"/>
    </row>
    <row r="98" spans="17:17" x14ac:dyDescent="0.25">
      <c r="Q98" s="295"/>
    </row>
    <row r="99" spans="17:17" x14ac:dyDescent="0.25">
      <c r="Q99" s="295"/>
    </row>
    <row r="100" spans="17:17" x14ac:dyDescent="0.25">
      <c r="Q100" s="295"/>
    </row>
  </sheetData>
  <pageMargins left="0.7" right="0.7" top="0.75" bottom="0.75" header="0.3" footer="0.3"/>
  <pageSetup paperSize="9" scale="3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P140"/>
  <sheetViews>
    <sheetView tabSelected="1" zoomScale="85" zoomScaleNormal="85" workbookViewId="0">
      <selection activeCell="D9" sqref="D9"/>
    </sheetView>
  </sheetViews>
  <sheetFormatPr baseColWidth="10" defaultRowHeight="15" x14ac:dyDescent="0.25"/>
  <cols>
    <col min="3" max="3" width="40.42578125" bestFit="1" customWidth="1"/>
    <col min="4" max="4" width="15" bestFit="1" customWidth="1"/>
    <col min="5" max="5" width="12.85546875" customWidth="1"/>
    <col min="6" max="6" width="13" bestFit="1" customWidth="1"/>
    <col min="7" max="7" width="15.85546875" customWidth="1"/>
    <col min="16" max="16" width="51.7109375" bestFit="1" customWidth="1"/>
  </cols>
  <sheetData>
    <row r="1" spans="2:16" x14ac:dyDescent="0.25">
      <c r="B1" s="73"/>
      <c r="C1" s="399" t="s">
        <v>164</v>
      </c>
      <c r="D1" s="400"/>
      <c r="E1" s="400"/>
      <c r="F1" s="400"/>
      <c r="G1" s="400"/>
      <c r="H1" s="400"/>
      <c r="I1" s="400"/>
      <c r="J1" s="400"/>
      <c r="K1" s="400"/>
      <c r="L1" s="400"/>
      <c r="M1" s="401"/>
      <c r="N1" s="74"/>
    </row>
    <row r="2" spans="2:16" ht="15.75" thickBot="1" x14ac:dyDescent="0.3">
      <c r="B2" s="75"/>
      <c r="C2" s="402"/>
      <c r="D2" s="403"/>
      <c r="E2" s="403"/>
      <c r="F2" s="403"/>
      <c r="G2" s="403"/>
      <c r="H2" s="403"/>
      <c r="I2" s="403"/>
      <c r="J2" s="403"/>
      <c r="K2" s="403"/>
      <c r="L2" s="403"/>
      <c r="M2" s="404"/>
      <c r="N2" s="76"/>
    </row>
    <row r="3" spans="2:16" ht="15.75" thickBot="1" x14ac:dyDescent="0.3">
      <c r="B3" s="75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76"/>
    </row>
    <row r="4" spans="2:16" ht="15.75" thickBot="1" x14ac:dyDescent="0.3">
      <c r="B4" s="75"/>
      <c r="C4" s="405" t="s">
        <v>112</v>
      </c>
      <c r="D4" s="406"/>
      <c r="E4" s="406"/>
      <c r="F4" s="407"/>
      <c r="G4" s="57"/>
      <c r="H4" s="57"/>
      <c r="I4" s="57"/>
      <c r="J4" s="57"/>
      <c r="K4" s="57"/>
      <c r="L4" s="57"/>
      <c r="M4" s="57"/>
      <c r="N4" s="76"/>
    </row>
    <row r="5" spans="2:16" ht="15.75" customHeight="1" thickBot="1" x14ac:dyDescent="0.3">
      <c r="B5" s="75"/>
      <c r="C5" s="61" t="s">
        <v>113</v>
      </c>
      <c r="D5" s="61" t="s">
        <v>114</v>
      </c>
      <c r="E5" s="61" t="s">
        <v>115</v>
      </c>
      <c r="F5" s="88" t="s">
        <v>119</v>
      </c>
      <c r="G5" s="57"/>
      <c r="H5" s="57"/>
      <c r="I5" s="57"/>
      <c r="J5" s="57"/>
      <c r="K5" s="57"/>
      <c r="L5" s="57"/>
      <c r="M5" s="57"/>
      <c r="N5" s="76"/>
    </row>
    <row r="6" spans="2:16" x14ac:dyDescent="0.25">
      <c r="B6" s="75"/>
      <c r="C6" s="70" t="s">
        <v>15</v>
      </c>
      <c r="D6" s="60"/>
      <c r="E6" s="84"/>
      <c r="F6" s="86"/>
      <c r="G6" s="57"/>
      <c r="H6" s="57"/>
      <c r="I6" s="57"/>
      <c r="J6" s="57"/>
      <c r="K6" s="57"/>
      <c r="L6" s="57"/>
      <c r="M6" s="57"/>
      <c r="N6" s="76"/>
    </row>
    <row r="7" spans="2:16" x14ac:dyDescent="0.25">
      <c r="B7" s="75"/>
      <c r="C7" s="62" t="s">
        <v>16</v>
      </c>
      <c r="D7" s="59"/>
      <c r="E7" s="84"/>
      <c r="F7" s="87"/>
      <c r="G7" s="57"/>
      <c r="H7" s="57"/>
      <c r="I7" s="57"/>
      <c r="J7" s="57"/>
      <c r="K7" s="57"/>
      <c r="L7" s="57"/>
      <c r="M7" s="57"/>
      <c r="N7" s="76"/>
      <c r="P7" s="58"/>
    </row>
    <row r="8" spans="2:16" x14ac:dyDescent="0.25">
      <c r="B8" s="75"/>
      <c r="C8" s="62" t="s">
        <v>7</v>
      </c>
      <c r="D8" s="59"/>
      <c r="E8" s="84"/>
      <c r="F8" s="87"/>
      <c r="G8" s="57"/>
      <c r="H8" s="57"/>
      <c r="I8" s="57"/>
      <c r="J8" s="57"/>
      <c r="K8" s="57"/>
      <c r="L8" s="57"/>
      <c r="M8" s="57"/>
      <c r="N8" s="76"/>
    </row>
    <row r="9" spans="2:16" x14ac:dyDescent="0.25">
      <c r="B9" s="75"/>
      <c r="C9" s="62" t="s">
        <v>8</v>
      </c>
      <c r="D9" s="59"/>
      <c r="E9" s="84"/>
      <c r="F9" s="87"/>
      <c r="G9" s="57"/>
      <c r="H9" s="57"/>
      <c r="I9" s="57"/>
      <c r="J9" s="57"/>
      <c r="K9" s="57"/>
      <c r="L9" s="57"/>
      <c r="M9" s="57"/>
      <c r="N9" s="76"/>
    </row>
    <row r="10" spans="2:16" x14ac:dyDescent="0.25">
      <c r="B10" s="75"/>
      <c r="C10" s="62" t="s">
        <v>22</v>
      </c>
      <c r="D10" s="59"/>
      <c r="E10" s="84"/>
      <c r="F10" s="87"/>
      <c r="G10" s="57"/>
      <c r="H10" s="57"/>
      <c r="I10" s="57"/>
      <c r="J10" s="57"/>
      <c r="K10" s="57"/>
      <c r="L10" s="57"/>
      <c r="M10" s="57"/>
      <c r="N10" s="76"/>
    </row>
    <row r="11" spans="2:16" x14ac:dyDescent="0.25">
      <c r="B11" s="75"/>
      <c r="C11" s="62" t="s">
        <v>17</v>
      </c>
      <c r="D11" s="59"/>
      <c r="E11" s="84"/>
      <c r="F11" s="87"/>
      <c r="G11" s="57"/>
      <c r="H11" s="57"/>
      <c r="I11" s="57"/>
      <c r="J11" s="57"/>
      <c r="K11" s="57"/>
      <c r="L11" s="57"/>
      <c r="M11" s="57"/>
      <c r="N11" s="76"/>
    </row>
    <row r="12" spans="2:16" x14ac:dyDescent="0.25">
      <c r="B12" s="75"/>
      <c r="C12" s="62" t="s">
        <v>20</v>
      </c>
      <c r="D12" s="59"/>
      <c r="E12" s="84"/>
      <c r="F12" s="87"/>
      <c r="G12" s="57"/>
      <c r="H12" s="57"/>
      <c r="I12" s="57"/>
      <c r="J12" s="57"/>
      <c r="K12" s="57"/>
      <c r="L12" s="57"/>
      <c r="M12" s="57"/>
      <c r="N12" s="76"/>
    </row>
    <row r="13" spans="2:16" x14ac:dyDescent="0.25">
      <c r="B13" s="75"/>
      <c r="C13" s="62" t="s">
        <v>24</v>
      </c>
      <c r="D13" s="59"/>
      <c r="E13" s="84"/>
      <c r="F13" s="87"/>
      <c r="G13" s="57"/>
      <c r="H13" s="57"/>
      <c r="I13" s="57"/>
      <c r="J13" s="57"/>
      <c r="K13" s="57"/>
      <c r="L13" s="57"/>
      <c r="M13" s="57"/>
      <c r="N13" s="76"/>
    </row>
    <row r="14" spans="2:16" x14ac:dyDescent="0.25">
      <c r="B14" s="75"/>
      <c r="C14" s="62" t="s">
        <v>23</v>
      </c>
      <c r="D14" s="59"/>
      <c r="E14" s="84"/>
      <c r="F14" s="87"/>
      <c r="G14" s="57"/>
      <c r="H14" s="57"/>
      <c r="I14" s="57"/>
      <c r="J14" s="57"/>
      <c r="K14" s="57"/>
      <c r="L14" s="57"/>
      <c r="M14" s="57"/>
      <c r="N14" s="76"/>
    </row>
    <row r="15" spans="2:16" ht="15.75" thickBot="1" x14ac:dyDescent="0.3">
      <c r="B15" s="75"/>
      <c r="C15" s="71" t="s">
        <v>2</v>
      </c>
      <c r="D15" s="80"/>
      <c r="E15" s="85"/>
      <c r="F15" s="87"/>
      <c r="G15" s="57"/>
      <c r="H15" s="57"/>
      <c r="I15" s="57"/>
      <c r="J15" s="57"/>
      <c r="K15" s="57"/>
      <c r="L15" s="57"/>
      <c r="M15" s="57"/>
      <c r="N15" s="76"/>
    </row>
    <row r="16" spans="2:16" ht="15.75" thickBot="1" x14ac:dyDescent="0.3">
      <c r="B16" s="75"/>
      <c r="C16" s="72" t="s">
        <v>26</v>
      </c>
      <c r="D16" s="82"/>
      <c r="E16" s="134"/>
      <c r="F16" s="83"/>
      <c r="G16" s="57"/>
      <c r="H16" s="57"/>
      <c r="I16" s="57"/>
      <c r="J16" s="57"/>
      <c r="K16" s="57"/>
      <c r="L16" s="57"/>
      <c r="M16" s="57"/>
      <c r="N16" s="76"/>
    </row>
    <row r="17" spans="2:14" x14ac:dyDescent="0.25">
      <c r="B17" s="75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76"/>
    </row>
    <row r="18" spans="2:14" ht="15.75" thickBot="1" x14ac:dyDescent="0.3">
      <c r="B18" s="75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76"/>
    </row>
    <row r="19" spans="2:14" ht="15.75" customHeight="1" thickBot="1" x14ac:dyDescent="0.3">
      <c r="B19" s="75"/>
      <c r="C19" s="408" t="s">
        <v>118</v>
      </c>
      <c r="D19" s="409"/>
      <c r="E19" s="409"/>
      <c r="F19" s="410"/>
      <c r="G19" s="57"/>
      <c r="H19" s="57"/>
      <c r="I19" s="57"/>
      <c r="J19" s="57"/>
      <c r="K19" s="57"/>
      <c r="L19" s="57"/>
      <c r="M19" s="57"/>
      <c r="N19" s="76"/>
    </row>
    <row r="20" spans="2:14" ht="15.75" thickBot="1" x14ac:dyDescent="0.3">
      <c r="B20" s="75"/>
      <c r="C20" s="65" t="s">
        <v>117</v>
      </c>
      <c r="D20" s="66" t="s">
        <v>114</v>
      </c>
      <c r="E20" s="67" t="s">
        <v>116</v>
      </c>
      <c r="F20" s="65" t="s">
        <v>119</v>
      </c>
      <c r="G20" s="57"/>
      <c r="H20" s="57"/>
      <c r="I20" s="57"/>
      <c r="J20" s="57"/>
      <c r="K20" s="57"/>
      <c r="L20" s="57"/>
      <c r="M20" s="57"/>
      <c r="N20" s="76"/>
    </row>
    <row r="21" spans="2:14" x14ac:dyDescent="0.25">
      <c r="B21" s="75"/>
      <c r="C21" s="64" t="str">
        <f>'Procedimientos de contratación'!B5</f>
        <v>Art. 66 Inc. 1 - TRES PRESUP.</v>
      </c>
      <c r="D21" s="60"/>
      <c r="E21" s="84"/>
      <c r="F21" s="86"/>
      <c r="G21" s="57"/>
      <c r="H21" s="57"/>
      <c r="I21" s="57"/>
      <c r="J21" s="57"/>
      <c r="K21" s="57"/>
      <c r="L21" s="57"/>
      <c r="M21" s="57"/>
      <c r="N21" s="76"/>
    </row>
    <row r="22" spans="2:14" x14ac:dyDescent="0.25">
      <c r="B22" s="75"/>
      <c r="C22" s="63" t="str">
        <f>'Procedimientos de contratación'!B6</f>
        <v>Art. 66 Inc. 2 - CONC. SOBRE CERRADO</v>
      </c>
      <c r="D22" s="59"/>
      <c r="E22" s="84"/>
      <c r="F22" s="87"/>
      <c r="G22" s="57"/>
      <c r="H22" s="57"/>
      <c r="I22" s="57"/>
      <c r="J22" s="57"/>
      <c r="K22" s="57"/>
      <c r="L22" s="57"/>
      <c r="M22" s="57"/>
      <c r="N22" s="76"/>
    </row>
    <row r="23" spans="2:14" x14ac:dyDescent="0.25">
      <c r="B23" s="75"/>
      <c r="C23" s="63" t="str">
        <f>'Procedimientos de contratación'!B7</f>
        <v>Art. 66 Inc. 3 - LICITACIÓN</v>
      </c>
      <c r="D23" s="59"/>
      <c r="E23" s="84"/>
      <c r="F23" s="87"/>
      <c r="G23" s="57"/>
      <c r="H23" s="57"/>
      <c r="I23" s="57"/>
      <c r="J23" s="57"/>
      <c r="K23" s="57"/>
      <c r="L23" s="57"/>
      <c r="M23" s="57"/>
      <c r="N23" s="76"/>
    </row>
    <row r="24" spans="2:14" x14ac:dyDescent="0.25">
      <c r="B24" s="75"/>
      <c r="C24" s="63" t="str">
        <f>'Procedimientos de contratación'!B8</f>
        <v>Art. 66 Inc. 4 - L ICITACIÓN</v>
      </c>
      <c r="D24" s="59"/>
      <c r="E24" s="84"/>
      <c r="F24" s="87"/>
      <c r="G24" s="57"/>
      <c r="H24" s="57"/>
      <c r="I24" s="57"/>
      <c r="J24" s="57"/>
      <c r="K24" s="57"/>
      <c r="L24" s="57"/>
      <c r="M24" s="57"/>
      <c r="N24" s="76"/>
    </row>
    <row r="25" spans="2:14" x14ac:dyDescent="0.25">
      <c r="B25" s="75"/>
      <c r="C25" s="63" t="str">
        <f>'Procedimientos de contratación'!B9</f>
        <v>Art. 67 Inc. 1 - COMPRA DIRECTA</v>
      </c>
      <c r="D25" s="59"/>
      <c r="E25" s="84"/>
      <c r="F25" s="87"/>
      <c r="G25" s="57"/>
      <c r="H25" s="57"/>
      <c r="I25" s="57"/>
      <c r="J25" s="57"/>
      <c r="K25" s="57"/>
      <c r="L25" s="57"/>
      <c r="M25" s="57"/>
      <c r="N25" s="76"/>
    </row>
    <row r="26" spans="2:14" x14ac:dyDescent="0.25">
      <c r="B26" s="75"/>
      <c r="C26" s="63" t="str">
        <f>'Procedimientos de contratación'!B10</f>
        <v>Art. 67 Inc. 2 - EXCLUSIVIDAD</v>
      </c>
      <c r="D26" s="59"/>
      <c r="E26" s="84"/>
      <c r="F26" s="87"/>
      <c r="G26" s="57"/>
      <c r="H26" s="57"/>
      <c r="I26" s="57"/>
      <c r="J26" s="57"/>
      <c r="K26" s="57"/>
      <c r="L26" s="57"/>
      <c r="M26" s="57"/>
      <c r="N26" s="76"/>
    </row>
    <row r="27" spans="2:14" x14ac:dyDescent="0.25">
      <c r="B27" s="75"/>
      <c r="C27" s="63" t="str">
        <f>'Procedimientos de contratación'!B11</f>
        <v>Art. 67 Inc. 3 - 2 LIC. FRACASADAS</v>
      </c>
      <c r="D27" s="59"/>
      <c r="E27" s="84"/>
      <c r="F27" s="87"/>
      <c r="G27" s="57"/>
      <c r="H27" s="57"/>
      <c r="I27" s="57"/>
      <c r="J27" s="57"/>
      <c r="K27" s="57"/>
      <c r="L27" s="57"/>
      <c r="M27" s="57"/>
      <c r="N27" s="76"/>
    </row>
    <row r="28" spans="2:14" x14ac:dyDescent="0.25">
      <c r="B28" s="75"/>
      <c r="C28" s="63" t="str">
        <f>'Procedimientos de contratación'!B12</f>
        <v>Art. 67 Inc. 4 - URG/EMERGENCIA</v>
      </c>
      <c r="D28" s="59"/>
      <c r="E28" s="84"/>
      <c r="F28" s="87"/>
      <c r="G28" s="57"/>
      <c r="H28" s="57"/>
      <c r="I28" s="57"/>
      <c r="J28" s="57"/>
      <c r="K28" s="57"/>
      <c r="L28" s="57"/>
      <c r="M28" s="57"/>
      <c r="N28" s="76"/>
    </row>
    <row r="29" spans="2:14" x14ac:dyDescent="0.25">
      <c r="B29" s="75"/>
      <c r="C29" s="63" t="str">
        <f>'Procedimientos de contratación'!B13</f>
        <v>Art. 67 Inc. 5 - EXAMEN PREVIO</v>
      </c>
      <c r="D29" s="59"/>
      <c r="E29" s="84"/>
      <c r="F29" s="87"/>
      <c r="G29" s="57"/>
      <c r="H29" s="57"/>
      <c r="I29" s="57"/>
      <c r="J29" s="57"/>
      <c r="K29" s="57"/>
      <c r="L29" s="57"/>
      <c r="M29" s="57"/>
      <c r="N29" s="76"/>
    </row>
    <row r="30" spans="2:14" x14ac:dyDescent="0.25">
      <c r="B30" s="75"/>
      <c r="C30" s="63" t="str">
        <f>'Procedimientos de contratación'!B14</f>
        <v>Art. 67 Inc. 6 - CONT. CON UNIV. NAC</v>
      </c>
      <c r="D30" s="59"/>
      <c r="E30" s="84"/>
      <c r="F30" s="87"/>
      <c r="G30" s="57"/>
      <c r="H30" s="57"/>
      <c r="I30" s="57"/>
      <c r="J30" s="57"/>
      <c r="K30" s="57"/>
      <c r="L30" s="57"/>
      <c r="M30" s="57"/>
      <c r="N30" s="76"/>
    </row>
    <row r="31" spans="2:14" ht="15.75" thickBot="1" x14ac:dyDescent="0.3">
      <c r="B31" s="75"/>
      <c r="C31" s="68" t="str">
        <f>'Procedimientos de contratación'!B15</f>
        <v>Art. 67 Inc. 7 - CONTR. ORG MUN/PROV/NAC</v>
      </c>
      <c r="D31" s="80"/>
      <c r="E31" s="85"/>
      <c r="F31" s="87"/>
      <c r="G31" s="57"/>
      <c r="H31" s="57"/>
      <c r="I31" s="57"/>
      <c r="J31" s="57"/>
      <c r="K31" s="57"/>
      <c r="L31" s="57"/>
      <c r="M31" s="57"/>
      <c r="N31" s="76"/>
    </row>
    <row r="32" spans="2:14" ht="15.75" thickBot="1" x14ac:dyDescent="0.3">
      <c r="B32" s="75"/>
      <c r="C32" s="69" t="str">
        <f>'Procedimientos de contratación'!B17</f>
        <v>TOTAL</v>
      </c>
      <c r="D32" s="81"/>
      <c r="E32" s="134"/>
      <c r="F32" s="83"/>
      <c r="G32" s="57"/>
      <c r="H32" s="57"/>
      <c r="I32" s="57"/>
      <c r="J32" s="57"/>
      <c r="K32" s="57"/>
      <c r="L32" s="57"/>
      <c r="M32" s="57"/>
      <c r="N32" s="76"/>
    </row>
    <row r="33" spans="2:14" x14ac:dyDescent="0.25">
      <c r="B33" s="75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76"/>
    </row>
    <row r="34" spans="2:14" x14ac:dyDescent="0.25">
      <c r="B34" s="75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76"/>
    </row>
    <row r="35" spans="2:14" ht="16.5" customHeight="1" thickBot="1" x14ac:dyDescent="0.3">
      <c r="B35" s="77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9"/>
    </row>
    <row r="36" spans="2:14" ht="15" customHeight="1" x14ac:dyDescent="0.25">
      <c r="B36" s="73"/>
      <c r="C36" s="399" t="s">
        <v>165</v>
      </c>
      <c r="D36" s="400"/>
      <c r="E36" s="400"/>
      <c r="F36" s="400"/>
      <c r="G36" s="400"/>
      <c r="H36" s="400"/>
      <c r="I36" s="400"/>
      <c r="J36" s="400"/>
      <c r="K36" s="400"/>
      <c r="L36" s="400"/>
      <c r="M36" s="401"/>
      <c r="N36" s="74"/>
    </row>
    <row r="37" spans="2:14" ht="15.75" customHeight="1" thickBot="1" x14ac:dyDescent="0.3">
      <c r="B37" s="75"/>
      <c r="C37" s="402"/>
      <c r="D37" s="403"/>
      <c r="E37" s="403"/>
      <c r="F37" s="403"/>
      <c r="G37" s="403"/>
      <c r="H37" s="403"/>
      <c r="I37" s="403"/>
      <c r="J37" s="403"/>
      <c r="K37" s="403"/>
      <c r="L37" s="403"/>
      <c r="M37" s="404"/>
      <c r="N37" s="76"/>
    </row>
    <row r="38" spans="2:14" ht="15.75" thickBot="1" x14ac:dyDescent="0.3">
      <c r="B38" s="75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76"/>
    </row>
    <row r="39" spans="2:14" ht="15.75" thickBot="1" x14ac:dyDescent="0.3">
      <c r="B39" s="75"/>
      <c r="C39" s="405" t="s">
        <v>112</v>
      </c>
      <c r="D39" s="406"/>
      <c r="E39" s="406"/>
      <c r="F39" s="407"/>
      <c r="G39" s="57"/>
      <c r="H39" s="57"/>
      <c r="I39" s="57"/>
      <c r="J39" s="57"/>
      <c r="K39" s="57"/>
      <c r="L39" s="57"/>
      <c r="M39" s="57"/>
      <c r="N39" s="76"/>
    </row>
    <row r="40" spans="2:14" ht="15.75" thickBot="1" x14ac:dyDescent="0.3">
      <c r="B40" s="75"/>
      <c r="C40" s="61" t="s">
        <v>113</v>
      </c>
      <c r="D40" s="61" t="s">
        <v>114</v>
      </c>
      <c r="E40" s="61" t="s">
        <v>115</v>
      </c>
      <c r="F40" s="88" t="s">
        <v>119</v>
      </c>
      <c r="G40" s="57"/>
      <c r="H40" s="57"/>
      <c r="I40" s="57"/>
      <c r="J40" s="57"/>
      <c r="K40" s="57"/>
      <c r="L40" s="57"/>
      <c r="M40" s="57"/>
      <c r="N40" s="76"/>
    </row>
    <row r="41" spans="2:14" x14ac:dyDescent="0.25">
      <c r="B41" s="75"/>
      <c r="C41" s="70" t="s">
        <v>15</v>
      </c>
      <c r="D41" s="60"/>
      <c r="E41" s="84"/>
      <c r="F41" s="86"/>
      <c r="G41" s="57"/>
      <c r="H41" s="57"/>
      <c r="I41" s="57"/>
      <c r="J41" s="57"/>
      <c r="K41" s="57"/>
      <c r="L41" s="57"/>
      <c r="M41" s="57"/>
      <c r="N41" s="76"/>
    </row>
    <row r="42" spans="2:14" x14ac:dyDescent="0.25">
      <c r="B42" s="75"/>
      <c r="C42" s="62" t="s">
        <v>16</v>
      </c>
      <c r="D42" s="60"/>
      <c r="E42" s="84"/>
      <c r="F42" s="87"/>
      <c r="G42" s="57"/>
      <c r="H42" s="57"/>
      <c r="I42" s="57"/>
      <c r="J42" s="57"/>
      <c r="K42" s="57"/>
      <c r="L42" s="57"/>
      <c r="M42" s="57"/>
      <c r="N42" s="76"/>
    </row>
    <row r="43" spans="2:14" x14ac:dyDescent="0.25">
      <c r="B43" s="75"/>
      <c r="C43" s="62" t="s">
        <v>7</v>
      </c>
      <c r="D43" s="60"/>
      <c r="E43" s="84"/>
      <c r="F43" s="87"/>
      <c r="G43" s="57"/>
      <c r="H43" s="57"/>
      <c r="I43" s="57"/>
      <c r="J43" s="57"/>
      <c r="K43" s="57"/>
      <c r="L43" s="57"/>
      <c r="M43" s="57"/>
      <c r="N43" s="76"/>
    </row>
    <row r="44" spans="2:14" x14ac:dyDescent="0.25">
      <c r="B44" s="75"/>
      <c r="C44" s="62" t="s">
        <v>8</v>
      </c>
      <c r="D44" s="60"/>
      <c r="E44" s="84"/>
      <c r="F44" s="87"/>
      <c r="G44" s="57"/>
      <c r="H44" s="57"/>
      <c r="I44" s="57"/>
      <c r="J44" s="57"/>
      <c r="K44" s="57"/>
      <c r="L44" s="57"/>
      <c r="M44" s="57"/>
      <c r="N44" s="76"/>
    </row>
    <row r="45" spans="2:14" x14ac:dyDescent="0.25">
      <c r="B45" s="75"/>
      <c r="C45" s="62" t="s">
        <v>22</v>
      </c>
      <c r="D45" s="60"/>
      <c r="E45" s="84"/>
      <c r="F45" s="87"/>
      <c r="G45" s="57"/>
      <c r="H45" s="57"/>
      <c r="I45" s="57"/>
      <c r="J45" s="57"/>
      <c r="K45" s="57"/>
      <c r="L45" s="57"/>
      <c r="M45" s="57"/>
      <c r="N45" s="76"/>
    </row>
    <row r="46" spans="2:14" x14ac:dyDescent="0.25">
      <c r="B46" s="75"/>
      <c r="C46" s="62" t="s">
        <v>17</v>
      </c>
      <c r="D46" s="60"/>
      <c r="E46" s="84"/>
      <c r="F46" s="87"/>
      <c r="G46" s="57"/>
      <c r="H46" s="57"/>
      <c r="I46" s="57"/>
      <c r="J46" s="57"/>
      <c r="K46" s="57"/>
      <c r="L46" s="57"/>
      <c r="M46" s="57"/>
      <c r="N46" s="76"/>
    </row>
    <row r="47" spans="2:14" x14ac:dyDescent="0.25">
      <c r="B47" s="75"/>
      <c r="C47" s="62" t="s">
        <v>20</v>
      </c>
      <c r="D47" s="60"/>
      <c r="E47" s="84"/>
      <c r="F47" s="87"/>
      <c r="G47" s="57"/>
      <c r="H47" s="57"/>
      <c r="I47" s="57"/>
      <c r="J47" s="57"/>
      <c r="K47" s="57"/>
      <c r="L47" s="57"/>
      <c r="M47" s="57"/>
      <c r="N47" s="76"/>
    </row>
    <row r="48" spans="2:14" x14ac:dyDescent="0.25">
      <c r="B48" s="75"/>
      <c r="C48" s="62" t="s">
        <v>24</v>
      </c>
      <c r="D48" s="60"/>
      <c r="E48" s="84"/>
      <c r="F48" s="87"/>
      <c r="G48" s="57"/>
      <c r="H48" s="57"/>
      <c r="I48" s="57"/>
      <c r="J48" s="57"/>
      <c r="K48" s="57"/>
      <c r="L48" s="57"/>
      <c r="M48" s="57"/>
      <c r="N48" s="76"/>
    </row>
    <row r="49" spans="2:14" x14ac:dyDescent="0.25">
      <c r="B49" s="75"/>
      <c r="C49" s="62" t="s">
        <v>23</v>
      </c>
      <c r="D49" s="60"/>
      <c r="E49" s="84"/>
      <c r="F49" s="87"/>
      <c r="G49" s="57"/>
      <c r="H49" s="57"/>
      <c r="I49" s="57"/>
      <c r="J49" s="57"/>
      <c r="K49" s="57"/>
      <c r="L49" s="57"/>
      <c r="M49" s="57"/>
      <c r="N49" s="76"/>
    </row>
    <row r="50" spans="2:14" ht="15.75" thickBot="1" x14ac:dyDescent="0.3">
      <c r="B50" s="75"/>
      <c r="C50" s="71" t="s">
        <v>2</v>
      </c>
      <c r="D50" s="60"/>
      <c r="E50" s="84"/>
      <c r="F50" s="87"/>
      <c r="G50" s="57"/>
      <c r="H50" s="57"/>
      <c r="I50" s="57"/>
      <c r="J50" s="57"/>
      <c r="K50" s="57"/>
      <c r="L50" s="57"/>
      <c r="M50" s="57"/>
      <c r="N50" s="76"/>
    </row>
    <row r="51" spans="2:14" ht="15.75" thickBot="1" x14ac:dyDescent="0.3">
      <c r="B51" s="75"/>
      <c r="C51" s="72" t="s">
        <v>26</v>
      </c>
      <c r="D51" s="82"/>
      <c r="E51" s="134"/>
      <c r="F51" s="83"/>
      <c r="G51" s="57"/>
      <c r="H51" s="57"/>
      <c r="I51" s="57"/>
      <c r="J51" s="57"/>
      <c r="K51" s="57"/>
      <c r="L51" s="57"/>
      <c r="M51" s="57"/>
      <c r="N51" s="76"/>
    </row>
    <row r="52" spans="2:14" x14ac:dyDescent="0.25">
      <c r="B52" s="75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76"/>
    </row>
    <row r="53" spans="2:14" ht="15.75" thickBot="1" x14ac:dyDescent="0.3">
      <c r="B53" s="75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76"/>
    </row>
    <row r="54" spans="2:14" ht="15.75" thickBot="1" x14ac:dyDescent="0.3">
      <c r="B54" s="75"/>
      <c r="C54" s="408" t="s">
        <v>118</v>
      </c>
      <c r="D54" s="409"/>
      <c r="E54" s="409"/>
      <c r="F54" s="410"/>
      <c r="G54" s="57"/>
      <c r="H54" s="57"/>
      <c r="I54" s="57"/>
      <c r="J54" s="57"/>
      <c r="K54" s="57"/>
      <c r="L54" s="57"/>
      <c r="M54" s="57"/>
      <c r="N54" s="76"/>
    </row>
    <row r="55" spans="2:14" ht="15.75" thickBot="1" x14ac:dyDescent="0.3">
      <c r="B55" s="75"/>
      <c r="C55" s="65" t="s">
        <v>117</v>
      </c>
      <c r="D55" s="66" t="s">
        <v>114</v>
      </c>
      <c r="E55" s="67" t="s">
        <v>116</v>
      </c>
      <c r="F55" s="65" t="s">
        <v>119</v>
      </c>
      <c r="G55" s="57"/>
      <c r="H55" s="57"/>
      <c r="I55" s="57"/>
      <c r="J55" s="57"/>
      <c r="K55" s="57"/>
      <c r="L55" s="57"/>
      <c r="M55" s="57"/>
      <c r="N55" s="76"/>
    </row>
    <row r="56" spans="2:14" x14ac:dyDescent="0.25">
      <c r="B56" s="75"/>
      <c r="C56" s="64" t="s">
        <v>134</v>
      </c>
      <c r="D56" s="60"/>
      <c r="E56" s="84"/>
      <c r="F56" s="86"/>
      <c r="G56" s="57"/>
      <c r="H56" s="57"/>
      <c r="I56" s="57"/>
      <c r="J56" s="57"/>
      <c r="K56" s="57"/>
      <c r="L56" s="57"/>
      <c r="M56" s="57"/>
      <c r="N56" s="76"/>
    </row>
    <row r="57" spans="2:14" x14ac:dyDescent="0.25">
      <c r="B57" s="75"/>
      <c r="C57" s="63" t="s">
        <v>124</v>
      </c>
      <c r="D57" s="60"/>
      <c r="E57" s="84"/>
      <c r="F57" s="87"/>
      <c r="G57" s="57"/>
      <c r="H57" s="57"/>
      <c r="I57" s="57"/>
      <c r="J57" s="57"/>
      <c r="K57" s="57"/>
      <c r="L57" s="57"/>
      <c r="M57" s="57"/>
      <c r="N57" s="76"/>
    </row>
    <row r="58" spans="2:14" x14ac:dyDescent="0.25">
      <c r="B58" s="75"/>
      <c r="C58" s="63" t="s">
        <v>125</v>
      </c>
      <c r="D58" s="60"/>
      <c r="E58" s="84"/>
      <c r="F58" s="87"/>
      <c r="G58" s="57"/>
      <c r="H58" s="57"/>
      <c r="I58" s="57"/>
      <c r="J58" s="57"/>
      <c r="K58" s="57"/>
      <c r="L58" s="57"/>
      <c r="M58" s="57"/>
      <c r="N58" s="76"/>
    </row>
    <row r="59" spans="2:14" x14ac:dyDescent="0.25">
      <c r="B59" s="75"/>
      <c r="C59" s="63" t="s">
        <v>127</v>
      </c>
      <c r="D59" s="60"/>
      <c r="E59" s="84"/>
      <c r="F59" s="87"/>
      <c r="G59" s="57"/>
      <c r="H59" s="57"/>
      <c r="I59" s="57"/>
      <c r="J59" s="57"/>
      <c r="K59" s="57"/>
      <c r="L59" s="57"/>
      <c r="M59" s="57"/>
      <c r="N59" s="76"/>
    </row>
    <row r="60" spans="2:14" x14ac:dyDescent="0.25">
      <c r="B60" s="75"/>
      <c r="C60" s="63" t="s">
        <v>126</v>
      </c>
      <c r="D60" s="60"/>
      <c r="E60" s="84"/>
      <c r="F60" s="87"/>
      <c r="G60" s="57"/>
      <c r="H60" s="57"/>
      <c r="I60" s="57"/>
      <c r="J60" s="57"/>
      <c r="K60" s="57"/>
      <c r="L60" s="57"/>
      <c r="M60" s="57"/>
      <c r="N60" s="76"/>
    </row>
    <row r="61" spans="2:14" x14ac:dyDescent="0.25">
      <c r="B61" s="75"/>
      <c r="C61" s="63" t="s">
        <v>128</v>
      </c>
      <c r="D61" s="60"/>
      <c r="E61" s="84"/>
      <c r="F61" s="87"/>
      <c r="G61" s="57"/>
      <c r="H61" s="57"/>
      <c r="I61" s="57"/>
      <c r="J61" s="57"/>
      <c r="K61" s="57"/>
      <c r="L61" s="57"/>
      <c r="M61" s="57"/>
      <c r="N61" s="76"/>
    </row>
    <row r="62" spans="2:14" x14ac:dyDescent="0.25">
      <c r="B62" s="75"/>
      <c r="C62" s="63" t="s">
        <v>129</v>
      </c>
      <c r="D62" s="60"/>
      <c r="E62" s="84"/>
      <c r="F62" s="87"/>
      <c r="G62" s="57"/>
      <c r="H62" s="57"/>
      <c r="I62" s="57"/>
      <c r="J62" s="57"/>
      <c r="K62" s="57"/>
      <c r="L62" s="57"/>
      <c r="M62" s="57"/>
      <c r="N62" s="76"/>
    </row>
    <row r="63" spans="2:14" x14ac:dyDescent="0.25">
      <c r="B63" s="75"/>
      <c r="C63" s="63" t="s">
        <v>130</v>
      </c>
      <c r="D63" s="60"/>
      <c r="E63" s="84"/>
      <c r="F63" s="87"/>
      <c r="G63" s="57"/>
      <c r="H63" s="57"/>
      <c r="I63" s="57"/>
      <c r="J63" s="57"/>
      <c r="K63" s="57"/>
      <c r="L63" s="57"/>
      <c r="M63" s="57"/>
      <c r="N63" s="76"/>
    </row>
    <row r="64" spans="2:14" x14ac:dyDescent="0.25">
      <c r="B64" s="75"/>
      <c r="C64" s="63" t="s">
        <v>131</v>
      </c>
      <c r="D64" s="60"/>
      <c r="E64" s="84"/>
      <c r="F64" s="87"/>
      <c r="G64" s="57"/>
      <c r="H64" s="57"/>
      <c r="I64" s="57"/>
      <c r="J64" s="57"/>
      <c r="K64" s="57"/>
      <c r="L64" s="57"/>
      <c r="M64" s="57"/>
      <c r="N64" s="76"/>
    </row>
    <row r="65" spans="2:14" x14ac:dyDescent="0.25">
      <c r="B65" s="75"/>
      <c r="C65" s="63" t="s">
        <v>132</v>
      </c>
      <c r="D65" s="60"/>
      <c r="E65" s="84"/>
      <c r="F65" s="87"/>
      <c r="G65" s="57"/>
      <c r="H65" s="57"/>
      <c r="I65" s="57"/>
      <c r="J65" s="57"/>
      <c r="K65" s="57"/>
      <c r="L65" s="57"/>
      <c r="M65" s="57"/>
      <c r="N65" s="76"/>
    </row>
    <row r="66" spans="2:14" ht="15.75" thickBot="1" x14ac:dyDescent="0.3">
      <c r="B66" s="75"/>
      <c r="C66" s="68" t="s">
        <v>133</v>
      </c>
      <c r="D66" s="60"/>
      <c r="E66" s="84"/>
      <c r="F66" s="87"/>
      <c r="G66" s="57"/>
      <c r="H66" s="57"/>
      <c r="I66" s="57"/>
      <c r="J66" s="57"/>
      <c r="K66" s="57"/>
      <c r="L66" s="57"/>
      <c r="M66" s="57"/>
      <c r="N66" s="76"/>
    </row>
    <row r="67" spans="2:14" ht="15.75" thickBot="1" x14ac:dyDescent="0.3">
      <c r="B67" s="75"/>
      <c r="C67" s="69" t="s">
        <v>26</v>
      </c>
      <c r="D67" s="81"/>
      <c r="E67" s="110"/>
      <c r="F67" s="83"/>
      <c r="G67" s="57"/>
      <c r="H67" s="57"/>
      <c r="I67" s="57"/>
      <c r="J67" s="57"/>
      <c r="K67" s="57"/>
      <c r="L67" s="57"/>
      <c r="M67" s="57"/>
      <c r="N67" s="76"/>
    </row>
    <row r="68" spans="2:14" x14ac:dyDescent="0.25">
      <c r="B68" s="75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76"/>
    </row>
    <row r="69" spans="2:14" x14ac:dyDescent="0.25">
      <c r="B69" s="75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76"/>
    </row>
    <row r="70" spans="2:14" ht="15.75" thickBot="1" x14ac:dyDescent="0.3">
      <c r="B70" s="77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9"/>
    </row>
    <row r="71" spans="2:14" x14ac:dyDescent="0.25">
      <c r="B71" s="73"/>
      <c r="C71" s="399" t="s">
        <v>166</v>
      </c>
      <c r="D71" s="400"/>
      <c r="E71" s="400"/>
      <c r="F71" s="400"/>
      <c r="G71" s="400"/>
      <c r="H71" s="400"/>
      <c r="I71" s="400"/>
      <c r="J71" s="400"/>
      <c r="K71" s="400"/>
      <c r="L71" s="400"/>
      <c r="M71" s="401"/>
      <c r="N71" s="74"/>
    </row>
    <row r="72" spans="2:14" ht="15.75" thickBot="1" x14ac:dyDescent="0.3">
      <c r="B72" s="75"/>
      <c r="C72" s="402"/>
      <c r="D72" s="403"/>
      <c r="E72" s="403"/>
      <c r="F72" s="403"/>
      <c r="G72" s="403"/>
      <c r="H72" s="403"/>
      <c r="I72" s="403"/>
      <c r="J72" s="403"/>
      <c r="K72" s="403"/>
      <c r="L72" s="403"/>
      <c r="M72" s="404"/>
      <c r="N72" s="76"/>
    </row>
    <row r="73" spans="2:14" ht="15.75" thickBot="1" x14ac:dyDescent="0.3">
      <c r="B73" s="75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76"/>
    </row>
    <row r="74" spans="2:14" ht="15.75" thickBot="1" x14ac:dyDescent="0.3">
      <c r="B74" s="75"/>
      <c r="C74" s="405" t="s">
        <v>112</v>
      </c>
      <c r="D74" s="406"/>
      <c r="E74" s="406"/>
      <c r="F74" s="407"/>
      <c r="G74" s="57"/>
      <c r="H74" s="57"/>
      <c r="I74" s="57"/>
      <c r="J74" s="57"/>
      <c r="K74" s="57"/>
      <c r="L74" s="57"/>
      <c r="M74" s="57"/>
      <c r="N74" s="76"/>
    </row>
    <row r="75" spans="2:14" ht="15.75" thickBot="1" x14ac:dyDescent="0.3">
      <c r="B75" s="75"/>
      <c r="C75" s="61" t="s">
        <v>113</v>
      </c>
      <c r="D75" s="61" t="s">
        <v>114</v>
      </c>
      <c r="E75" s="61" t="s">
        <v>115</v>
      </c>
      <c r="F75" s="88" t="s">
        <v>119</v>
      </c>
      <c r="G75" s="57"/>
      <c r="H75" s="57"/>
      <c r="I75" s="57"/>
      <c r="J75" s="57"/>
      <c r="K75" s="57"/>
      <c r="L75" s="57"/>
      <c r="M75" s="57"/>
      <c r="N75" s="76"/>
    </row>
    <row r="76" spans="2:14" x14ac:dyDescent="0.25">
      <c r="B76" s="75"/>
      <c r="C76" s="70" t="s">
        <v>15</v>
      </c>
      <c r="D76" s="60"/>
      <c r="E76" s="84"/>
      <c r="F76" s="86"/>
      <c r="G76" s="57"/>
      <c r="H76" s="57"/>
      <c r="I76" s="57"/>
      <c r="J76" s="57"/>
      <c r="K76" s="57"/>
      <c r="L76" s="57"/>
      <c r="M76" s="57"/>
      <c r="N76" s="76"/>
    </row>
    <row r="77" spans="2:14" x14ac:dyDescent="0.25">
      <c r="B77" s="75"/>
      <c r="C77" s="62" t="s">
        <v>16</v>
      </c>
      <c r="D77" s="60"/>
      <c r="E77" s="84"/>
      <c r="F77" s="87"/>
      <c r="G77" s="57"/>
      <c r="H77" s="57"/>
      <c r="I77" s="57"/>
      <c r="J77" s="57"/>
      <c r="K77" s="57"/>
      <c r="L77" s="57"/>
      <c r="M77" s="57"/>
      <c r="N77" s="76"/>
    </row>
    <row r="78" spans="2:14" x14ac:dyDescent="0.25">
      <c r="B78" s="75"/>
      <c r="C78" s="62" t="s">
        <v>7</v>
      </c>
      <c r="D78" s="60"/>
      <c r="E78" s="84"/>
      <c r="F78" s="87"/>
      <c r="G78" s="57"/>
      <c r="H78" s="57"/>
      <c r="I78" s="57"/>
      <c r="J78" s="57"/>
      <c r="K78" s="57"/>
      <c r="L78" s="57"/>
      <c r="M78" s="57"/>
      <c r="N78" s="76"/>
    </row>
    <row r="79" spans="2:14" x14ac:dyDescent="0.25">
      <c r="B79" s="75"/>
      <c r="C79" s="62" t="s">
        <v>8</v>
      </c>
      <c r="D79" s="60"/>
      <c r="E79" s="84"/>
      <c r="F79" s="87"/>
      <c r="G79" s="57"/>
      <c r="H79" s="57"/>
      <c r="I79" s="57"/>
      <c r="J79" s="57"/>
      <c r="K79" s="57"/>
      <c r="L79" s="57"/>
      <c r="M79" s="57"/>
      <c r="N79" s="76"/>
    </row>
    <row r="80" spans="2:14" x14ac:dyDescent="0.25">
      <c r="B80" s="75"/>
      <c r="C80" s="62" t="s">
        <v>22</v>
      </c>
      <c r="D80" s="60"/>
      <c r="E80" s="84"/>
      <c r="F80" s="87"/>
      <c r="G80" s="57"/>
      <c r="H80" s="57"/>
      <c r="I80" s="57"/>
      <c r="J80" s="57"/>
      <c r="K80" s="57"/>
      <c r="L80" s="57"/>
      <c r="M80" s="57"/>
      <c r="N80" s="76"/>
    </row>
    <row r="81" spans="2:14" x14ac:dyDescent="0.25">
      <c r="B81" s="75"/>
      <c r="C81" s="62" t="s">
        <v>17</v>
      </c>
      <c r="D81" s="60"/>
      <c r="E81" s="84"/>
      <c r="F81" s="87"/>
      <c r="G81" s="57"/>
      <c r="H81" s="57"/>
      <c r="I81" s="57"/>
      <c r="J81" s="57"/>
      <c r="K81" s="57"/>
      <c r="L81" s="57"/>
      <c r="M81" s="57"/>
      <c r="N81" s="76"/>
    </row>
    <row r="82" spans="2:14" x14ac:dyDescent="0.25">
      <c r="B82" s="75"/>
      <c r="C82" s="62" t="s">
        <v>20</v>
      </c>
      <c r="D82" s="60"/>
      <c r="E82" s="84"/>
      <c r="F82" s="87"/>
      <c r="G82" s="57"/>
      <c r="H82" s="57"/>
      <c r="I82" s="57"/>
      <c r="J82" s="57"/>
      <c r="K82" s="57"/>
      <c r="L82" s="57"/>
      <c r="M82" s="57"/>
      <c r="N82" s="76"/>
    </row>
    <row r="83" spans="2:14" x14ac:dyDescent="0.25">
      <c r="B83" s="75"/>
      <c r="C83" s="62" t="s">
        <v>24</v>
      </c>
      <c r="D83" s="60"/>
      <c r="E83" s="84"/>
      <c r="F83" s="87"/>
      <c r="G83" s="57"/>
      <c r="H83" s="57"/>
      <c r="I83" s="57"/>
      <c r="J83" s="57"/>
      <c r="K83" s="57"/>
      <c r="L83" s="57"/>
      <c r="M83" s="57"/>
      <c r="N83" s="76"/>
    </row>
    <row r="84" spans="2:14" x14ac:dyDescent="0.25">
      <c r="B84" s="75"/>
      <c r="C84" s="62" t="s">
        <v>23</v>
      </c>
      <c r="D84" s="60"/>
      <c r="E84" s="84"/>
      <c r="F84" s="87"/>
      <c r="G84" s="57"/>
      <c r="H84" s="57"/>
      <c r="I84" s="57"/>
      <c r="J84" s="57"/>
      <c r="K84" s="57"/>
      <c r="L84" s="57"/>
      <c r="M84" s="57"/>
      <c r="N84" s="76"/>
    </row>
    <row r="85" spans="2:14" ht="15.75" thickBot="1" x14ac:dyDescent="0.3">
      <c r="B85" s="75"/>
      <c r="C85" s="71" t="s">
        <v>2</v>
      </c>
      <c r="D85" s="60"/>
      <c r="E85" s="84"/>
      <c r="F85" s="87"/>
      <c r="G85" s="57"/>
      <c r="H85" s="57"/>
      <c r="I85" s="57"/>
      <c r="J85" s="57"/>
      <c r="K85" s="57"/>
      <c r="L85" s="57"/>
      <c r="M85" s="57"/>
      <c r="N85" s="76"/>
    </row>
    <row r="86" spans="2:14" ht="15.75" thickBot="1" x14ac:dyDescent="0.3">
      <c r="B86" s="75"/>
      <c r="C86" s="72" t="s">
        <v>26</v>
      </c>
      <c r="D86" s="82"/>
      <c r="E86" s="134"/>
      <c r="F86" s="83"/>
      <c r="G86" s="57"/>
      <c r="H86" s="57"/>
      <c r="I86" s="57"/>
      <c r="J86" s="57"/>
      <c r="K86" s="57"/>
      <c r="L86" s="57"/>
      <c r="M86" s="57"/>
      <c r="N86" s="76"/>
    </row>
    <row r="87" spans="2:14" x14ac:dyDescent="0.25">
      <c r="B87" s="75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76"/>
    </row>
    <row r="88" spans="2:14" ht="15.75" thickBot="1" x14ac:dyDescent="0.3">
      <c r="B88" s="75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76"/>
    </row>
    <row r="89" spans="2:14" ht="15.75" thickBot="1" x14ac:dyDescent="0.3">
      <c r="B89" s="75"/>
      <c r="C89" s="408" t="s">
        <v>118</v>
      </c>
      <c r="D89" s="409"/>
      <c r="E89" s="409"/>
      <c r="F89" s="410"/>
      <c r="G89" s="57"/>
      <c r="H89" s="57"/>
      <c r="I89" s="57"/>
      <c r="J89" s="57"/>
      <c r="K89" s="57"/>
      <c r="L89" s="57"/>
      <c r="M89" s="57"/>
      <c r="N89" s="76"/>
    </row>
    <row r="90" spans="2:14" ht="15.75" thickBot="1" x14ac:dyDescent="0.3">
      <c r="B90" s="75"/>
      <c r="C90" s="65" t="s">
        <v>117</v>
      </c>
      <c r="D90" s="66" t="s">
        <v>114</v>
      </c>
      <c r="E90" s="67" t="s">
        <v>116</v>
      </c>
      <c r="F90" s="65" t="s">
        <v>119</v>
      </c>
      <c r="G90" s="57"/>
      <c r="H90" s="57"/>
      <c r="I90" s="57"/>
      <c r="J90" s="57"/>
      <c r="K90" s="57"/>
      <c r="L90" s="57"/>
      <c r="M90" s="57"/>
      <c r="N90" s="76"/>
    </row>
    <row r="91" spans="2:14" x14ac:dyDescent="0.25">
      <c r="B91" s="75"/>
      <c r="C91" s="64" t="s">
        <v>134</v>
      </c>
      <c r="D91" s="60"/>
      <c r="E91" s="84"/>
      <c r="F91" s="86"/>
      <c r="G91" s="57"/>
      <c r="H91" s="57"/>
      <c r="I91" s="57"/>
      <c r="J91" s="57"/>
      <c r="K91" s="57"/>
      <c r="L91" s="57"/>
      <c r="M91" s="57"/>
      <c r="N91" s="76"/>
    </row>
    <row r="92" spans="2:14" x14ac:dyDescent="0.25">
      <c r="B92" s="75"/>
      <c r="C92" s="63" t="s">
        <v>124</v>
      </c>
      <c r="D92" s="60"/>
      <c r="E92" s="84"/>
      <c r="F92" s="87"/>
      <c r="G92" s="57"/>
      <c r="H92" s="57"/>
      <c r="I92" s="57"/>
      <c r="J92" s="57"/>
      <c r="K92" s="57"/>
      <c r="L92" s="57"/>
      <c r="M92" s="57"/>
      <c r="N92" s="76"/>
    </row>
    <row r="93" spans="2:14" x14ac:dyDescent="0.25">
      <c r="B93" s="75"/>
      <c r="C93" s="63" t="s">
        <v>125</v>
      </c>
      <c r="D93" s="60"/>
      <c r="E93" s="84"/>
      <c r="F93" s="87"/>
      <c r="G93" s="57"/>
      <c r="H93" s="57"/>
      <c r="I93" s="57"/>
      <c r="J93" s="57"/>
      <c r="K93" s="57"/>
      <c r="L93" s="57"/>
      <c r="M93" s="57"/>
      <c r="N93" s="76"/>
    </row>
    <row r="94" spans="2:14" x14ac:dyDescent="0.25">
      <c r="B94" s="75"/>
      <c r="C94" s="63" t="s">
        <v>127</v>
      </c>
      <c r="D94" s="60"/>
      <c r="E94" s="84"/>
      <c r="F94" s="87"/>
      <c r="G94" s="57"/>
      <c r="H94" s="57"/>
      <c r="I94" s="57"/>
      <c r="J94" s="57"/>
      <c r="K94" s="57"/>
      <c r="L94" s="57"/>
      <c r="M94" s="57"/>
      <c r="N94" s="76"/>
    </row>
    <row r="95" spans="2:14" x14ac:dyDescent="0.25">
      <c r="B95" s="75"/>
      <c r="C95" s="63" t="s">
        <v>126</v>
      </c>
      <c r="D95" s="60"/>
      <c r="E95" s="84"/>
      <c r="F95" s="87"/>
      <c r="G95" s="57"/>
      <c r="H95" s="57"/>
      <c r="I95" s="57"/>
      <c r="J95" s="57"/>
      <c r="K95" s="57"/>
      <c r="L95" s="57"/>
      <c r="M95" s="57"/>
      <c r="N95" s="76"/>
    </row>
    <row r="96" spans="2:14" x14ac:dyDescent="0.25">
      <c r="B96" s="75"/>
      <c r="C96" s="63" t="s">
        <v>128</v>
      </c>
      <c r="D96" s="60"/>
      <c r="E96" s="84"/>
      <c r="F96" s="87"/>
      <c r="G96" s="57"/>
      <c r="H96" s="57"/>
      <c r="I96" s="57"/>
      <c r="J96" s="57"/>
      <c r="K96" s="57"/>
      <c r="L96" s="57"/>
      <c r="M96" s="57"/>
      <c r="N96" s="76"/>
    </row>
    <row r="97" spans="2:14" x14ac:dyDescent="0.25">
      <c r="B97" s="75"/>
      <c r="C97" s="63" t="s">
        <v>129</v>
      </c>
      <c r="D97" s="60"/>
      <c r="E97" s="84"/>
      <c r="F97" s="87"/>
      <c r="G97" s="57"/>
      <c r="H97" s="57"/>
      <c r="I97" s="57"/>
      <c r="J97" s="57"/>
      <c r="K97" s="57"/>
      <c r="L97" s="57"/>
      <c r="M97" s="57"/>
      <c r="N97" s="76"/>
    </row>
    <row r="98" spans="2:14" x14ac:dyDescent="0.25">
      <c r="B98" s="75"/>
      <c r="C98" s="63" t="s">
        <v>130</v>
      </c>
      <c r="D98" s="60"/>
      <c r="E98" s="84"/>
      <c r="F98" s="87"/>
      <c r="G98" s="57"/>
      <c r="H98" s="57"/>
      <c r="I98" s="57"/>
      <c r="J98" s="57"/>
      <c r="K98" s="57"/>
      <c r="L98" s="57"/>
      <c r="M98" s="57"/>
      <c r="N98" s="76"/>
    </row>
    <row r="99" spans="2:14" x14ac:dyDescent="0.25">
      <c r="B99" s="75"/>
      <c r="C99" s="63" t="s">
        <v>131</v>
      </c>
      <c r="D99" s="60"/>
      <c r="E99" s="84"/>
      <c r="F99" s="87"/>
      <c r="G99" s="57"/>
      <c r="H99" s="57"/>
      <c r="I99" s="57"/>
      <c r="J99" s="57"/>
      <c r="K99" s="57"/>
      <c r="L99" s="57"/>
      <c r="M99" s="57"/>
      <c r="N99" s="76"/>
    </row>
    <row r="100" spans="2:14" x14ac:dyDescent="0.25">
      <c r="B100" s="75"/>
      <c r="C100" s="63" t="s">
        <v>132</v>
      </c>
      <c r="D100" s="60"/>
      <c r="E100" s="84"/>
      <c r="F100" s="87"/>
      <c r="G100" s="57"/>
      <c r="H100" s="57"/>
      <c r="I100" s="57"/>
      <c r="J100" s="57"/>
      <c r="K100" s="57"/>
      <c r="L100" s="57"/>
      <c r="M100" s="57"/>
      <c r="N100" s="76"/>
    </row>
    <row r="101" spans="2:14" ht="15.75" thickBot="1" x14ac:dyDescent="0.3">
      <c r="B101" s="75"/>
      <c r="C101" s="68" t="s">
        <v>133</v>
      </c>
      <c r="D101" s="60"/>
      <c r="E101" s="84"/>
      <c r="F101" s="87"/>
      <c r="G101" s="57"/>
      <c r="H101" s="57"/>
      <c r="I101" s="57"/>
      <c r="J101" s="57"/>
      <c r="K101" s="57"/>
      <c r="L101" s="57"/>
      <c r="M101" s="57"/>
      <c r="N101" s="76"/>
    </row>
    <row r="102" spans="2:14" ht="15.75" thickBot="1" x14ac:dyDescent="0.3">
      <c r="B102" s="75"/>
      <c r="C102" s="69" t="s">
        <v>26</v>
      </c>
      <c r="D102" s="81"/>
      <c r="E102" s="110"/>
      <c r="F102" s="83"/>
      <c r="G102" s="57"/>
      <c r="H102" s="57"/>
      <c r="I102" s="57"/>
      <c r="J102" s="57"/>
      <c r="K102" s="57"/>
      <c r="L102" s="57"/>
      <c r="M102" s="57"/>
      <c r="N102" s="76"/>
    </row>
    <row r="103" spans="2:14" x14ac:dyDescent="0.25">
      <c r="B103" s="75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76"/>
    </row>
    <row r="104" spans="2:14" x14ac:dyDescent="0.25">
      <c r="B104" s="75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76"/>
    </row>
    <row r="105" spans="2:14" ht="15.75" thickBot="1" x14ac:dyDescent="0.3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9"/>
    </row>
    <row r="106" spans="2:14" x14ac:dyDescent="0.25">
      <c r="B106" s="73"/>
      <c r="C106" s="399" t="s">
        <v>167</v>
      </c>
      <c r="D106" s="400"/>
      <c r="E106" s="400"/>
      <c r="F106" s="400"/>
      <c r="G106" s="400"/>
      <c r="H106" s="400"/>
      <c r="I106" s="400"/>
      <c r="J106" s="400"/>
      <c r="K106" s="400"/>
      <c r="L106" s="400"/>
      <c r="M106" s="401"/>
      <c r="N106" s="74"/>
    </row>
    <row r="107" spans="2:14" ht="15.75" thickBot="1" x14ac:dyDescent="0.3">
      <c r="B107" s="75"/>
      <c r="C107" s="402"/>
      <c r="D107" s="403"/>
      <c r="E107" s="403"/>
      <c r="F107" s="403"/>
      <c r="G107" s="403"/>
      <c r="H107" s="403"/>
      <c r="I107" s="403"/>
      <c r="J107" s="403"/>
      <c r="K107" s="403"/>
      <c r="L107" s="403"/>
      <c r="M107" s="404"/>
      <c r="N107" s="76"/>
    </row>
    <row r="108" spans="2:14" ht="15.75" thickBot="1" x14ac:dyDescent="0.3">
      <c r="B108" s="75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76"/>
    </row>
    <row r="109" spans="2:14" ht="15.75" thickBot="1" x14ac:dyDescent="0.3">
      <c r="B109" s="75"/>
      <c r="C109" s="125" t="s">
        <v>112</v>
      </c>
      <c r="D109" s="127" t="s">
        <v>144</v>
      </c>
      <c r="E109" s="127" t="s">
        <v>145</v>
      </c>
      <c r="F109" s="57"/>
      <c r="G109" s="57"/>
      <c r="H109" s="57"/>
      <c r="I109" s="57"/>
      <c r="J109" s="57"/>
      <c r="K109" s="57"/>
      <c r="L109" s="57"/>
      <c r="M109" s="57"/>
      <c r="N109" s="76"/>
    </row>
    <row r="110" spans="2:14" ht="15.75" thickBot="1" x14ac:dyDescent="0.3">
      <c r="B110" s="75"/>
      <c r="C110" s="61" t="s">
        <v>113</v>
      </c>
      <c r="D110" s="116" t="s">
        <v>114</v>
      </c>
      <c r="E110" s="116" t="s">
        <v>114</v>
      </c>
      <c r="F110" s="57"/>
      <c r="G110" s="57"/>
      <c r="H110" s="57"/>
      <c r="I110" s="57"/>
      <c r="J110" s="57"/>
      <c r="K110" s="57"/>
      <c r="L110" s="57"/>
      <c r="M110" s="57"/>
      <c r="N110" s="76"/>
    </row>
    <row r="111" spans="2:14" x14ac:dyDescent="0.25">
      <c r="B111" s="75"/>
      <c r="C111" s="122" t="s">
        <v>15</v>
      </c>
      <c r="D111" s="130">
        <f t="shared" ref="D111:D120" si="0">D41</f>
        <v>0</v>
      </c>
      <c r="E111" s="128">
        <f t="shared" ref="E111:E120" si="1">D76</f>
        <v>0</v>
      </c>
      <c r="F111" s="57"/>
      <c r="G111" s="57"/>
      <c r="H111" s="57"/>
      <c r="I111" s="57"/>
      <c r="J111" s="57"/>
      <c r="K111" s="57"/>
      <c r="L111" s="57"/>
      <c r="M111" s="57"/>
      <c r="N111" s="76"/>
    </row>
    <row r="112" spans="2:14" x14ac:dyDescent="0.25">
      <c r="B112" s="75"/>
      <c r="C112" s="123" t="s">
        <v>16</v>
      </c>
      <c r="D112" s="130">
        <f t="shared" si="0"/>
        <v>0</v>
      </c>
      <c r="E112" s="128">
        <f t="shared" si="1"/>
        <v>0</v>
      </c>
      <c r="F112" s="57"/>
      <c r="G112" s="57"/>
      <c r="H112" s="57"/>
      <c r="I112" s="57"/>
      <c r="J112" s="57"/>
      <c r="K112" s="57"/>
      <c r="L112" s="57"/>
      <c r="M112" s="57"/>
      <c r="N112" s="76"/>
    </row>
    <row r="113" spans="2:14" x14ac:dyDescent="0.25">
      <c r="B113" s="75"/>
      <c r="C113" s="123" t="s">
        <v>7</v>
      </c>
      <c r="D113" s="130">
        <f t="shared" si="0"/>
        <v>0</v>
      </c>
      <c r="E113" s="128">
        <f t="shared" si="1"/>
        <v>0</v>
      </c>
      <c r="F113" s="57"/>
      <c r="G113" s="57"/>
      <c r="H113" s="57"/>
      <c r="I113" s="57"/>
      <c r="J113" s="57"/>
      <c r="K113" s="57"/>
      <c r="L113" s="57"/>
      <c r="M113" s="57"/>
      <c r="N113" s="76"/>
    </row>
    <row r="114" spans="2:14" x14ac:dyDescent="0.25">
      <c r="B114" s="75"/>
      <c r="C114" s="123" t="s">
        <v>8</v>
      </c>
      <c r="D114" s="130">
        <f t="shared" si="0"/>
        <v>0</v>
      </c>
      <c r="E114" s="128">
        <f t="shared" si="1"/>
        <v>0</v>
      </c>
      <c r="F114" s="57"/>
      <c r="G114" s="57"/>
      <c r="H114" s="57"/>
      <c r="I114" s="57"/>
      <c r="J114" s="57"/>
      <c r="K114" s="57"/>
      <c r="L114" s="57"/>
      <c r="M114" s="57"/>
      <c r="N114" s="76"/>
    </row>
    <row r="115" spans="2:14" x14ac:dyDescent="0.25">
      <c r="B115" s="75"/>
      <c r="C115" s="123" t="s">
        <v>22</v>
      </c>
      <c r="D115" s="130">
        <f t="shared" si="0"/>
        <v>0</v>
      </c>
      <c r="E115" s="128">
        <f t="shared" si="1"/>
        <v>0</v>
      </c>
      <c r="F115" s="57"/>
      <c r="G115" s="57"/>
      <c r="H115" s="57"/>
      <c r="I115" s="57"/>
      <c r="J115" s="57"/>
      <c r="K115" s="57"/>
      <c r="L115" s="57"/>
      <c r="M115" s="57"/>
      <c r="N115" s="76"/>
    </row>
    <row r="116" spans="2:14" x14ac:dyDescent="0.25">
      <c r="B116" s="75"/>
      <c r="C116" s="123" t="s">
        <v>17</v>
      </c>
      <c r="D116" s="130">
        <f t="shared" si="0"/>
        <v>0</v>
      </c>
      <c r="E116" s="128">
        <f t="shared" si="1"/>
        <v>0</v>
      </c>
      <c r="F116" s="57"/>
      <c r="G116" s="57"/>
      <c r="H116" s="57"/>
      <c r="I116" s="57"/>
      <c r="J116" s="57"/>
      <c r="K116" s="57"/>
      <c r="L116" s="57"/>
      <c r="M116" s="57"/>
      <c r="N116" s="76"/>
    </row>
    <row r="117" spans="2:14" x14ac:dyDescent="0.25">
      <c r="B117" s="75"/>
      <c r="C117" s="123" t="s">
        <v>20</v>
      </c>
      <c r="D117" s="130">
        <f t="shared" si="0"/>
        <v>0</v>
      </c>
      <c r="E117" s="128">
        <f t="shared" si="1"/>
        <v>0</v>
      </c>
      <c r="F117" s="57"/>
      <c r="G117" s="57"/>
      <c r="H117" s="57"/>
      <c r="I117" s="57"/>
      <c r="J117" s="57"/>
      <c r="K117" s="57"/>
      <c r="L117" s="57"/>
      <c r="M117" s="57"/>
      <c r="N117" s="76"/>
    </row>
    <row r="118" spans="2:14" x14ac:dyDescent="0.25">
      <c r="B118" s="75"/>
      <c r="C118" s="123" t="s">
        <v>24</v>
      </c>
      <c r="D118" s="130">
        <f t="shared" si="0"/>
        <v>0</v>
      </c>
      <c r="E118" s="128">
        <f t="shared" si="1"/>
        <v>0</v>
      </c>
      <c r="F118" s="57"/>
      <c r="G118" s="57"/>
      <c r="H118" s="57"/>
      <c r="I118" s="57"/>
      <c r="J118" s="57"/>
      <c r="K118" s="57"/>
      <c r="L118" s="57"/>
      <c r="M118" s="57"/>
      <c r="N118" s="76"/>
    </row>
    <row r="119" spans="2:14" x14ac:dyDescent="0.25">
      <c r="B119" s="75"/>
      <c r="C119" s="123" t="s">
        <v>23</v>
      </c>
      <c r="D119" s="130">
        <f t="shared" si="0"/>
        <v>0</v>
      </c>
      <c r="E119" s="128">
        <f t="shared" si="1"/>
        <v>0</v>
      </c>
      <c r="F119" s="57"/>
      <c r="G119" s="57"/>
      <c r="H119" s="57"/>
      <c r="I119" s="57"/>
      <c r="J119" s="57"/>
      <c r="K119" s="57"/>
      <c r="L119" s="57"/>
      <c r="M119" s="57"/>
      <c r="N119" s="76"/>
    </row>
    <row r="120" spans="2:14" ht="15.75" thickBot="1" x14ac:dyDescent="0.3">
      <c r="B120" s="75"/>
      <c r="C120" s="126" t="s">
        <v>2</v>
      </c>
      <c r="D120" s="131">
        <f t="shared" si="0"/>
        <v>0</v>
      </c>
      <c r="E120" s="129">
        <f t="shared" si="1"/>
        <v>0</v>
      </c>
      <c r="F120" s="57"/>
      <c r="G120" s="57"/>
      <c r="H120" s="57"/>
      <c r="I120" s="57"/>
      <c r="J120" s="57"/>
      <c r="K120" s="57"/>
      <c r="L120" s="57"/>
      <c r="M120" s="57"/>
      <c r="N120" s="76"/>
    </row>
    <row r="121" spans="2:14" x14ac:dyDescent="0.25">
      <c r="B121" s="75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47"/>
    </row>
    <row r="122" spans="2:14" x14ac:dyDescent="0.25">
      <c r="B122" s="75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76"/>
    </row>
    <row r="123" spans="2:14" x14ac:dyDescent="0.25">
      <c r="B123" s="75"/>
      <c r="C123" s="124"/>
      <c r="D123" s="124"/>
      <c r="E123" s="124"/>
      <c r="F123" s="57"/>
      <c r="G123" s="57"/>
      <c r="H123" s="57"/>
      <c r="I123" s="57"/>
      <c r="J123" s="57"/>
      <c r="K123" s="57"/>
      <c r="L123" s="57"/>
      <c r="M123" s="57"/>
      <c r="N123" s="76"/>
    </row>
    <row r="124" spans="2:14" x14ac:dyDescent="0.25">
      <c r="B124" s="75"/>
      <c r="C124" s="117"/>
      <c r="D124" s="117"/>
      <c r="E124" s="117"/>
      <c r="F124" s="124"/>
      <c r="G124" s="57"/>
      <c r="H124" s="57"/>
      <c r="I124" s="57"/>
      <c r="J124" s="57"/>
      <c r="K124" s="57"/>
      <c r="L124" s="57"/>
      <c r="M124" s="57"/>
      <c r="N124" s="76"/>
    </row>
    <row r="125" spans="2:14" x14ac:dyDescent="0.25">
      <c r="B125" s="75"/>
      <c r="C125" s="57"/>
      <c r="D125" s="118"/>
      <c r="E125" s="119"/>
      <c r="F125" s="117"/>
      <c r="G125" s="57"/>
      <c r="H125" s="57"/>
      <c r="I125" s="57"/>
      <c r="J125" s="57"/>
      <c r="K125" s="57"/>
      <c r="L125" s="57"/>
      <c r="M125" s="57"/>
      <c r="N125" s="76"/>
    </row>
    <row r="126" spans="2:14" x14ac:dyDescent="0.25">
      <c r="B126" s="75"/>
      <c r="C126" s="57"/>
      <c r="D126" s="118"/>
      <c r="E126" s="119"/>
      <c r="F126" s="120"/>
      <c r="G126" s="57"/>
      <c r="H126" s="57"/>
      <c r="I126" s="57"/>
      <c r="J126" s="57"/>
      <c r="K126" s="57"/>
      <c r="L126" s="57"/>
      <c r="M126" s="57"/>
      <c r="N126" s="76"/>
    </row>
    <row r="127" spans="2:14" x14ac:dyDescent="0.25">
      <c r="B127" s="75"/>
      <c r="C127" s="57"/>
      <c r="D127" s="118"/>
      <c r="E127" s="119"/>
      <c r="F127" s="120"/>
      <c r="G127" s="57"/>
      <c r="H127" s="57"/>
      <c r="I127" s="57"/>
      <c r="J127" s="57"/>
      <c r="K127" s="57"/>
      <c r="L127" s="57"/>
      <c r="M127" s="57"/>
      <c r="N127" s="76"/>
    </row>
    <row r="128" spans="2:14" x14ac:dyDescent="0.25">
      <c r="B128" s="75"/>
      <c r="C128" s="57"/>
      <c r="D128" s="118"/>
      <c r="E128" s="119"/>
      <c r="F128" s="120"/>
      <c r="G128" s="57"/>
      <c r="H128" s="57"/>
      <c r="I128" s="57"/>
      <c r="J128" s="57"/>
      <c r="K128" s="57"/>
      <c r="L128" s="57"/>
      <c r="M128" s="57"/>
      <c r="N128" s="76"/>
    </row>
    <row r="129" spans="2:14" x14ac:dyDescent="0.25">
      <c r="B129" s="75"/>
      <c r="C129" s="57"/>
      <c r="D129" s="118"/>
      <c r="E129" s="119"/>
      <c r="F129" s="120"/>
      <c r="G129" s="57"/>
      <c r="H129" s="57"/>
      <c r="I129" s="57"/>
      <c r="J129" s="57"/>
      <c r="K129" s="57"/>
      <c r="L129" s="57"/>
      <c r="M129" s="57"/>
      <c r="N129" s="76"/>
    </row>
    <row r="130" spans="2:14" x14ac:dyDescent="0.25">
      <c r="B130" s="75"/>
      <c r="C130" s="57"/>
      <c r="D130" s="118"/>
      <c r="E130" s="119"/>
      <c r="F130" s="120"/>
      <c r="G130" s="57"/>
      <c r="H130" s="57"/>
      <c r="I130" s="57"/>
      <c r="J130" s="57"/>
      <c r="K130" s="57"/>
      <c r="L130" s="57"/>
      <c r="M130" s="57"/>
      <c r="N130" s="76"/>
    </row>
    <row r="131" spans="2:14" x14ac:dyDescent="0.25">
      <c r="B131" s="75"/>
      <c r="C131" s="57"/>
      <c r="D131" s="118"/>
      <c r="E131" s="119"/>
      <c r="F131" s="120"/>
      <c r="G131" s="57"/>
      <c r="H131" s="57"/>
      <c r="I131" s="57"/>
      <c r="J131" s="57"/>
      <c r="K131" s="57"/>
      <c r="L131" s="57"/>
      <c r="M131" s="57"/>
      <c r="N131" s="76"/>
    </row>
    <row r="132" spans="2:14" x14ac:dyDescent="0.25">
      <c r="B132" s="75"/>
      <c r="C132" s="57"/>
      <c r="D132" s="118"/>
      <c r="E132" s="119"/>
      <c r="F132" s="120"/>
      <c r="G132" s="57"/>
      <c r="H132" s="57"/>
      <c r="I132" s="57"/>
      <c r="J132" s="57"/>
      <c r="K132" s="57"/>
      <c r="L132" s="57"/>
      <c r="M132" s="57"/>
      <c r="N132" s="76"/>
    </row>
    <row r="133" spans="2:14" x14ac:dyDescent="0.25">
      <c r="B133" s="75"/>
      <c r="C133" s="57"/>
      <c r="D133" s="118"/>
      <c r="E133" s="119"/>
      <c r="F133" s="120"/>
      <c r="G133" s="57"/>
      <c r="H133" s="57"/>
      <c r="I133" s="57"/>
      <c r="J133" s="57"/>
      <c r="K133" s="57"/>
      <c r="L133" s="57"/>
      <c r="M133" s="57"/>
      <c r="N133" s="76"/>
    </row>
    <row r="134" spans="2:14" x14ac:dyDescent="0.25">
      <c r="B134" s="75"/>
      <c r="C134" s="57"/>
      <c r="D134" s="118"/>
      <c r="E134" s="119"/>
      <c r="F134" s="120"/>
      <c r="G134" s="57"/>
      <c r="H134" s="57"/>
      <c r="I134" s="57"/>
      <c r="J134" s="57"/>
      <c r="K134" s="57"/>
      <c r="L134" s="57"/>
      <c r="M134" s="57"/>
      <c r="N134" s="76"/>
    </row>
    <row r="135" spans="2:14" x14ac:dyDescent="0.25">
      <c r="B135" s="75"/>
      <c r="C135" s="57"/>
      <c r="D135" s="118"/>
      <c r="E135" s="119"/>
      <c r="F135" s="120"/>
      <c r="G135" s="57"/>
      <c r="H135" s="57"/>
      <c r="I135" s="57"/>
      <c r="J135" s="57"/>
      <c r="K135" s="57"/>
      <c r="L135" s="57"/>
      <c r="M135" s="57"/>
      <c r="N135" s="76"/>
    </row>
    <row r="136" spans="2:14" x14ac:dyDescent="0.25">
      <c r="B136" s="75"/>
      <c r="C136" s="57"/>
      <c r="D136" s="118"/>
      <c r="E136" s="121"/>
      <c r="F136" s="120"/>
      <c r="G136" s="57"/>
      <c r="H136" s="57"/>
      <c r="I136" s="57"/>
      <c r="J136" s="57"/>
      <c r="K136" s="57"/>
      <c r="L136" s="57"/>
      <c r="M136" s="57"/>
      <c r="N136" s="76"/>
    </row>
    <row r="137" spans="2:14" x14ac:dyDescent="0.25">
      <c r="B137" s="75"/>
      <c r="C137" s="57"/>
      <c r="D137" s="57"/>
      <c r="E137" s="57"/>
      <c r="F137" s="117"/>
      <c r="G137" s="57"/>
      <c r="H137" s="57"/>
      <c r="I137" s="57"/>
      <c r="J137" s="57"/>
      <c r="K137" s="57"/>
      <c r="L137" s="57"/>
      <c r="M137" s="57"/>
      <c r="N137" s="76"/>
    </row>
    <row r="138" spans="2:14" x14ac:dyDescent="0.25">
      <c r="B138" s="75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76"/>
    </row>
    <row r="139" spans="2:14" x14ac:dyDescent="0.25">
      <c r="B139" s="75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76"/>
    </row>
    <row r="140" spans="2:14" ht="15.75" thickBot="1" x14ac:dyDescent="0.3">
      <c r="B140" s="77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9"/>
    </row>
  </sheetData>
  <mergeCells count="10">
    <mergeCell ref="C106:M107"/>
    <mergeCell ref="C54:F54"/>
    <mergeCell ref="C71:M72"/>
    <mergeCell ref="C74:F74"/>
    <mergeCell ref="C89:F89"/>
    <mergeCell ref="C1:M2"/>
    <mergeCell ref="C4:F4"/>
    <mergeCell ref="C19:F19"/>
    <mergeCell ref="C36:M37"/>
    <mergeCell ref="C39:F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DASHBOARD</vt:lpstr>
      <vt:lpstr>Financiamiento(N)</vt:lpstr>
      <vt:lpstr>Caja Chica APBH</vt:lpstr>
      <vt:lpstr>Rubro-Partida</vt:lpstr>
      <vt:lpstr>Procedimientos de contratación</vt:lpstr>
      <vt:lpstr>Rótulos</vt:lpstr>
      <vt:lpstr>Estadisticas y graficos</vt:lpstr>
      <vt:lpstr>'Financiamiento(N)'!Rubros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Germán Alves</dc:creator>
  <cp:lastModifiedBy>Luffi</cp:lastModifiedBy>
  <cp:lastPrinted>2022-06-09T20:36:53Z</cp:lastPrinted>
  <dcterms:created xsi:type="dcterms:W3CDTF">2012-10-26T01:33:44Z</dcterms:created>
  <dcterms:modified xsi:type="dcterms:W3CDTF">2022-06-14T19:17:23Z</dcterms:modified>
</cp:coreProperties>
</file>