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reart\OneDrive\Documents\UDACITY GPMND\Activiation &amp; Retention Strategy\Project 2 submission\"/>
    </mc:Choice>
  </mc:AlternateContent>
  <xr:revisionPtr revIDLastSave="0" documentId="13_ncr:1_{11A82C62-BD8A-4405-A012-72334CC3D4A0}" xr6:coauthVersionLast="47" xr6:coauthVersionMax="47" xr10:uidLastSave="{00000000-0000-0000-0000-000000000000}"/>
  <bookViews>
    <workbookView xWindow="-120" yWindow="-120" windowWidth="20730" windowHeight="11040" tabRatio="693" activeTab="2" xr2:uid="{00000000-000D-0000-FFFF-FFFF00000000}"/>
  </bookViews>
  <sheets>
    <sheet name="Deliverables" sheetId="1" r:id="rId1"/>
    <sheet name="Tab 1 - Measure drop-offs" sheetId="2" r:id="rId2"/>
    <sheet name="Tab 2 - Signup Experiments" sheetId="3" r:id="rId3"/>
    <sheet name="Tab 3 - Activation Hypothesis" sheetId="4" r:id="rId4"/>
    <sheet name="Tab 4 - Habit Moment and Metric" sheetId="5" r:id="rId5"/>
    <sheet name="Tab 5 - Aha Moment and Metric A" sheetId="6" r:id="rId6"/>
    <sheet name="Tab 6 - Setup Moment and Metric" sheetId="7" r:id="rId7"/>
    <sheet name="Tab 7 - Activation Funnel" sheetId="8" r:id="rId8"/>
    <sheet name="Tab 8 - Segment Analys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3" i="3" l="1"/>
  <c r="I84" i="9"/>
  <c r="I85" i="9"/>
  <c r="I86" i="9"/>
  <c r="I87" i="9"/>
  <c r="I88" i="9"/>
  <c r="I89" i="9"/>
  <c r="H84" i="9"/>
  <c r="H85" i="9"/>
  <c r="H86" i="9"/>
  <c r="H87" i="9"/>
  <c r="H88" i="9"/>
  <c r="H89" i="9"/>
  <c r="F84" i="9"/>
  <c r="F85" i="9"/>
  <c r="F86" i="9"/>
  <c r="F87" i="9"/>
  <c r="F88" i="9"/>
  <c r="F89" i="9"/>
  <c r="D84" i="9"/>
  <c r="D85" i="9"/>
  <c r="D86" i="9"/>
  <c r="D87" i="9"/>
  <c r="D88" i="9"/>
  <c r="D89" i="9"/>
  <c r="I63" i="9"/>
  <c r="I64" i="9"/>
  <c r="I65" i="9"/>
  <c r="I66" i="9"/>
  <c r="I67" i="9"/>
  <c r="I68" i="9"/>
  <c r="I69" i="9"/>
  <c r="I70" i="9"/>
  <c r="H63" i="9"/>
  <c r="H64" i="9"/>
  <c r="H65" i="9"/>
  <c r="H66" i="9"/>
  <c r="H67" i="9"/>
  <c r="H68" i="9"/>
  <c r="H69" i="9"/>
  <c r="H70" i="9"/>
  <c r="F63" i="9"/>
  <c r="F64" i="9"/>
  <c r="F65" i="9"/>
  <c r="F66" i="9"/>
  <c r="F67" i="9"/>
  <c r="F68" i="9"/>
  <c r="F69" i="9"/>
  <c r="F70" i="9"/>
  <c r="D63" i="9"/>
  <c r="D64" i="9"/>
  <c r="D65" i="9"/>
  <c r="D66" i="9"/>
  <c r="D67" i="9"/>
  <c r="D68" i="9"/>
  <c r="D69" i="9"/>
  <c r="D70" i="9"/>
  <c r="I41" i="9"/>
  <c r="I42" i="9"/>
  <c r="I43" i="9"/>
  <c r="I44" i="9"/>
  <c r="I45" i="9"/>
  <c r="I46" i="9"/>
  <c r="I47" i="9"/>
  <c r="I48" i="9"/>
  <c r="I49" i="9"/>
  <c r="H41" i="9"/>
  <c r="H42" i="9"/>
  <c r="H43" i="9"/>
  <c r="H44" i="9"/>
  <c r="H45" i="9"/>
  <c r="H46" i="9"/>
  <c r="H47" i="9"/>
  <c r="H48" i="9"/>
  <c r="H49" i="9"/>
  <c r="F42" i="9"/>
  <c r="F43" i="9"/>
  <c r="F44" i="9"/>
  <c r="F45" i="9"/>
  <c r="F46" i="9"/>
  <c r="F47" i="9"/>
  <c r="F48" i="9"/>
  <c r="F49" i="9"/>
  <c r="F41" i="9"/>
  <c r="D42" i="9"/>
  <c r="D43" i="9"/>
  <c r="D44" i="9"/>
  <c r="D45" i="9"/>
  <c r="D46" i="9"/>
  <c r="D47" i="9"/>
  <c r="D48" i="9"/>
  <c r="D49" i="9"/>
  <c r="D41" i="9"/>
  <c r="I21" i="9"/>
  <c r="I22" i="9"/>
  <c r="I23" i="9"/>
  <c r="I24" i="9"/>
  <c r="I25" i="9"/>
  <c r="I26" i="9"/>
  <c r="I27" i="9"/>
  <c r="I20" i="9"/>
  <c r="H21" i="9"/>
  <c r="H22" i="9"/>
  <c r="H23" i="9"/>
  <c r="H24" i="9"/>
  <c r="H25" i="9"/>
  <c r="H26" i="9"/>
  <c r="H27" i="9"/>
  <c r="H20" i="9"/>
  <c r="F21" i="9"/>
  <c r="F22" i="9"/>
  <c r="F23" i="9"/>
  <c r="F24" i="9"/>
  <c r="F25" i="9"/>
  <c r="F26" i="9"/>
  <c r="F27" i="9"/>
  <c r="F20" i="9"/>
  <c r="D21" i="9"/>
  <c r="D22" i="9"/>
  <c r="D23" i="9"/>
  <c r="D24" i="9"/>
  <c r="D25" i="9"/>
  <c r="D26" i="9"/>
  <c r="D27" i="9"/>
  <c r="D20" i="9"/>
  <c r="F41" i="7"/>
  <c r="F42" i="7"/>
  <c r="F43" i="7"/>
  <c r="F44" i="7"/>
  <c r="F45" i="7"/>
  <c r="F46" i="7"/>
  <c r="F40" i="7"/>
  <c r="F29" i="7"/>
  <c r="F30" i="7"/>
  <c r="F31" i="7"/>
  <c r="F32" i="7"/>
  <c r="F33" i="7"/>
  <c r="F34" i="7"/>
  <c r="F28" i="7"/>
  <c r="F18" i="7"/>
  <c r="F19" i="7"/>
  <c r="F20" i="7"/>
  <c r="F21" i="7"/>
  <c r="F22" i="7"/>
  <c r="F17" i="7"/>
  <c r="F42" i="6"/>
  <c r="F43" i="6"/>
  <c r="F44" i="6"/>
  <c r="F45" i="6"/>
  <c r="F46" i="6"/>
  <c r="F47" i="6"/>
  <c r="F41" i="6"/>
  <c r="F30" i="6"/>
  <c r="F31" i="6"/>
  <c r="F32" i="6"/>
  <c r="F33" i="6"/>
  <c r="F34" i="6"/>
  <c r="F35" i="6"/>
  <c r="F29" i="6"/>
  <c r="F19" i="6"/>
  <c r="F20" i="6"/>
  <c r="F21" i="6"/>
  <c r="F22" i="6"/>
  <c r="F23" i="6"/>
  <c r="F18" i="6"/>
  <c r="H32" i="2"/>
  <c r="G32" i="2"/>
  <c r="F32" i="2"/>
  <c r="F43" i="5"/>
  <c r="F44" i="5"/>
  <c r="F45" i="5"/>
  <c r="F46" i="5"/>
  <c r="F47" i="5"/>
  <c r="F48" i="5"/>
  <c r="F42" i="5"/>
  <c r="F31" i="5"/>
  <c r="F32" i="5"/>
  <c r="F33" i="5"/>
  <c r="F34" i="5"/>
  <c r="F35" i="5"/>
  <c r="F36" i="5"/>
  <c r="F30" i="5"/>
  <c r="F20" i="5"/>
  <c r="F21" i="5"/>
  <c r="F22" i="5"/>
  <c r="F23" i="5"/>
  <c r="F24" i="5"/>
  <c r="F19" i="5"/>
  <c r="P22" i="3"/>
  <c r="P21" i="3"/>
  <c r="P20" i="3"/>
  <c r="F23" i="2"/>
  <c r="F24" i="2"/>
  <c r="F25" i="2"/>
  <c r="F26" i="2"/>
  <c r="F27" i="2"/>
  <c r="F28" i="2"/>
  <c r="F29" i="2"/>
  <c r="F22" i="2"/>
  <c r="E23" i="2"/>
  <c r="E24" i="2"/>
  <c r="E25" i="2"/>
  <c r="E26" i="2"/>
  <c r="E27" i="2"/>
  <c r="E28" i="2"/>
  <c r="E22" i="2"/>
  <c r="D23" i="2"/>
  <c r="D24" i="2"/>
  <c r="D25" i="2"/>
  <c r="D26" i="2"/>
  <c r="D27" i="2"/>
  <c r="D28" i="2"/>
  <c r="D22" i="2"/>
  <c r="G89" i="9"/>
  <c r="E89" i="9"/>
  <c r="C89" i="9"/>
  <c r="B89" i="9"/>
  <c r="B83" i="9"/>
  <c r="G70" i="9"/>
  <c r="E70" i="9"/>
  <c r="C70" i="9"/>
  <c r="B70" i="9"/>
  <c r="B62" i="9"/>
  <c r="G49" i="9"/>
  <c r="E49" i="9"/>
  <c r="C49" i="9"/>
  <c r="B49" i="9"/>
  <c r="B40" i="9"/>
  <c r="G27" i="9"/>
  <c r="E27" i="9"/>
  <c r="C27" i="9"/>
  <c r="B26" i="9"/>
  <c r="B25" i="9"/>
  <c r="B24" i="9"/>
  <c r="B23" i="9"/>
  <c r="B22" i="9"/>
  <c r="B21" i="9"/>
  <c r="B20" i="9"/>
  <c r="B19" i="9"/>
  <c r="B27" i="9" s="1"/>
  <c r="D19" i="8"/>
  <c r="D18" i="8"/>
  <c r="D17" i="8"/>
  <c r="D16" i="8"/>
  <c r="B16" i="8"/>
  <c r="A16" i="8"/>
  <c r="D15" i="8"/>
  <c r="D14" i="8"/>
  <c r="B14" i="8"/>
  <c r="A14" i="8"/>
  <c r="D13" i="8"/>
  <c r="D12" i="8"/>
  <c r="B12" i="8"/>
  <c r="A12" i="8"/>
  <c r="D11" i="8"/>
  <c r="D10" i="8"/>
  <c r="D9" i="8"/>
  <c r="D8" i="8"/>
  <c r="D7" i="8"/>
  <c r="D6" i="8"/>
  <c r="D5" i="8"/>
  <c r="D4" i="8"/>
  <c r="D3" i="8"/>
  <c r="D2" i="8"/>
  <c r="D46" i="7"/>
  <c r="B46" i="7"/>
  <c r="E46" i="7" s="1"/>
  <c r="E45" i="7"/>
  <c r="D45" i="7"/>
  <c r="B45" i="7"/>
  <c r="D44" i="7"/>
  <c r="B44" i="7"/>
  <c r="E44" i="7" s="1"/>
  <c r="D43" i="7"/>
  <c r="B43" i="7"/>
  <c r="E43" i="7" s="1"/>
  <c r="E42" i="7"/>
  <c r="D42" i="7"/>
  <c r="B42" i="7"/>
  <c r="D41" i="7"/>
  <c r="B41" i="7"/>
  <c r="E41" i="7" s="1"/>
  <c r="D40" i="7"/>
  <c r="C40" i="7"/>
  <c r="B40" i="7"/>
  <c r="E40" i="7" s="1"/>
  <c r="E34" i="7"/>
  <c r="D33" i="7"/>
  <c r="C33" i="7"/>
  <c r="E33" i="7" s="1"/>
  <c r="D32" i="7"/>
  <c r="C32" i="7"/>
  <c r="E32" i="7" s="1"/>
  <c r="E31" i="7"/>
  <c r="D31" i="7"/>
  <c r="C31" i="7"/>
  <c r="D30" i="7"/>
  <c r="C30" i="7"/>
  <c r="E30" i="7" s="1"/>
  <c r="D29" i="7"/>
  <c r="C29" i="7"/>
  <c r="B29" i="7"/>
  <c r="E29" i="7" s="1"/>
  <c r="B28" i="7"/>
  <c r="E28" i="7" s="1"/>
  <c r="E22" i="7"/>
  <c r="D22" i="7"/>
  <c r="C22" i="7"/>
  <c r="B22" i="7"/>
  <c r="E21" i="7"/>
  <c r="D21" i="7"/>
  <c r="C21" i="7"/>
  <c r="B21" i="7"/>
  <c r="E20" i="7"/>
  <c r="D20" i="7"/>
  <c r="C20" i="7"/>
  <c r="B20" i="7"/>
  <c r="E19" i="7"/>
  <c r="D19" i="7"/>
  <c r="C19" i="7"/>
  <c r="B19" i="7"/>
  <c r="E18" i="7"/>
  <c r="D18" i="7"/>
  <c r="C18" i="7"/>
  <c r="B18" i="7"/>
  <c r="E17" i="7"/>
  <c r="D17" i="7"/>
  <c r="C17" i="7"/>
  <c r="B17" i="7"/>
  <c r="E16" i="7"/>
  <c r="D16" i="7"/>
  <c r="C16" i="7"/>
  <c r="B16" i="7"/>
  <c r="E47" i="6"/>
  <c r="D47" i="6"/>
  <c r="C47" i="6"/>
  <c r="B47" i="6"/>
  <c r="E46" i="6"/>
  <c r="D46" i="6"/>
  <c r="C46" i="6"/>
  <c r="B46" i="6"/>
  <c r="E45" i="6"/>
  <c r="D45" i="6"/>
  <c r="C45" i="6"/>
  <c r="B45" i="6"/>
  <c r="E44" i="6"/>
  <c r="D44" i="6"/>
  <c r="C44" i="6"/>
  <c r="B44" i="6"/>
  <c r="E43" i="6"/>
  <c r="D43" i="6"/>
  <c r="C43" i="6"/>
  <c r="B43" i="6"/>
  <c r="E42" i="6"/>
  <c r="D42" i="6"/>
  <c r="C42" i="6"/>
  <c r="B42" i="6"/>
  <c r="E41" i="6"/>
  <c r="D41" i="6"/>
  <c r="C41" i="6"/>
  <c r="B41" i="6"/>
  <c r="E35" i="6"/>
  <c r="D35" i="6"/>
  <c r="C35" i="6"/>
  <c r="B35" i="6"/>
  <c r="E34" i="6"/>
  <c r="D34" i="6"/>
  <c r="C34" i="6"/>
  <c r="B34" i="6"/>
  <c r="E33" i="6"/>
  <c r="D33" i="6"/>
  <c r="C33" i="6"/>
  <c r="B33" i="6"/>
  <c r="E32" i="6"/>
  <c r="D32" i="6"/>
  <c r="C32" i="6"/>
  <c r="B32" i="6"/>
  <c r="E31" i="6"/>
  <c r="D31" i="6"/>
  <c r="C31" i="6"/>
  <c r="B31" i="6"/>
  <c r="E30" i="6"/>
  <c r="D30" i="6"/>
  <c r="C30" i="6"/>
  <c r="B30" i="6"/>
  <c r="E29" i="6"/>
  <c r="B29" i="6"/>
  <c r="E23" i="6"/>
  <c r="D23" i="6"/>
  <c r="E22" i="6"/>
  <c r="D22" i="6"/>
  <c r="E21" i="6"/>
  <c r="D21" i="6"/>
  <c r="E20" i="6"/>
  <c r="D20" i="6"/>
  <c r="B20" i="6"/>
  <c r="E19" i="6"/>
  <c r="D19" i="6"/>
  <c r="B19" i="6"/>
  <c r="D18" i="6"/>
  <c r="B18" i="6"/>
  <c r="E18" i="6" s="1"/>
  <c r="D17" i="6"/>
  <c r="C17" i="6"/>
  <c r="B17" i="6"/>
  <c r="E17" i="6" s="1"/>
  <c r="E48" i="5"/>
  <c r="B48" i="5"/>
  <c r="B47" i="5"/>
  <c r="E47" i="5" s="1"/>
  <c r="E46" i="5"/>
  <c r="B46" i="5"/>
  <c r="B45" i="5"/>
  <c r="E45" i="5" s="1"/>
  <c r="E44" i="5"/>
  <c r="B44" i="5"/>
  <c r="B43" i="5"/>
  <c r="E43" i="5" s="1"/>
  <c r="E42" i="5"/>
  <c r="B42" i="5"/>
  <c r="D36" i="5"/>
  <c r="C36" i="5"/>
  <c r="E36" i="5" s="1"/>
  <c r="B36" i="5"/>
  <c r="D35" i="5"/>
  <c r="C35" i="5"/>
  <c r="E35" i="5" s="1"/>
  <c r="B35" i="5"/>
  <c r="D34" i="5"/>
  <c r="C34" i="5"/>
  <c r="E34" i="5" s="1"/>
  <c r="B34" i="5"/>
  <c r="D33" i="5"/>
  <c r="C33" i="5"/>
  <c r="E33" i="5" s="1"/>
  <c r="B33" i="5"/>
  <c r="D32" i="5"/>
  <c r="C32" i="5"/>
  <c r="E32" i="5" s="1"/>
  <c r="B32" i="5"/>
  <c r="D31" i="5"/>
  <c r="C31" i="5"/>
  <c r="E31" i="5" s="1"/>
  <c r="B31" i="5"/>
  <c r="D30" i="5"/>
  <c r="C30" i="5"/>
  <c r="E30" i="5" s="1"/>
  <c r="B30" i="5"/>
  <c r="E24" i="5"/>
  <c r="E23" i="5"/>
  <c r="E22" i="5"/>
  <c r="B21" i="5"/>
  <c r="E21" i="5" s="1"/>
  <c r="E20" i="5"/>
  <c r="B20" i="5"/>
  <c r="B19" i="5"/>
  <c r="E19" i="5" s="1"/>
  <c r="E18" i="5"/>
  <c r="D18" i="5"/>
  <c r="C18" i="5"/>
  <c r="B18" i="5"/>
  <c r="A6" i="4"/>
  <c r="P19" i="3"/>
  <c r="C29" i="2"/>
  <c r="C30" i="2" s="1"/>
  <c r="D29" i="2" s="1"/>
  <c r="E29" i="2" s="1"/>
  <c r="C28" i="2"/>
  <c r="C27" i="2"/>
  <c r="C26" i="2"/>
  <c r="C25" i="2"/>
  <c r="C24" i="2"/>
  <c r="C23" i="2"/>
  <c r="C22" i="2"/>
  <c r="C21" i="2"/>
  <c r="A4" i="1"/>
  <c r="B18" i="9" l="1"/>
</calcChain>
</file>

<file path=xl/sharedStrings.xml><?xml version="1.0" encoding="utf-8"?>
<sst xmlns="http://schemas.openxmlformats.org/spreadsheetml/2006/main" count="694" uniqueCount="446">
  <si>
    <t>Activation Analysis</t>
  </si>
  <si>
    <r>
      <rPr>
        <b/>
        <sz val="10"/>
        <color theme="1"/>
        <rFont val="Arial"/>
        <family val="2"/>
      </rPr>
      <t>Instructions:</t>
    </r>
    <r>
      <rPr>
        <sz val="10"/>
        <color theme="1"/>
        <rFont val="Arial"/>
        <family val="2"/>
      </rPr>
      <t xml:space="preserve"> In Course 1, you learned how to acquire a customer. Now you have driven your prospect to the point of signup, this prospect is handed off from the Growth PM focused on acquisition to Growth PM focused on activation, YOU. </t>
    </r>
  </si>
  <si>
    <t xml:space="preserve">These tasks will help you understand how to decrease time-to-value and remove friction for users when signing up. After signing up, it's important to activate customers so they experience your value proposition as early as possible, so we must activate users quickly. 
</t>
  </si>
  <si>
    <t>Step 2: Complete Tabs 3 - 8 in order by signing up for Slack: https://slack.com/get-started. These tasks will help you understand how to apply activation theories to guide users from 1-stage to another (signup to engagement) in the Activation model and how to segment audiences and use levers to increase engagement. You are using two different companies (Slack and Productboard) in the project because it will allow you to apply the frameworks, theories, and methods in the classroom to multiple examples, seeing how a GPM at a large and a small scale company address signup flow and activation.</t>
  </si>
  <si>
    <t xml:space="preserve">These tasks will help you understand how to apply activation theories to guide users from 1-stage to another (signup to engagement) in the Activation flow, how to segment audiences and use levers to increase engagement. </t>
  </si>
  <si>
    <t>You are using two different companies (Slack and Productboard) in the project because it will allow you to apply the frameworks, theories, and methods in the classroom to multiple contexts. You will get a feeling for how a GPM at a large and a small scale company address signup flow and activation.</t>
  </si>
  <si>
    <r>
      <rPr>
        <b/>
        <sz val="10"/>
        <color theme="1"/>
        <rFont val="Arial"/>
        <family val="2"/>
      </rPr>
      <t>Note:</t>
    </r>
    <r>
      <rPr>
        <sz val="10"/>
        <color theme="1"/>
        <rFont val="Arial"/>
        <family val="2"/>
      </rPr>
      <t xml:space="preserve"> If you are unable to or have not used Slack before, imagine a product that is the equivalent to SMS, Messenger, or Whatsapp, but for business use-case. Think of the tools mentioned above as an equivalent if you are unable to think of the moments for Slack.</t>
    </r>
  </si>
  <si>
    <t>Mark a task completed on Column B after completing each Tab. To help you keep track of what you have completed.</t>
  </si>
  <si>
    <t>Tab</t>
  </si>
  <si>
    <t>Completed?</t>
  </si>
  <si>
    <t>Tasks</t>
  </si>
  <si>
    <t>Signup Flow</t>
  </si>
  <si>
    <t>Measure drop-offs</t>
  </si>
  <si>
    <t>Signup Experiments</t>
  </si>
  <si>
    <t>Understand Product</t>
  </si>
  <si>
    <t>Activation Hypothesis</t>
  </si>
  <si>
    <t>Funnel Analysis</t>
  </si>
  <si>
    <t>Habit Moment and Metric Analysis</t>
  </si>
  <si>
    <t>Aha Moment and Metric Analysis</t>
  </si>
  <si>
    <t>Setup Moment and Metric Analysis</t>
  </si>
  <si>
    <t>Activation Funnel</t>
  </si>
  <si>
    <t>Activation by Segment</t>
  </si>
  <si>
    <t>Segment Analysis</t>
  </si>
  <si>
    <r>
      <rPr>
        <b/>
        <sz val="10"/>
        <color theme="1"/>
        <rFont val="Arial"/>
        <family val="2"/>
      </rPr>
      <t xml:space="preserve">Scenario: </t>
    </r>
    <r>
      <rPr>
        <sz val="10"/>
        <color theme="1"/>
        <rFont val="Arial"/>
        <family val="2"/>
      </rPr>
      <t xml:space="preserve">You have been brought onto a project at Productboard to help the company optimize the signup flow. 
 </t>
    </r>
  </si>
  <si>
    <t>Your task is to analyze each step in the sign up flow that a user would go through.</t>
  </si>
  <si>
    <t>Qualitatively, understand what each step is asking and if it creates any bad friction.</t>
  </si>
  <si>
    <t>Quantitatively, measure the amount of input (click and fields) it takes for the user to complete each step and what the drop-off rates are.</t>
  </si>
  <si>
    <t>Once you understand the existing flow, suggest experiments to reduce drop-offs %. Doing so, you will increase the amount of leads to the top of the funnel.</t>
  </si>
  <si>
    <r>
      <rPr>
        <b/>
        <sz val="10"/>
        <color theme="1"/>
        <rFont val="Arial"/>
        <family val="2"/>
      </rPr>
      <t xml:space="preserve">Skill: </t>
    </r>
    <r>
      <rPr>
        <sz val="10"/>
        <color theme="1"/>
        <rFont val="Arial"/>
        <family val="2"/>
      </rPr>
      <t>You should:
(1) Calculate drop-offs at each step of sign up flow
(2) Analyze how to reduce drop-offs (increase the signup completion rate) in the flow
(3) Think on how to get users through the activation funnel
(4) Create experiments using the [ACTION], [OUTCOME], and [THEORY] framework.</t>
    </r>
  </si>
  <si>
    <r>
      <rPr>
        <b/>
        <sz val="10"/>
        <color theme="1"/>
        <rFont val="Arial"/>
        <family val="2"/>
      </rPr>
      <t xml:space="preserve">Instructions: </t>
    </r>
    <r>
      <rPr>
        <sz val="10"/>
        <color theme="1"/>
        <rFont val="Arial"/>
        <family val="2"/>
      </rPr>
      <t xml:space="preserve">Sign Up for the free trial of productboard (https://app.productboard.com/register) to complete in-order, a row-at-a-time, the 9 sign-up steps in Column A. Each screen in the sign up on productboard will equal a row in this sheet. Pause at each screen on signup to complete the analysis on each row in this sheet by filling in the questions in the columns for that step before continuing with your sign up on productboard. Along the way, address the questions and calculations in Row 20 to explain your understanding of friction in each step and suggest experiments to address any frictions. Complete the task 1-row at a time from Row 22 - 29. </t>
    </r>
  </si>
  <si>
    <r>
      <rPr>
        <b/>
        <sz val="10"/>
        <color theme="1"/>
        <rFont val="Arial"/>
        <family val="2"/>
      </rPr>
      <t xml:space="preserve">1. </t>
    </r>
    <r>
      <rPr>
        <sz val="10"/>
        <color theme="1"/>
        <rFont val="Arial"/>
        <family val="2"/>
      </rPr>
      <t>Take the Click Through # and calculate the fields on Column D, E, and F.</t>
    </r>
  </si>
  <si>
    <r>
      <rPr>
        <b/>
        <sz val="10"/>
        <color theme="1"/>
        <rFont val="Arial"/>
        <family val="2"/>
      </rPr>
      <t xml:space="preserve">2. </t>
    </r>
    <r>
      <rPr>
        <sz val="10"/>
        <color theme="1"/>
        <rFont val="Arial"/>
        <family val="2"/>
      </rPr>
      <t>Fill in the # of clicks and fields in Column G and H as you go through each step of the sign up flow.</t>
    </r>
  </si>
  <si>
    <t>3. In Column M and N, take the CTA directly from the sign-up flow and document the CTA and an explanation of the information that is being asked</t>
  </si>
  <si>
    <r>
      <rPr>
        <b/>
        <sz val="10"/>
        <color theme="1"/>
        <rFont val="Arial"/>
        <family val="2"/>
      </rPr>
      <t xml:space="preserve">4. </t>
    </r>
    <r>
      <rPr>
        <sz val="10"/>
        <color theme="1"/>
        <rFont val="Arial"/>
        <family val="2"/>
      </rPr>
      <t>In Column O explain your understanding of the value extracted from the information collected.</t>
    </r>
  </si>
  <si>
    <r>
      <rPr>
        <b/>
        <sz val="10"/>
        <color theme="1"/>
        <rFont val="Arial"/>
        <family val="2"/>
      </rPr>
      <t xml:space="preserve">5. </t>
    </r>
    <r>
      <rPr>
        <sz val="10"/>
        <color theme="1"/>
        <rFont val="Arial"/>
        <family val="2"/>
      </rPr>
      <t>In Column P, Q, and R, reply with a binary yes/no; If no, then explain your reasoning.</t>
    </r>
  </si>
  <si>
    <r>
      <rPr>
        <b/>
        <sz val="10"/>
        <color theme="1"/>
        <rFont val="Arial"/>
        <family val="2"/>
      </rPr>
      <t xml:space="preserve">6. </t>
    </r>
    <r>
      <rPr>
        <sz val="10"/>
        <color theme="1"/>
        <rFont val="Arial"/>
        <family val="2"/>
      </rPr>
      <t>Demonstrate your understanding of good and bad friction in Columns S to V by applying the concept of friction to this specific sign up flow.</t>
    </r>
  </si>
  <si>
    <r>
      <rPr>
        <b/>
        <sz val="10"/>
        <color theme="1"/>
        <rFont val="Arial"/>
        <family val="2"/>
      </rPr>
      <t xml:space="preserve">7. </t>
    </r>
    <r>
      <rPr>
        <sz val="10"/>
        <color theme="1"/>
        <rFont val="Arial"/>
        <family val="2"/>
      </rPr>
      <t xml:space="preserve">In Column W, create a experiment brief using the [ACTION], [OUTCOME], and [THEORY] framework. </t>
    </r>
  </si>
  <si>
    <t>Cells in Orange have been completed for you as an example. The formulas have been removed.</t>
  </si>
  <si>
    <t>A</t>
  </si>
  <si>
    <t>B</t>
  </si>
  <si>
    <t xml:space="preserve">C </t>
  </si>
  <si>
    <t>D</t>
  </si>
  <si>
    <t>E</t>
  </si>
  <si>
    <t>F</t>
  </si>
  <si>
    <t>G</t>
  </si>
  <si>
    <t xml:space="preserve">H </t>
  </si>
  <si>
    <t>I</t>
  </si>
  <si>
    <t>J</t>
  </si>
  <si>
    <t>K</t>
  </si>
  <si>
    <t>L</t>
  </si>
  <si>
    <t>M</t>
  </si>
  <si>
    <t>N</t>
  </si>
  <si>
    <t>O</t>
  </si>
  <si>
    <t>P</t>
  </si>
  <si>
    <t>Q</t>
  </si>
  <si>
    <t>R</t>
  </si>
  <si>
    <t>S</t>
  </si>
  <si>
    <t>T</t>
  </si>
  <si>
    <t>U</t>
  </si>
  <si>
    <t>V</t>
  </si>
  <si>
    <t>W</t>
  </si>
  <si>
    <t>Step</t>
  </si>
  <si>
    <t>Name</t>
  </si>
  <si>
    <t>Click-through #</t>
  </si>
  <si>
    <t>Click-through %</t>
  </si>
  <si>
    <t>Drop-off % at each step</t>
  </si>
  <si>
    <r>
      <rPr>
        <b/>
        <sz val="10"/>
        <color theme="1"/>
        <rFont val="Arial"/>
        <family val="2"/>
      </rPr>
      <t xml:space="preserve">Drop-off % through funnel </t>
    </r>
    <r>
      <rPr>
        <sz val="10"/>
        <color theme="1"/>
        <rFont val="Arial"/>
        <family val="2"/>
      </rPr>
      <t>(starting signup)</t>
    </r>
  </si>
  <si>
    <r>
      <rPr>
        <b/>
        <sz val="10"/>
        <color theme="1"/>
        <rFont val="Arial"/>
        <family val="2"/>
      </rPr>
      <t>How many total clicks to get to next step?</t>
    </r>
    <r>
      <rPr>
        <sz val="10"/>
        <color theme="1"/>
        <rFont val="Arial"/>
        <family val="2"/>
      </rPr>
      <t xml:space="preserve"> (including optional fields)</t>
    </r>
  </si>
  <si>
    <r>
      <rPr>
        <b/>
        <sz val="10"/>
        <color theme="1"/>
        <rFont val="Arial"/>
        <family val="2"/>
      </rPr>
      <t xml:space="preserve">How many fields to fill out? </t>
    </r>
    <r>
      <rPr>
        <sz val="10"/>
        <color theme="1"/>
        <rFont val="Arial"/>
        <family val="2"/>
      </rPr>
      <t>(including optional fields)</t>
    </r>
  </si>
  <si>
    <t>Observations (Personal Notes)</t>
  </si>
  <si>
    <t>What is the Call-To-Action (CTA)?</t>
  </si>
  <si>
    <t>What information is being asked on this step?</t>
  </si>
  <si>
    <t>What do you think this information is used for?</t>
  </si>
  <si>
    <t>Is the action clear? (If not, explain)</t>
  </si>
  <si>
    <t>Do you think this step is located in the correct (most natural) order of the flow? (If not, explain)</t>
  </si>
  <si>
    <t>Is this step necessary? (If not, explain)</t>
  </si>
  <si>
    <t>Is this good friction or bad friction?</t>
  </si>
  <si>
    <t>If bad friction, how can it be addressed?</t>
  </si>
  <si>
    <t>Why might you not want to remove this bad friction?</t>
  </si>
  <si>
    <t>Can the amount of clicks be reduced? If so, how?</t>
  </si>
  <si>
    <t>Experiment Brief</t>
  </si>
  <si>
    <t>Home Page</t>
  </si>
  <si>
    <t>0%%</t>
  </si>
  <si>
    <t>Just a simple home page with 2 call-to-actions (CTAs) above the fold.</t>
  </si>
  <si>
    <t>[Try Now] and [TRY NOW]</t>
  </si>
  <si>
    <t>To start the free trial by clicking the CTA</t>
  </si>
  <si>
    <t>To start the free trial</t>
  </si>
  <si>
    <t>Yes</t>
  </si>
  <si>
    <t>Good</t>
  </si>
  <si>
    <t>--</t>
  </si>
  <si>
    <t>[ACTION] If we run an a/b experiment by changing the copy from "try now" to "start free trial", or "start 14-day trial" [OUTCOME] we can evaluate if there is more click-throughs to the sign-up page [Theory] because the copy will better present that the trial is offered for free, is for 14-days, and does not require a credit card.</t>
  </si>
  <si>
    <t>Free Trial Sign Up</t>
  </si>
  <si>
    <t>Verification Email</t>
  </si>
  <si>
    <t>Activate account in email</t>
  </si>
  <si>
    <t>Submit personal info</t>
  </si>
  <si>
    <t>Name your workspace</t>
  </si>
  <si>
    <t>Invite Team</t>
  </si>
  <si>
    <t>Password</t>
  </si>
  <si>
    <t>Survey</t>
  </si>
  <si>
    <t>User in-product</t>
  </si>
  <si>
    <t>Average</t>
  </si>
  <si>
    <t>Sum</t>
  </si>
  <si>
    <r>
      <rPr>
        <b/>
        <sz val="10"/>
        <color theme="1"/>
        <rFont val="Arial"/>
        <family val="2"/>
      </rPr>
      <t>Scenario:</t>
    </r>
    <r>
      <rPr>
        <sz val="10"/>
        <color theme="1"/>
        <rFont val="Arial"/>
        <family val="2"/>
      </rPr>
      <t xml:space="preserve"> The director of PM at Productboard has looked at your analysis of experiments in Tab 1 and wants to better understand how you will implement these experiments, your hypothesis on the impacts, how you will prioritize them, and how you will measure success. Not every experiment needs to be expanded on, so he asks to choose your top 5.</t>
    </r>
  </si>
  <si>
    <r>
      <rPr>
        <b/>
        <sz val="10"/>
        <color theme="1"/>
        <rFont val="Arial"/>
        <family val="2"/>
      </rPr>
      <t xml:space="preserve">Skill: </t>
    </r>
    <r>
      <rPr>
        <sz val="10"/>
        <color theme="1"/>
        <rFont val="Arial"/>
        <family val="2"/>
      </rPr>
      <t>You will implement the ICE framework to prioritize your experiments by giving them a growth score. Note: Further analysis and input from engineering and design does occur in the wild, which is removed from the scope of this exercise.</t>
    </r>
  </si>
  <si>
    <r>
      <rPr>
        <b/>
        <sz val="10"/>
        <color theme="1"/>
        <rFont val="Arial"/>
        <family val="2"/>
      </rPr>
      <t xml:space="preserve">Instructions: </t>
    </r>
    <r>
      <rPr>
        <sz val="10"/>
        <color theme="1"/>
        <rFont val="Arial"/>
        <family val="2"/>
      </rPr>
      <t>Complete the task with 1 row (experiment) at a time.</t>
    </r>
  </si>
  <si>
    <t xml:space="preserve">1. Use 5 experiments from Tab 1 - Column W and place them into Tab 2 - Column B. </t>
  </si>
  <si>
    <t>2. In column D, elaborate on what is being tested</t>
  </si>
  <si>
    <t>3. In column E, provide a qualitative and quantitative hypothesis of what will happen</t>
  </si>
  <si>
    <t>4. In column F, describe the rationale of why you chose this experiment from any social proof, previous experience, or from any research.</t>
  </si>
  <si>
    <t>5 In column G, provide a list of stakeholders who would need to be involved to release this experiment and why</t>
  </si>
  <si>
    <t>6. In column H, document what more information is needed for you to execute on this experiment and document what assumptions you are making</t>
  </si>
  <si>
    <t>7. In column I, provide a list of metrics that need to be measured in this experiment that would verify if the experiment failed or passed</t>
  </si>
  <si>
    <t>8. In column J, provide a time-frame the experiment should be run for</t>
  </si>
  <si>
    <t>9 In column K, provide a % of users you would want to experiment with</t>
  </si>
  <si>
    <t>10. In column M - P, apply the ICE framework to your experiments</t>
  </si>
  <si>
    <t xml:space="preserve">B </t>
  </si>
  <si>
    <t>C</t>
  </si>
  <si>
    <r>
      <rPr>
        <b/>
        <sz val="10"/>
        <color theme="1"/>
        <rFont val="Arial"/>
        <family val="2"/>
      </rPr>
      <t xml:space="preserve">Experiment Brief </t>
    </r>
    <r>
      <rPr>
        <b/>
        <sz val="10"/>
        <color theme="1"/>
        <rFont val="Arial"/>
        <family val="2"/>
      </rPr>
      <t>(from Tab 1)</t>
    </r>
  </si>
  <si>
    <t>Which Step of Funnel (name and #) does this experiment impact?</t>
  </si>
  <si>
    <t>Describe what in the experiment is being tested?</t>
  </si>
  <si>
    <t>Hypothesis (What do you think will happen qualitatively and quantitatively?)</t>
  </si>
  <si>
    <t>Rationale (Why do you want to try this experiment?)</t>
  </si>
  <si>
    <t>Stakeholders (What other titles in the company needs to be involved? and why?)</t>
  </si>
  <si>
    <t>What more info do you need to decide this is an experiment you want to run? What assumptions are we making?</t>
  </si>
  <si>
    <t>What metrics should be measured?</t>
  </si>
  <si>
    <t>Length of time to run the experiment?</t>
  </si>
  <si>
    <t>What % of sign up users would you want to experiment with?</t>
  </si>
  <si>
    <t>What Friction is being removed?</t>
  </si>
  <si>
    <t>ICE - Impact? (be quantitative)</t>
  </si>
  <si>
    <t>ICE- Confidence</t>
  </si>
  <si>
    <t>ICE- Ease</t>
  </si>
  <si>
    <t>ICE - Growth Score</t>
  </si>
  <si>
    <t>[ACTION] we can remove the top 50% of the step (role, team size, team use) [OUTCOME] so that we can inc the step completion rate from 92% [THEORY] because we would be decreasing 67% of the clicks on this step.</t>
  </si>
  <si>
    <t>9 - survey</t>
  </si>
  <si>
    <t>We would remove the top portion of this step and only include the button. The screen would then only ask the user for bottom step that starts with "what are you hoping productboard will help you do?" The other steps we removed, we can look into tools like Clearbit that will help us collect the same data.</t>
  </si>
  <si>
    <t>We would remove 67% of the clicks and 4 fields from this step. At the moment the conversion on this step is 92%, but I think we can inc it to 95% as a result of this step.</t>
  </si>
  <si>
    <t>We are asking for too many fields at this step and the user is likely exhausted from going through 9 steps. We need to trim the sign up process to only the bare minimum items we need to get the user to the time-to-value as fast as possible.</t>
  </si>
  <si>
    <t>Sales team to determine how they use the survey data. Marketing team to determine how they use the survey data. Design team to create mockups of the new last step. Engineering team to unmap those fields and remove them from the back end, while keeping historical data.</t>
  </si>
  <si>
    <t>How sales uses this data? Is this data used for marketing engagement and onboarding?</t>
  </si>
  <si>
    <t xml:space="preserve">Higher step 9 conversions and higher total conversions of the funnel. </t>
  </si>
  <si>
    <t>2-weeks</t>
  </si>
  <si>
    <t>Collecting additional data that can be obtained for 3rd party resources. Asking for too much data</t>
  </si>
  <si>
    <r>
      <rPr>
        <b/>
        <sz val="10"/>
        <color theme="1"/>
        <rFont val="Arial"/>
        <family val="2"/>
      </rPr>
      <t xml:space="preserve">Scenario: </t>
    </r>
    <r>
      <rPr>
        <sz val="10"/>
        <color theme="1"/>
        <rFont val="Arial"/>
        <family val="2"/>
      </rPr>
      <t>After doing such an amazing job for Productboard with signup, you have now been brought onto a project at Slack. Slack's revenues have been decreasing by 5% and leadership believes it's an activation problem due to not understanding what we should be guiding our users to-do in our product when the user is signing up.</t>
    </r>
  </si>
  <si>
    <t>You've been tasked to define a more robust activation funnel to achieve shorter time-to-value, product usage, and revenue. You will 
(1) be able to tell Marketing and the Growth PM focusing on acquisition which segment of our users are performing these actions best and 
(2) determine what moments and metrics we should be driving our users towards. NOTE: The rest of the project relates entirely to Slack or a realtime messaging service like Slack.</t>
  </si>
  <si>
    <r>
      <rPr>
        <sz val="10"/>
        <color rgb="FF000000"/>
        <rFont val="Arial"/>
        <family val="2"/>
      </rPr>
      <t xml:space="preserve">You will 
(1) be able to tell Marketing and Growth PM focusing on acquisition which segment of our users are performing these actions best
(2) determine what moments and metrics we should be driving our users towards. 
</t>
    </r>
    <r>
      <rPr>
        <b/>
        <sz val="10"/>
        <color rgb="FF000000"/>
        <rFont val="Arial"/>
        <family val="2"/>
      </rPr>
      <t>NOTE</t>
    </r>
    <r>
      <rPr>
        <sz val="10"/>
        <color rgb="FF000000"/>
        <rFont val="Arial"/>
        <family val="2"/>
      </rPr>
      <t>: The rest of the project relates entirely to Slack or a realtime messaging service like Slack.</t>
    </r>
  </si>
  <si>
    <r>
      <rPr>
        <b/>
        <sz val="10"/>
        <color theme="1"/>
        <rFont val="Arial"/>
        <family val="2"/>
      </rPr>
      <t xml:space="preserve">Skill: </t>
    </r>
    <r>
      <rPr>
        <sz val="10"/>
        <color theme="1"/>
        <rFont val="Arial"/>
        <family val="2"/>
      </rPr>
      <t xml:space="preserve">Before doing any analysis, you want to start off with a hypothesis. Before you quantitatively measure the activation funnel, define your understanding of the product by creating a hypothesis of what the Habit, Aha, and Setup moments are for Slack. </t>
    </r>
  </si>
  <si>
    <t xml:space="preserve">After signing up for Slack, determine what actions in the product and marketing messages the user is driven to. From the actions you are driven to as a new user, determine which actions are leading you to an aha moment to see value of the product or setup moment that are leading you to properly setup your account. </t>
  </si>
  <si>
    <t xml:space="preserve">An example of an Setup Moment is that they market themselves as a replacement of Email on their marketing website, so when you start using the product, they likely get you to take action via Slack what you would normally do via email. </t>
  </si>
  <si>
    <t>An example of Aha Moment is that they get you to engage with the Slackbot or your college, so you can engaging with others, weather that is a human, bots, or other 3rd party services to see value of the tool.</t>
  </si>
  <si>
    <t>Create a hypothesis of what the habit, aha, and setup moments should be for Slack. (Note: this is only for data-dump and for critical thinking.)</t>
  </si>
  <si>
    <t>The answers here are hypothesis based on your experience of starting to use Slack. In addition to creating a new account on Slack, browse through their features page to spark ideas of potential aha moments: https://slack.com/features.</t>
  </si>
  <si>
    <r>
      <rPr>
        <sz val="10"/>
        <color theme="1"/>
        <rFont val="Arial"/>
        <family val="2"/>
      </rPr>
      <t xml:space="preserve">1. List 4 in-product moments you think that if done often would lead a </t>
    </r>
    <r>
      <rPr>
        <b/>
        <sz val="10"/>
        <color rgb="FF4285F4"/>
        <rFont val="Arial"/>
        <family val="2"/>
      </rPr>
      <t>Slack</t>
    </r>
    <r>
      <rPr>
        <sz val="10"/>
        <color theme="1"/>
        <rFont val="Arial"/>
        <family val="2"/>
      </rPr>
      <t xml:space="preserve"> user to build a habit in Row 18-21</t>
    </r>
  </si>
  <si>
    <r>
      <rPr>
        <sz val="10"/>
        <color theme="1"/>
        <rFont val="Arial"/>
        <family val="2"/>
      </rPr>
      <t xml:space="preserve">2. List 4 aha moments in-product that you think if reached, seen, or experienced would get a user to understand the value provided by </t>
    </r>
    <r>
      <rPr>
        <b/>
        <sz val="10"/>
        <color rgb="FF4285F4"/>
        <rFont val="Arial"/>
        <family val="2"/>
      </rPr>
      <t>Slack</t>
    </r>
    <r>
      <rPr>
        <sz val="10"/>
        <color theme="1"/>
        <rFont val="Arial"/>
        <family val="2"/>
      </rPr>
      <t xml:space="preserve"> in Row 15-19</t>
    </r>
  </si>
  <si>
    <r>
      <rPr>
        <sz val="10"/>
        <color theme="1"/>
        <rFont val="Arial"/>
        <family val="2"/>
      </rPr>
      <t xml:space="preserve">2. List 4 aha moments in-product that you think if reached, seen, or experienced would get a user to understand the value provided by </t>
    </r>
    <r>
      <rPr>
        <b/>
        <sz val="10"/>
        <color rgb="FF4285F4"/>
        <rFont val="Arial"/>
        <family val="2"/>
      </rPr>
      <t>Slack</t>
    </r>
    <r>
      <rPr>
        <sz val="10"/>
        <color theme="1"/>
        <rFont val="Arial"/>
        <family val="2"/>
      </rPr>
      <t xml:space="preserve"> in Row 31-34.</t>
    </r>
  </si>
  <si>
    <t>Moment that lead to Habit:</t>
  </si>
  <si>
    <t>Only use Slack, not email, for internal messages</t>
  </si>
  <si>
    <t>Moment that lead to Aha:</t>
  </si>
  <si>
    <t>Getting notifications from team on a group channel</t>
  </si>
  <si>
    <t>Moment that lead to Setup:</t>
  </si>
  <si>
    <t>Engage in a frequency faster than email while being mobile</t>
  </si>
  <si>
    <r>
      <rPr>
        <b/>
        <sz val="10"/>
        <color theme="1"/>
        <rFont val="Arial"/>
        <family val="2"/>
      </rPr>
      <t xml:space="preserve">Scenario: </t>
    </r>
    <r>
      <rPr>
        <sz val="10"/>
        <color theme="1"/>
        <rFont val="Arial"/>
        <family val="2"/>
      </rPr>
      <t xml:space="preserve">The VP of Product took your team's hypothesis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</si>
  <si>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family val="2"/>
      </rPr>
      <t>You need to conduct an analysis on what habit moments and metrics drive users to long-term activation.</t>
    </r>
    <r>
      <rPr>
        <b/>
        <sz val="10"/>
        <color rgb="FF000000"/>
        <rFont val="Arial"/>
        <family val="2"/>
      </rPr>
      <t xml:space="preserve"> 
Remember: </t>
    </r>
    <r>
      <rPr>
        <sz val="10"/>
        <color rgb="FF000000"/>
        <rFont val="Arial"/>
        <family val="2"/>
      </rPr>
      <t xml:space="preserve">Long-term activation would be defined by the metric with the highest % overlap curve. </t>
    </r>
  </si>
  <si>
    <r>
      <rPr>
        <sz val="10"/>
        <color rgb="FF000000"/>
        <rFont val="Arial"/>
        <family val="2"/>
      </rPr>
      <t>The habit, aha, and setup moments will be shared across</t>
    </r>
    <r>
      <rPr>
        <b/>
        <sz val="10"/>
        <color rgb="FF000000"/>
        <rFont val="Arial"/>
        <family val="2"/>
      </rPr>
      <t xml:space="preserve"> next three tabs one for each moment</t>
    </r>
    <r>
      <rPr>
        <sz val="10"/>
        <color rgb="FF000000"/>
        <rFont val="Arial"/>
        <family val="2"/>
      </rPr>
      <t>. 
In this tab, you will analyze just habit moments/metrics and determine whether each of these 3 habit moments affect activation. This is important to know because then we can tailor our product to include the features that allow our users to achieve activation faster. 3 Habit Moments and 3 Habit Metrics are pre-selected for you along with users who completed actions and retained for each of the 3 moments.</t>
    </r>
  </si>
  <si>
    <t>Habit 1 analysis is on row 18-20, habit 2 analysis is on row 30-36, and habit 3 analysis is on row 42-48.</t>
  </si>
  <si>
    <r>
      <rPr>
        <b/>
        <sz val="10"/>
        <color theme="1"/>
        <rFont val="Arial"/>
        <family val="2"/>
      </rPr>
      <t xml:space="preserve">Skills: 
</t>
    </r>
    <r>
      <rPr>
        <sz val="10"/>
        <color theme="1"/>
        <rFont val="Arial"/>
        <family val="2"/>
      </rPr>
      <t>(1) calculate % overlap to measure the relationship of % overlap to habit metric
(2) create line charts to visualize the relationship of the metric
(3) analyze which are the primary habit moments and metric that lead to long-term activation.</t>
    </r>
  </si>
  <si>
    <r>
      <rPr>
        <b/>
        <sz val="10"/>
        <color theme="1"/>
        <rFont val="Arial"/>
        <family val="2"/>
      </rPr>
      <t xml:space="preserve">Instructions: </t>
    </r>
    <r>
      <rPr>
        <sz val="10"/>
        <color theme="1"/>
        <rFont val="Arial"/>
        <family val="2"/>
      </rPr>
      <t>Place any notes, thoughts, comments in the "Observations (Personal Notes)" box in column M -O for yourself as you may want them in the future</t>
    </r>
  </si>
  <si>
    <r>
      <rPr>
        <b/>
        <sz val="10"/>
        <color theme="1"/>
        <rFont val="Arial"/>
        <family val="2"/>
      </rPr>
      <t xml:space="preserve">1. </t>
    </r>
    <r>
      <rPr>
        <sz val="10"/>
        <color theme="1"/>
        <rFont val="Arial"/>
        <family val="2"/>
      </rPr>
      <t xml:space="preserve">Calculate the % overlap for each moment in Column F, </t>
    </r>
  </si>
  <si>
    <r>
      <rPr>
        <b/>
        <sz val="10"/>
        <color theme="1"/>
        <rFont val="Arial"/>
        <family val="2"/>
      </rPr>
      <t xml:space="preserve">2. </t>
    </r>
    <r>
      <rPr>
        <sz val="10"/>
        <color theme="1"/>
        <rFont val="Arial"/>
        <family val="2"/>
      </rPr>
      <t xml:space="preserve">Create a line-graph for each moment in Column H-K to visualize the % Overlap from Column F vs Habit Metric from column A, </t>
    </r>
  </si>
  <si>
    <r>
      <rPr>
        <b/>
        <sz val="10"/>
        <color theme="1"/>
        <rFont val="Arial"/>
        <family val="2"/>
      </rPr>
      <t xml:space="preserve">3. </t>
    </r>
    <r>
      <rPr>
        <sz val="10"/>
        <color theme="1"/>
        <rFont val="Arial"/>
        <family val="2"/>
      </rPr>
      <t>Analyze the data for each moment to determine if based on your analysis, this moment leads to long-term activation or not, and share your reasoning in Column Q - S</t>
    </r>
  </si>
  <si>
    <r>
      <rPr>
        <b/>
        <sz val="10"/>
        <color theme="1"/>
        <rFont val="Arial"/>
        <family val="2"/>
      </rPr>
      <t xml:space="preserve">4. </t>
    </r>
    <r>
      <rPr>
        <sz val="10"/>
        <color theme="1"/>
        <rFont val="Arial"/>
        <family val="2"/>
      </rPr>
      <t>Once Steps 1 - 3 are completed, determine which of the 3 options would the Primary Habit Moment and Metric and explain why in the 2 boxes on the bottom right of this Tab in Row  51.</t>
    </r>
  </si>
  <si>
    <r>
      <rPr>
        <b/>
        <sz val="10"/>
        <color theme="1"/>
        <rFont val="Arial"/>
        <family val="2"/>
      </rPr>
      <t xml:space="preserve">Habit Moment 1: </t>
    </r>
    <r>
      <rPr>
        <sz val="10"/>
        <color theme="1"/>
        <rFont val="Arial"/>
        <family val="2"/>
      </rPr>
      <t xml:space="preserve">look for a communication tool outside of email to engage with teammates   </t>
    </r>
    <r>
      <rPr>
        <b/>
        <sz val="10"/>
        <color theme="1"/>
        <rFont val="Arial"/>
        <family val="2"/>
      </rPr>
      <t xml:space="preserve">                                     </t>
    </r>
  </si>
  <si>
    <r>
      <rPr>
        <b/>
        <sz val="10"/>
        <color theme="1"/>
        <rFont val="Arial"/>
        <family val="2"/>
      </rPr>
      <t xml:space="preserve">Habit Metric 1: </t>
    </r>
    <r>
      <rPr>
        <sz val="10"/>
        <color theme="1"/>
        <rFont val="Arial"/>
        <family val="2"/>
      </rPr>
      <t># of Team Slack Messages Sent in 7-days</t>
    </r>
  </si>
  <si>
    <t>Does doing this Habit Metric affect activation? If yes, what is the ideal metric?</t>
  </si>
  <si>
    <t># of</t>
  </si>
  <si>
    <t>User</t>
  </si>
  <si>
    <t>Messages Sent</t>
  </si>
  <si>
    <t>Action Completed</t>
  </si>
  <si>
    <t>Retained + Action NOT completed</t>
  </si>
  <si>
    <t>Retained + Action completed</t>
  </si>
  <si>
    <t>Total Users</t>
  </si>
  <si>
    <t>% Overlap</t>
  </si>
  <si>
    <t>Why?</t>
  </si>
  <si>
    <r>
      <rPr>
        <b/>
        <sz val="10"/>
        <color theme="1"/>
        <rFont val="Arial"/>
        <family val="2"/>
      </rPr>
      <t xml:space="preserve">Habit Moment 2: </t>
    </r>
    <r>
      <rPr>
        <sz val="10"/>
        <color theme="1"/>
        <rFont val="Arial"/>
        <family val="2"/>
      </rPr>
      <t xml:space="preserve">Only use Slack for internal messages, not email   </t>
    </r>
    <r>
      <rPr>
        <b/>
        <sz val="10"/>
        <color theme="1"/>
        <rFont val="Arial"/>
        <family val="2"/>
      </rPr>
      <t xml:space="preserve">                                     </t>
    </r>
  </si>
  <si>
    <r>
      <rPr>
        <b/>
        <sz val="10"/>
        <color theme="1"/>
        <rFont val="Arial"/>
        <family val="2"/>
      </rPr>
      <t xml:space="preserve">Habit Metric 2: </t>
    </r>
    <r>
      <rPr>
        <sz val="10"/>
        <color theme="1"/>
        <rFont val="Arial"/>
        <family val="2"/>
      </rPr>
      <t># of sessions (log-ins) per day</t>
    </r>
  </si>
  <si>
    <t>Session</t>
  </si>
  <si>
    <t>(log-ins)</t>
  </si>
  <si>
    <t>1+</t>
  </si>
  <si>
    <t>2+</t>
  </si>
  <si>
    <t>3+</t>
  </si>
  <si>
    <t>4+</t>
  </si>
  <si>
    <t>5+</t>
  </si>
  <si>
    <t>6+</t>
  </si>
  <si>
    <t>7+</t>
  </si>
  <si>
    <r>
      <rPr>
        <b/>
        <sz val="10"/>
        <color theme="1"/>
        <rFont val="Arial"/>
        <family val="2"/>
      </rPr>
      <t xml:space="preserve">Habit Moment 3: </t>
    </r>
    <r>
      <rPr>
        <sz val="10"/>
        <color theme="1"/>
        <rFont val="Arial"/>
        <family val="2"/>
      </rPr>
      <t xml:space="preserve">Checking a notification when something is addressed to me                      </t>
    </r>
  </si>
  <si>
    <r>
      <rPr>
        <b/>
        <sz val="10"/>
        <color theme="1"/>
        <rFont val="Arial"/>
        <family val="2"/>
      </rPr>
      <t xml:space="preserve">Habit Metric 3: </t>
    </r>
    <r>
      <rPr>
        <sz val="10"/>
        <color theme="1"/>
        <rFont val="Arial"/>
        <family val="2"/>
      </rPr>
      <t># of messages they were linked to (with an @) that brought them back to Slack</t>
    </r>
  </si>
  <si>
    <t>Messages</t>
  </si>
  <si>
    <t>Moment</t>
  </si>
  <si>
    <t>Metric</t>
  </si>
  <si>
    <r>
      <rPr>
        <b/>
        <sz val="10"/>
        <color rgb="FF000000"/>
        <rFont val="Arial"/>
        <family val="2"/>
      </rPr>
      <t>What is the best Primary Habit Moment and Metric to select for Slack?</t>
    </r>
    <r>
      <rPr>
        <sz val="10"/>
        <color rgb="FF000000"/>
        <rFont val="Arial"/>
        <family val="2"/>
      </rPr>
      <t xml:space="preserve"> (hint: what did you confirm as a Habit Action in this exercise and which action had the highest overlap - probability to positively affect activation)</t>
    </r>
  </si>
  <si>
    <t>Without using the data analysis, why do you think that this Habit would be the best for Slack?</t>
  </si>
  <si>
    <r>
      <rPr>
        <b/>
        <sz val="10"/>
        <color theme="1"/>
        <rFont val="Arial"/>
        <family val="2"/>
      </rPr>
      <t xml:space="preserve">Scenario: </t>
    </r>
    <r>
      <rPr>
        <sz val="10"/>
        <color theme="1"/>
        <rFont val="Arial"/>
        <family val="2"/>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</si>
  <si>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family val="2"/>
      </rPr>
      <t>You need to conduct an analysis on what habit moments and metrics drive users to long-term activation.</t>
    </r>
    <r>
      <rPr>
        <b/>
        <sz val="10"/>
        <color rgb="FF000000"/>
        <rFont val="Arial"/>
        <family val="2"/>
      </rPr>
      <t xml:space="preserve"> 
Remember: </t>
    </r>
    <r>
      <rPr>
        <sz val="10"/>
        <color rgb="FF000000"/>
        <rFont val="Arial"/>
        <family val="2"/>
      </rPr>
      <t xml:space="preserve">Long-term activation would be defined by the metric with the highest % overlap curve. </t>
    </r>
  </si>
  <si>
    <r>
      <rPr>
        <sz val="10"/>
        <color rgb="FF000000"/>
        <rFont val="Arial"/>
        <family val="2"/>
      </rPr>
      <t>The habit, aha, and setup moments will be shared across</t>
    </r>
    <r>
      <rPr>
        <b/>
        <sz val="10"/>
        <color rgb="FF000000"/>
        <rFont val="Arial"/>
        <family val="2"/>
      </rPr>
      <t xml:space="preserve"> next three tabs one for each moment</t>
    </r>
    <r>
      <rPr>
        <sz val="10"/>
        <color rgb="FF000000"/>
        <rFont val="Arial"/>
        <family val="2"/>
      </rPr>
      <t>. 
In this tab, you will analyze just Aha moments/metrics and determine whether each of these 3 habit moments affect activation. This is important to know because then we can tailor our product to include the features that allow our users to achieve activation faster. 3 Aha Moments and 3 Aha Metrics are pre-selected for you along with users who completed actions and retained for each of the 3 moments.</t>
    </r>
  </si>
  <si>
    <r>
      <rPr>
        <b/>
        <sz val="10"/>
        <color theme="1"/>
        <rFont val="Arial"/>
        <family val="2"/>
      </rPr>
      <t xml:space="preserve">Skill: </t>
    </r>
    <r>
      <rPr>
        <sz val="10"/>
        <color theme="1"/>
        <rFont val="Arial"/>
        <family val="2"/>
      </rPr>
      <t>From these tasks, you can apply your knowledge on how to (1) calculate % overlap to measure the relationship of % overlap to Aha metric, (2) create line charts to visualize the relationship of the metric and (3) analyze which are the primary Aha moments and metric that lead to long-term activation.</t>
    </r>
  </si>
  <si>
    <r>
      <rPr>
        <b/>
        <sz val="10"/>
        <color theme="1"/>
        <rFont val="Arial"/>
        <family val="2"/>
      </rPr>
      <t xml:space="preserve">Instructions: </t>
    </r>
    <r>
      <rPr>
        <sz val="10"/>
        <color theme="1"/>
        <rFont val="Arial"/>
        <family val="2"/>
      </rPr>
      <t>Place any notes, thoughts, comments in the "Observations (Personal Notes)" box in column M - O for yourself to view in the future.</t>
    </r>
  </si>
  <si>
    <r>
      <rPr>
        <b/>
        <sz val="10"/>
        <color theme="1"/>
        <rFont val="Arial"/>
        <family val="2"/>
      </rPr>
      <t xml:space="preserve">1. </t>
    </r>
    <r>
      <rPr>
        <sz val="10"/>
        <color theme="1"/>
        <rFont val="Arial"/>
        <family val="2"/>
      </rPr>
      <t xml:space="preserve">Calculate the % overlap for each moment in Column F, </t>
    </r>
  </si>
  <si>
    <r>
      <rPr>
        <b/>
        <sz val="10"/>
        <color theme="1"/>
        <rFont val="Arial"/>
        <family val="2"/>
      </rPr>
      <t xml:space="preserve">2. </t>
    </r>
    <r>
      <rPr>
        <sz val="10"/>
        <color theme="1"/>
        <rFont val="Arial"/>
        <family val="2"/>
      </rPr>
      <t xml:space="preserve">Create a line-graph for each moment in Column H-K to visualize the % Overlap from Column F vs aha Metric from column A, </t>
    </r>
  </si>
  <si>
    <r>
      <rPr>
        <b/>
        <sz val="10"/>
        <color theme="1"/>
        <rFont val="Arial"/>
        <family val="2"/>
      </rPr>
      <t xml:space="preserve">3. </t>
    </r>
    <r>
      <rPr>
        <sz val="10"/>
        <color theme="1"/>
        <rFont val="Arial"/>
        <family val="2"/>
      </rPr>
      <t>Analyze the data for each moment to determine if based on your analysis, this moment leads to long-term activation or not, and share your reasoning in Column Q - S</t>
    </r>
  </si>
  <si>
    <r>
      <rPr>
        <b/>
        <sz val="10"/>
        <color theme="1"/>
        <rFont val="Arial"/>
        <family val="2"/>
      </rPr>
      <t xml:space="preserve">4. </t>
    </r>
    <r>
      <rPr>
        <sz val="10"/>
        <color theme="1"/>
        <rFont val="Arial"/>
        <family val="2"/>
      </rPr>
      <t>Once Steps 1 - 3 are completed, determine which of the 3 options would the Primary aha Moment and Metric and explain why in the 2 boxes on the bottom right of this Tab in Row 50.</t>
    </r>
  </si>
  <si>
    <t>Aha Moment 1: Engaging with a message in a group channel</t>
  </si>
  <si>
    <r>
      <rPr>
        <b/>
        <sz val="10"/>
        <color theme="1"/>
        <rFont val="Arial"/>
        <family val="2"/>
      </rPr>
      <t xml:space="preserve">Aha Metric 1: </t>
    </r>
    <r>
      <rPr>
        <sz val="10"/>
        <color theme="1"/>
        <rFont val="Arial"/>
        <family val="2"/>
      </rPr>
      <t>Sending 1st message in a group channel within X days</t>
    </r>
  </si>
  <si>
    <t>Does doing this Aha Metric affect activation? If yes, what is the ideal metric?</t>
  </si>
  <si>
    <t xml:space="preserve"># of </t>
  </si>
  <si>
    <t>Days Taken</t>
  </si>
  <si>
    <r>
      <rPr>
        <b/>
        <sz val="10"/>
        <color theme="1"/>
        <rFont val="Arial"/>
        <family val="2"/>
      </rPr>
      <t xml:space="preserve">Aha Moment 2: </t>
    </r>
    <r>
      <rPr>
        <sz val="10"/>
        <color theme="1"/>
        <rFont val="Arial"/>
        <family val="2"/>
      </rPr>
      <t>Messaging with a team member on a direct channel</t>
    </r>
  </si>
  <si>
    <r>
      <rPr>
        <b/>
        <sz val="10"/>
        <color theme="1"/>
        <rFont val="Arial"/>
        <family val="2"/>
      </rPr>
      <t xml:space="preserve">Aha Metric 2: </t>
    </r>
    <r>
      <rPr>
        <sz val="10"/>
        <color theme="1"/>
        <rFont val="Arial"/>
        <family val="2"/>
      </rPr>
      <t xml:space="preserve">sends 1st direct message within X days </t>
    </r>
  </si>
  <si>
    <r>
      <rPr>
        <b/>
        <sz val="10"/>
        <color theme="1"/>
        <rFont val="Arial"/>
        <family val="2"/>
      </rPr>
      <t xml:space="preserve">Aha Moment 3: </t>
    </r>
    <r>
      <rPr>
        <sz val="10"/>
        <color theme="1"/>
        <rFont val="Arial"/>
        <family val="2"/>
      </rPr>
      <t>Searching for old documents, links, and convos</t>
    </r>
  </si>
  <si>
    <t>Aha Metric 3: 1st search for a file or message within X days</t>
  </si>
  <si>
    <r>
      <rPr>
        <b/>
        <sz val="10"/>
        <color rgb="FF000000"/>
        <rFont val="Arial"/>
        <family val="2"/>
      </rPr>
      <t>What is the best Primary Aha Moment and Metric to select for Slack?</t>
    </r>
    <r>
      <rPr>
        <sz val="10"/>
        <color rgb="FF000000"/>
        <rFont val="Arial"/>
        <family val="2"/>
      </rPr>
      <t xml:space="preserve"> (hint: what did you confirm as a Aha Action in this exercise and which action had the highest overlap - probability to positively affect activation)</t>
    </r>
  </si>
  <si>
    <t>Without using the data analysis, why do you think that this Aha would be the best for Slack?</t>
  </si>
  <si>
    <r>
      <rPr>
        <b/>
        <sz val="10"/>
        <color theme="1"/>
        <rFont val="Arial"/>
        <family val="2"/>
      </rPr>
      <t xml:space="preserve">Scenario: </t>
    </r>
    <r>
      <rPr>
        <sz val="10"/>
        <color theme="1"/>
        <rFont val="Arial"/>
        <family val="2"/>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</si>
  <si>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family val="2"/>
      </rPr>
      <t>You need to conduct an analysis on what habit moments and metrics drive users to long-term activation.</t>
    </r>
    <r>
      <rPr>
        <b/>
        <sz val="10"/>
        <color rgb="FF000000"/>
        <rFont val="Arial"/>
        <family val="2"/>
      </rPr>
      <t xml:space="preserve"> 
Remember: </t>
    </r>
    <r>
      <rPr>
        <sz val="10"/>
        <color rgb="FF000000"/>
        <rFont val="Arial"/>
        <family val="2"/>
      </rPr>
      <t xml:space="preserve">Long-term activation would be defined by the metric with the highest % overlap curve. </t>
    </r>
  </si>
  <si>
    <t>The habit, Setup, and setup moments will be shared across next three tabs one for each moment. 
In this tab, you will analyze just Setup moments/metrics and determine whether each of these 3 habit moments affect activation. This is important to know because then we can tailor our product to include the features that allow our users to achieve activation faster. 3 Setup Moments and 3 Setup Metrics are pre-selected for you along with users who completed actions and retained for each of the 3 moments.</t>
  </si>
  <si>
    <r>
      <rPr>
        <b/>
        <sz val="10"/>
        <color theme="1"/>
        <rFont val="Arial"/>
        <family val="2"/>
      </rPr>
      <t xml:space="preserve">Skill: </t>
    </r>
    <r>
      <rPr>
        <sz val="10"/>
        <color theme="1"/>
        <rFont val="Arial"/>
        <family val="2"/>
      </rPr>
      <t>From these tasks, you can apply your knowledge on how to 
(1) calculate % overlap to measure the relationship of % overlap to setup metric
(2) create line charts to visualize the relationship of the metric
(3) analyze which are the primary setup moments and metric that lead to long-term activation.</t>
    </r>
  </si>
  <si>
    <r>
      <rPr>
        <b/>
        <sz val="10"/>
        <color theme="1"/>
        <rFont val="Arial"/>
        <family val="2"/>
      </rPr>
      <t xml:space="preserve">Instructions: </t>
    </r>
    <r>
      <rPr>
        <sz val="10"/>
        <color theme="1"/>
        <rFont val="Arial"/>
        <family val="2"/>
      </rPr>
      <t>Place any notes, thoughts, comments in the "Observations (Personal Notes)" box in column M - O for yourself to view in the future.</t>
    </r>
  </si>
  <si>
    <r>
      <rPr>
        <b/>
        <sz val="10"/>
        <color theme="1"/>
        <rFont val="Arial"/>
        <family val="2"/>
      </rPr>
      <t xml:space="preserve">1. </t>
    </r>
    <r>
      <rPr>
        <sz val="10"/>
        <color theme="1"/>
        <rFont val="Arial"/>
        <family val="2"/>
      </rPr>
      <t xml:space="preserve">Calculate the % overlap for each moment in Column F, </t>
    </r>
  </si>
  <si>
    <r>
      <rPr>
        <b/>
        <sz val="10"/>
        <color theme="1"/>
        <rFont val="Arial"/>
        <family val="2"/>
      </rPr>
      <t xml:space="preserve">2. </t>
    </r>
    <r>
      <rPr>
        <sz val="10"/>
        <color theme="1"/>
        <rFont val="Arial"/>
        <family val="2"/>
      </rPr>
      <t xml:space="preserve">Create a line-graph for each moment in Column H-K to visualize the % Overlap from Column F vs setup Metric from column A, </t>
    </r>
  </si>
  <si>
    <r>
      <rPr>
        <b/>
        <sz val="10"/>
        <color theme="1"/>
        <rFont val="Arial"/>
        <family val="2"/>
      </rPr>
      <t xml:space="preserve">3. </t>
    </r>
    <r>
      <rPr>
        <sz val="10"/>
        <color theme="1"/>
        <rFont val="Arial"/>
        <family val="2"/>
      </rPr>
      <t>Analyze the data for each moment to determine if based on your analysis, this moment leads to long-term activation or not, and share your reasoning in Column Q - S</t>
    </r>
  </si>
  <si>
    <r>
      <rPr>
        <b/>
        <sz val="10"/>
        <color theme="1"/>
        <rFont val="Arial"/>
        <family val="2"/>
      </rPr>
      <t xml:space="preserve">4. </t>
    </r>
    <r>
      <rPr>
        <sz val="10"/>
        <color theme="1"/>
        <rFont val="Arial"/>
        <family val="2"/>
      </rPr>
      <t>Once Steps 1 - 3 are completed, determine which of the 3 options would the Primary setup Moment and Metric and explain why in the 2 boxes on the bottom right of this Tab in Row 50.</t>
    </r>
  </si>
  <si>
    <r>
      <rPr>
        <b/>
        <sz val="10"/>
        <color theme="1"/>
        <rFont val="Arial"/>
        <family val="2"/>
      </rPr>
      <t xml:space="preserve">Setup Moment 1: </t>
    </r>
    <r>
      <rPr>
        <sz val="10"/>
        <color theme="1"/>
        <rFont val="Arial"/>
        <family val="2"/>
      </rPr>
      <t>Configure settings and profile</t>
    </r>
  </si>
  <si>
    <r>
      <rPr>
        <b/>
        <sz val="10"/>
        <color theme="1"/>
        <rFont val="Arial"/>
        <family val="2"/>
      </rPr>
      <t xml:space="preserve">Setup Metric 1: </t>
    </r>
    <r>
      <rPr>
        <sz val="10"/>
        <color theme="1"/>
        <rFont val="Arial"/>
        <family val="2"/>
      </rPr>
      <t>Setting up profile pic within X days</t>
    </r>
  </si>
  <si>
    <t>Does doing this Setup Metric affect activation? If yes, what is the ideal metric?</t>
  </si>
  <si>
    <r>
      <rPr>
        <b/>
        <sz val="10"/>
        <color theme="1"/>
        <rFont val="Arial"/>
        <family val="2"/>
      </rPr>
      <t xml:space="preserve">Setup Moment 2: </t>
    </r>
    <r>
      <rPr>
        <sz val="10"/>
        <color theme="1"/>
        <rFont val="Arial"/>
        <family val="2"/>
      </rPr>
      <t>Integrate to a 3rd party Slack App</t>
    </r>
  </si>
  <si>
    <r>
      <rPr>
        <b/>
        <sz val="10"/>
        <color theme="1"/>
        <rFont val="Arial"/>
        <family val="2"/>
      </rPr>
      <t xml:space="preserve">Setup Metric 2: </t>
    </r>
    <r>
      <rPr>
        <sz val="10"/>
        <color theme="1"/>
        <rFont val="Arial"/>
        <family val="2"/>
      </rPr>
      <t>Integrate to a 3rd party app within 7-days</t>
    </r>
  </si>
  <si>
    <r>
      <rPr>
        <b/>
        <sz val="10"/>
        <color theme="1"/>
        <rFont val="Arial"/>
        <family val="2"/>
      </rPr>
      <t xml:space="preserve">Setup Moment 3: </t>
    </r>
    <r>
      <rPr>
        <sz val="10"/>
        <color theme="1"/>
        <rFont val="Arial"/>
        <family val="2"/>
      </rPr>
      <t>Invite a team mate and had a back-and-forth direct convo</t>
    </r>
  </si>
  <si>
    <r>
      <rPr>
        <b/>
        <sz val="10"/>
        <color theme="1"/>
        <rFont val="Arial"/>
        <family val="2"/>
      </rPr>
      <t xml:space="preserve">Setup Metric 3: </t>
    </r>
    <r>
      <rPr>
        <sz val="10"/>
        <color theme="1"/>
        <rFont val="Arial"/>
        <family val="2"/>
      </rPr>
      <t># of users invited within 7-days</t>
    </r>
  </si>
  <si>
    <t>Users Invited</t>
  </si>
  <si>
    <r>
      <rPr>
        <b/>
        <sz val="10"/>
        <color rgb="FF000000"/>
        <rFont val="Arial"/>
        <family val="2"/>
      </rPr>
      <t>What is the best Primary Setup Moment and Metric to select for Slack?</t>
    </r>
    <r>
      <rPr>
        <sz val="10"/>
        <color rgb="FF000000"/>
        <rFont val="Arial"/>
        <family val="2"/>
      </rPr>
      <t xml:space="preserve"> (hint: what did you confirm as a Aha Action in this exercise and which action had the highest overlap - probability to positively affect activation)</t>
    </r>
  </si>
  <si>
    <t>Without using the data analysis, why do you think that this Setup would be the best for Slack?</t>
  </si>
  <si>
    <t>Suggested Experiments from Tab 3</t>
  </si>
  <si>
    <r>
      <rPr>
        <b/>
        <sz val="10"/>
        <color theme="1"/>
        <rFont val="Arial"/>
        <family val="2"/>
      </rPr>
      <t xml:space="preserve">Scenario: </t>
    </r>
    <r>
      <rPr>
        <sz val="10"/>
        <color theme="1"/>
        <rFont val="Arial"/>
        <family val="2"/>
      </rPr>
      <t xml:space="preserve">You have been brought onto a project at Slack to help define the activation funnel. </t>
    </r>
  </si>
  <si>
    <t>On this tab, you will be putting all the analysis you've done in previous 3 tabs together. From the 3 previous tabs, you should have identified the primary habit, aha, and signup moment that most influenced activation.</t>
  </si>
  <si>
    <r>
      <rPr>
        <b/>
        <sz val="10"/>
        <color theme="1"/>
        <rFont val="Arial"/>
        <family val="2"/>
      </rPr>
      <t xml:space="preserve">Skill: </t>
    </r>
    <r>
      <rPr>
        <sz val="10"/>
        <color theme="1"/>
        <rFont val="Arial"/>
        <family val="2"/>
      </rPr>
      <t xml:space="preserve">You have determined that many moments and metrics can lead users to activate, but there are only a few </t>
    </r>
    <r>
      <rPr>
        <b/>
        <sz val="10"/>
        <color theme="1"/>
        <rFont val="Arial"/>
        <family val="2"/>
      </rPr>
      <t>Primary</t>
    </r>
    <r>
      <rPr>
        <sz val="10"/>
        <color theme="1"/>
        <rFont val="Arial"/>
        <family val="2"/>
      </rPr>
      <t xml:space="preserve"> moments and metrics that we should drive users towards as they lead to long-term activation.</t>
    </r>
  </si>
  <si>
    <r>
      <rPr>
        <b/>
        <sz val="10"/>
        <color theme="1"/>
        <rFont val="Arial"/>
        <family val="2"/>
      </rPr>
      <t xml:space="preserve">Instructions: </t>
    </r>
    <r>
      <rPr>
        <sz val="10"/>
        <color theme="1"/>
        <rFont val="Arial"/>
        <family val="2"/>
      </rPr>
      <t>Compare your hypothesis from Tab 3- Activation Hyopthesis against the post-analysis activation funnel in Tab 7. Please add your thoughts Column C.</t>
    </r>
  </si>
  <si>
    <r>
      <rPr>
        <sz val="10"/>
        <color theme="1"/>
        <rFont val="Arial"/>
        <family val="2"/>
      </rPr>
      <t xml:space="preserve">1. </t>
    </r>
    <r>
      <rPr>
        <sz val="10"/>
        <color theme="1"/>
        <rFont val="Arial"/>
        <family val="2"/>
      </rPr>
      <t>Your Habit moments and metrics (They should appear here from the relevant tabs, if they do not, please copy them here) for your to reflect on are in A11 and B11</t>
    </r>
    <r>
      <rPr>
        <sz val="10"/>
        <color theme="1"/>
        <rFont val="Arial"/>
        <family val="2"/>
      </rPr>
      <t xml:space="preserve">                                                </t>
    </r>
  </si>
  <si>
    <t>2. Your Aha moments and metrics (They should appear here from the relevant tabs, if they do not, please copy them here) for your to reflect on are in A11 and B12</t>
  </si>
  <si>
    <t>3. Your Setup moments and metrics (They should appear here from the relevant tabs, if they do not, please copy them here) for your to reflect on are in A11 and B13</t>
  </si>
  <si>
    <t>Cells  in orange have been done for you.</t>
  </si>
  <si>
    <t>Metrics that lead to Habit:</t>
  </si>
  <si>
    <t>Observations/Reflections on Hypothesis</t>
  </si>
  <si>
    <t>Metrics that lead to Aha:</t>
  </si>
  <si>
    <t>Moments that lead to Signup:</t>
  </si>
  <si>
    <t>Metrics that lead to Signup:</t>
  </si>
  <si>
    <r>
      <rPr>
        <b/>
        <sz val="10"/>
        <color theme="1"/>
        <rFont val="Arial"/>
        <family val="2"/>
      </rPr>
      <t xml:space="preserve">Scenario: </t>
    </r>
    <r>
      <rPr>
        <sz val="10"/>
        <color theme="1"/>
        <rFont val="Arial"/>
        <family val="2"/>
      </rPr>
      <t xml:space="preserve">Now that you have determined one of Slack's Habit, Aha, and Setup moments, you have been asked by the VP of Product to segment our users through the activation funnel. He requests you share with marketing any findings on what users are performing well, not well, and what areas can be improved on. </t>
    </r>
  </si>
  <si>
    <t xml:space="preserve">The findings will help marketing team focus on Ideal Customer Profiles (ICPs), so they know where to invest for Acquisition. The activation funnel has already been applied to these segments and your goal is to see analyze delta between the funnel and how many users make it through the funnel. </t>
  </si>
  <si>
    <r>
      <rPr>
        <b/>
        <sz val="10"/>
        <color rgb="FF000000"/>
        <rFont val="Arial"/>
        <family val="2"/>
      </rPr>
      <t>Remember</t>
    </r>
    <r>
      <rPr>
        <sz val="10"/>
        <color rgb="FF000000"/>
        <rFont val="Arial"/>
        <family val="2"/>
      </rPr>
      <t xml:space="preserve">: The delta is the percentage of users that make it from one stage of the funnel to the next to ultimately tell us what percent of our acquired users go through all stages of funnel to achieve activation. </t>
    </r>
  </si>
  <si>
    <t>Once your conduct this analysis, you can then create experiments on how to convert more users through each step in the Setup, Aha, and Habit moments. The goal for Slack is to get more users through the funnel so we have more users and  a higer % of users that become activated.</t>
  </si>
  <si>
    <t xml:space="preserve">Skill: Analyze how different segments flow through the activation funnel by determining the # and % of users activated per segment. </t>
  </si>
  <si>
    <r>
      <rPr>
        <b/>
        <sz val="10"/>
        <color theme="1"/>
        <rFont val="Arial"/>
        <family val="2"/>
      </rPr>
      <t>Instructions</t>
    </r>
    <r>
      <rPr>
        <sz val="10"/>
        <color theme="1"/>
        <rFont val="Arial"/>
        <family val="2"/>
      </rPr>
      <t xml:space="preserve">: Conduct each segment analysis in order: 
Industry (Row 8 - 28)
Company Size (Row 30 -50)
Account Size (Row 52 - 71)
Source (Row 73 - 90). </t>
    </r>
  </si>
  <si>
    <t xml:space="preserve">Place any notes, thoughts, comments in the "Observations (Personal Notes)" box for yourself to view in the future - these will not be graded. </t>
  </si>
  <si>
    <t>In your text-based analysis, your goal is to increase the total average % you calculate in row 31, 53, 74, and 93 across each segment. To determine what is a good threshold of % of users activated that is good enough vs.needs more support, compare the % users activated for each segmen to the average for that segment.</t>
  </si>
  <si>
    <r>
      <rPr>
        <b/>
        <sz val="10"/>
        <color theme="1"/>
        <rFont val="Arial"/>
        <family val="2"/>
      </rPr>
      <t xml:space="preserve">1. </t>
    </r>
    <r>
      <rPr>
        <sz val="10"/>
        <color theme="1"/>
        <rFont val="Arial"/>
        <family val="2"/>
      </rPr>
      <t xml:space="preserve">Calculate the Delta (Setup to Aha) ratio in Column D     </t>
    </r>
    <r>
      <rPr>
        <b/>
        <sz val="10"/>
        <color theme="1"/>
        <rFont val="Arial"/>
        <family val="2"/>
      </rPr>
      <t xml:space="preserve">                                              </t>
    </r>
  </si>
  <si>
    <r>
      <rPr>
        <b/>
        <sz val="10"/>
        <color theme="1"/>
        <rFont val="Arial"/>
        <family val="2"/>
      </rPr>
      <t xml:space="preserve">2. </t>
    </r>
    <r>
      <rPr>
        <sz val="10"/>
        <color theme="1"/>
        <rFont val="Arial"/>
        <family val="2"/>
      </rPr>
      <t xml:space="preserve">Calculate Delta (Aha to Habit) ratio in Column F,        </t>
    </r>
    <r>
      <rPr>
        <b/>
        <sz val="10"/>
        <color theme="1"/>
        <rFont val="Arial"/>
        <family val="2"/>
      </rPr>
      <t xml:space="preserve">                                          </t>
    </r>
  </si>
  <si>
    <t xml:space="preserve">3. Calculate # of users activated in Column H,                                                       </t>
  </si>
  <si>
    <r>
      <rPr>
        <b/>
        <sz val="10"/>
        <color theme="1"/>
        <rFont val="Arial"/>
        <family val="2"/>
      </rPr>
      <t xml:space="preserve">4. </t>
    </r>
    <r>
      <rPr>
        <sz val="10"/>
        <color theme="1"/>
        <rFont val="Arial"/>
        <family val="2"/>
      </rPr>
      <t>% of Users Activated in Column I,</t>
    </r>
  </si>
  <si>
    <r>
      <rPr>
        <b/>
        <sz val="10"/>
        <color theme="1"/>
        <rFont val="Arial"/>
        <family val="2"/>
      </rPr>
      <t xml:space="preserve">5. </t>
    </r>
    <r>
      <rPr>
        <sz val="10"/>
        <color theme="1"/>
        <rFont val="Arial"/>
        <family val="2"/>
      </rPr>
      <t>Address questions (located below each segment) regarding what segment has the best/worst activation funnel and create an experiment l to focus effort on a specific segment funnel. Use the [Action], [Outcome], and [Theory] Framework.</t>
    </r>
  </si>
  <si>
    <t>Cells colored in Blue have ben completed as examples for you. The formulas have been removed.</t>
  </si>
  <si>
    <t>Segment Analysis by Industry for June 2019</t>
  </si>
  <si>
    <t>Industry</t>
  </si>
  <si>
    <t>New Users Acquired</t>
  </si>
  <si>
    <t># of Users activated</t>
  </si>
  <si>
    <t>% of Users Activated</t>
  </si>
  <si>
    <t>Total</t>
  </si>
  <si>
    <t>Setup Moment</t>
  </si>
  <si>
    <t>Delta (Setup to Aha)</t>
  </si>
  <si>
    <t>Aha Moment</t>
  </si>
  <si>
    <t>Delta (Aha to Habit)</t>
  </si>
  <si>
    <t>Habit Moment</t>
  </si>
  <si>
    <t>Technology</t>
  </si>
  <si>
    <t xml:space="preserve">Retail </t>
  </si>
  <si>
    <t>Healthcare</t>
  </si>
  <si>
    <t>Financial Services</t>
  </si>
  <si>
    <t>Manufacturing</t>
  </si>
  <si>
    <t>Consume Goods</t>
  </si>
  <si>
    <t>Transportation</t>
  </si>
  <si>
    <t>Oil and Gas</t>
  </si>
  <si>
    <t>What industry has the best activation Funnel? Why?</t>
  </si>
  <si>
    <t>What industry has the worst activation Funnel? Why?</t>
  </si>
  <si>
    <t>What would you want to report to Marketing?</t>
  </si>
  <si>
    <t>Experiment Brief using Action, Outcome, Theory  (Select 1 moments to improve)</t>
  </si>
  <si>
    <t>Segment Analysis by Company Size for June 2019</t>
  </si>
  <si>
    <t>Company Size</t>
  </si>
  <si>
    <t>New Users</t>
  </si>
  <si>
    <t>1-5</t>
  </si>
  <si>
    <t>6-10</t>
  </si>
  <si>
    <t>11-20</t>
  </si>
  <si>
    <t>21-50</t>
  </si>
  <si>
    <t>51-100</t>
  </si>
  <si>
    <t>101-250</t>
  </si>
  <si>
    <t>251-500</t>
  </si>
  <si>
    <t>501+</t>
  </si>
  <si>
    <t>What company size has the best activation Funnel? Why?</t>
  </si>
  <si>
    <t>What company size has the worst activation Funnel? Why?</t>
  </si>
  <si>
    <t>Segment Analysis by Account Size for June 2019</t>
  </si>
  <si>
    <t>Account Size</t>
  </si>
  <si>
    <t>1 - 2</t>
  </si>
  <si>
    <t>2 - 5</t>
  </si>
  <si>
    <t>5 - 10</t>
  </si>
  <si>
    <t>10 - 20</t>
  </si>
  <si>
    <t>20 - 50</t>
  </si>
  <si>
    <t>50 - 100</t>
  </si>
  <si>
    <t>100+</t>
  </si>
  <si>
    <t>What account size has the best activation Funnel? Why?</t>
  </si>
  <si>
    <t>What account size has the worst activation Funnel? Why?</t>
  </si>
  <si>
    <t>Segment Funnel by Sources for June 2019</t>
  </si>
  <si>
    <t>Source</t>
  </si>
  <si>
    <t>Pricing Page</t>
  </si>
  <si>
    <t>Free Trial Page</t>
  </si>
  <si>
    <t>Referral link</t>
  </si>
  <si>
    <t>Team Invitation</t>
  </si>
  <si>
    <t>Blog Page</t>
  </si>
  <si>
    <t>What source has the best activation Funnel? Why?</t>
  </si>
  <si>
    <t>What source has the worst activation Funnel? Why?</t>
  </si>
  <si>
    <t>This was easy and effortless</t>
  </si>
  <si>
    <t>Used gmail to complete process. Other options will suffice.</t>
  </si>
  <si>
    <t>This was an easy process.</t>
  </si>
  <si>
    <t>This was easy with limitations clearly defined</t>
  </si>
  <si>
    <t>Glad it available to add team.</t>
  </si>
  <si>
    <t>Didn't use the password due to the Oauth.</t>
  </si>
  <si>
    <t>Had no surveys.</t>
  </si>
  <si>
    <t>The [Google Mail] and [Email]/ with [Password]</t>
  </si>
  <si>
    <t>Clickable link ["how productboard can help your team"]</t>
  </si>
  <si>
    <t>[Get Started] tab available by the email</t>
  </si>
  <si>
    <t>Blanks requiring  personal info</t>
  </si>
  <si>
    <t>Blank with [.workspace.url.com] extension</t>
  </si>
  <si>
    <t>Blank requesting emails of colleagues</t>
  </si>
  <si>
    <t>Not provided due to gmail usage</t>
  </si>
  <si>
    <t>No survey usage</t>
  </si>
  <si>
    <t>Email verification or both email and password</t>
  </si>
  <si>
    <t>Google Mail Account</t>
  </si>
  <si>
    <t>No info provided. Just [Get Started] button</t>
  </si>
  <si>
    <t>Personal info like name, email etc</t>
  </si>
  <si>
    <t>prompt to use UNIQUE NAME</t>
  </si>
  <si>
    <t>Option to invite team</t>
  </si>
  <si>
    <t>Not applicable since I used Oauth.</t>
  </si>
  <si>
    <t>None provided.</t>
  </si>
  <si>
    <t>Emails were requested for login and marketing purposes.</t>
  </si>
  <si>
    <t>Used for further verification</t>
  </si>
  <si>
    <t>For further verification</t>
  </si>
  <si>
    <t>The personal info is for more personalized marketing strategy</t>
  </si>
  <si>
    <t>To ensure workspace is unique</t>
  </si>
  <si>
    <t>For personalized marketing purposes</t>
  </si>
  <si>
    <t>Not applicable</t>
  </si>
  <si>
    <t>N/A but clear instructions</t>
  </si>
  <si>
    <t>N/A</t>
  </si>
  <si>
    <t>N/A but completely necessary for privacy and security</t>
  </si>
  <si>
    <t>N/A but completely valid for marketing purposes.</t>
  </si>
  <si>
    <t>N/A but Good</t>
  </si>
  <si>
    <t>[ACTION] Free Trial should also have OAUTH options using Facebook, LinkedIn, Twitter, Github. [OUTCOME] Hence having other popular options would furthe rincrease sign ups.  [Theory] Not everyone have access to gmail so other options will be critical.</t>
  </si>
  <si>
    <t xml:space="preserve">[ACTION] capitalizations and special characters would have been great options. [OUTCOME] It would be vital for users to create their unique workspace names. [THEORY] This would beautify the name creation process and make it more engaging. </t>
  </si>
  <si>
    <t>No exerimentations in mind</t>
  </si>
  <si>
    <t>[ACTION] The top 50% of this step can be eliminated (role, team size, team use) [OUTCOME] to aid the step completion rate from 92% [THEORY] due to the objective of decreasing 67% of the clicks on this step.</t>
  </si>
  <si>
    <t>[ACTION] Free Trial should also have OAUTH options using Facebook, LinkedIn, Twitter, Github. [OUTCOME] Hence having other popular options would furthe rincrease sign ups.  [Theory] some users still don't use Gmail. So having more options is fundamental.</t>
  </si>
  <si>
    <t xml:space="preserve">[ACTION] If there were additional oauth options as given above, it would be a better option to auotmatically get their perosnal info from, example; LinkedIn. [OUTCOME]This would give the user lesser efforts in filling up the necessary info. [THEORY] Users want less worry and quick access. </t>
  </si>
  <si>
    <t>[ACTION] Users would have an option to get their verification emails by the email account they've used in the 3 oauth options given above: LinkedIn, Twitter, Facebook . [OUTCOMES] Possibility of more signups. [THEORY] Not all users have gmail. And some users don't want to undergo the usual process if signing in, especially if the initlal goal is to simply try the platform.</t>
  </si>
  <si>
    <t>2 - Free Trial Sign Up</t>
  </si>
  <si>
    <t xml:space="preserve">5 - Submit Personal Info </t>
  </si>
  <si>
    <t>6 - Name your workspace</t>
  </si>
  <si>
    <t>Using additional options other than Google Mail. The only option given is Gmail. I am testing if also having LinkedIn, Twitter , Github and Facebook would have a positive impact.</t>
  </si>
  <si>
    <t>This is highly related and affected by the above experiment on having sign in options. Getting the users info other than Gmail would be a great option.</t>
  </si>
  <si>
    <t xml:space="preserve">A rise in people signing up for the trial with also a chance that extra trials may be included to normal subscriptions. This might grow by as much as 34%. </t>
  </si>
  <si>
    <t>Creation of workspace name became faster by 20% due to special characters and capitalization.</t>
  </si>
  <si>
    <t>With the availability of just the gmail account for auto-sign in, the implementation of multiple sign in options will quickly escalate the entire process.</t>
  </si>
  <si>
    <t>Due to the increased number of options provided on the second option, the number of sign up will increase.</t>
  </si>
  <si>
    <t xml:space="preserve">The users who are originally interested in a free signup may want to use other OATHS. </t>
  </si>
  <si>
    <t>The implementations of characters and capitalizations aren't recognized which will aid in the unique name creation process.</t>
  </si>
  <si>
    <t>The sales and marketing teams to idenitfy any specific trends and changes and data team to further spot these trends and communincate back to marketing and sales</t>
  </si>
  <si>
    <t>The sales and marketing teams  would need to keep track of the developments of test doing well whereas the  data team  will analyze specific trends.</t>
  </si>
  <si>
    <t xml:space="preserve">How is the marketing team utilzing the data? The implementation of multiple sign up options will attract more users hopefully. </t>
  </si>
  <si>
    <t>How big of a difference will single and multiple OAUTH make with the sign up process?</t>
  </si>
  <si>
    <t>Will the creation of a unique workspace enhance the ease of use?</t>
  </si>
  <si>
    <t>The rate of sign up faster and conversions</t>
  </si>
  <si>
    <t>The time duration  in the creartion of unique workspace names</t>
  </si>
  <si>
    <t>The duration of sign up completion with OAUTH method</t>
  </si>
  <si>
    <t>3-weeks</t>
  </si>
  <si>
    <t>2-4 weeks</t>
  </si>
  <si>
    <t>None</t>
  </si>
  <si>
    <t xml:space="preserve">Use Slack Chatbots for any special announcements </t>
  </si>
  <si>
    <t>Create as many channels/groups that are beneficial to the goals</t>
  </si>
  <si>
    <t xml:space="preserve">Having a very active participation on slack workshops and meetings </t>
  </si>
  <si>
    <t>Having very active staff members use the platform</t>
  </si>
  <si>
    <t xml:space="preserve">Getting automated responses via email and mobile phone </t>
  </si>
  <si>
    <t>Receiving an email or mobile notification regarding a response from a thread</t>
  </si>
  <si>
    <t xml:space="preserve">Use as a reliable workshop platform for weekly meetings </t>
  </si>
  <si>
    <t>Constantly engage in collaborations  through mobile or web app</t>
  </si>
  <si>
    <t>Switch from instant messaging to group virtural meetings all incorporated on the same platform</t>
  </si>
  <si>
    <t xml:space="preserve">Only use Slack for meetings and 'workshops', instead of Zoom or Skype </t>
  </si>
  <si>
    <t xml:space="preserve">Use Slack for broadcast messaging </t>
  </si>
  <si>
    <t xml:space="preserve">Receive fast notifications through email or sms </t>
  </si>
  <si>
    <t>Observations (Personal Notes): The login sessions gradually increased from 1+ login to 3+ login until it maintained a steady login session to 7+ logins.</t>
  </si>
  <si>
    <t xml:space="preserve">Observations (Personal Notes): The number of messages sent sharply increased from 38% to 50% from 100-500 message sent categories until it quickly increased 48% at 1000 messages sent  with a gradual rise from 55% to 58% at 2000 and 20,000 messages sent. </t>
  </si>
  <si>
    <t>Observations (Personal Notes): The analysis depicts that majority of the messages were sent at a higher overlap when the messages were minimum compared to maximum.</t>
  </si>
  <si>
    <t xml:space="preserve">There is a correlation that depicts the overlap % gets higher as the amount of messages sent increases. </t>
  </si>
  <si>
    <t>Irrespective of the steady decline of messages sent at 3+ logins to 7+, its adamant that the number of session logins on the average increased.</t>
  </si>
  <si>
    <t xml:space="preserve">Based on the graph, the habit of using slack decreases after the 4+ messages and remains on a steady 43% until the 7+ message. </t>
  </si>
  <si>
    <t>The slack platform is fundamental because it’s the primary source of communication  outside of emails in which everything else follows after it becomes a habit.</t>
  </si>
  <si>
    <t xml:space="preserve">Observations (Personal Notes):  The analysis depicts that the longer the number of days taken, the lower the % overlap with an astonishing decrease of 83% to 32% as the days grow from 1+ to 7+ days. </t>
  </si>
  <si>
    <t>Observations (Personal Notes): This visualization observes that as the number of days increases with messaging of a team member on a direct channel, the % overlap gradually decreased from 61% to 55% until it drastically declined to 23% at 7+ days taken.</t>
  </si>
  <si>
    <t>Observations (Personal Notes): With this visualization, the % of overlap with respect to days taken for search for old documents, links, and convos showed fluctuations of growth and decline from 42% at 1+days taken to 35% at 7+ days.</t>
  </si>
  <si>
    <t>The metric shows that majority of the users don't like to send group messages on the channel as the days go by which is directly proportional to activation.</t>
  </si>
  <si>
    <t>The metric affects activation because the messaging with a team member on a direct channel declined as the days went by .</t>
  </si>
  <si>
    <t>No</t>
  </si>
  <si>
    <t>The graph shows that there was no correlation of days taken to % overlap as the graph is linear hence it doesn’t affect activation in my opinion.</t>
  </si>
  <si>
    <t>This will be best for Slack because the generation of features to send broadcast group messages on the channel and create specific topic and groups are phenominal</t>
  </si>
  <si>
    <t>Observations (Personal Notes):  The graph shows that the number of days taken to configure settings and profiles fluctuated from day 1+ to 7+ over a % overlap of 39% to 31%.</t>
  </si>
  <si>
    <t>Yes it affects activation because the more difficult the configuration and profiles, the difficult the activation process becomes.</t>
  </si>
  <si>
    <t>Observations (Personal Notes): The graph shows that the number of days taken to integrate to a 3rd party Slack App with respect to % overlap steadily decline with a linaer growth from 1+ days to 7+ days.</t>
  </si>
  <si>
    <t>This setup metric shows no correlation as the days go by with respect to % overlap.</t>
  </si>
  <si>
    <t>Observations (Personal Notes): The analysis shows that the number of users invited vs % overlap over a 1+ day to 7+ daywas strady until day 4+ where is drastically decreased from 64% to 29%</t>
  </si>
  <si>
    <t>The graph indicates that the time taken to invite team mates and have back-and-forth conversations decreased over time on the average hence affecting activation.</t>
  </si>
  <si>
    <t>Without using the data analysis, it'll be difficult o gauge the set up metric and make informed decisions.</t>
  </si>
  <si>
    <t>The availability of featured to enhance readily available notifications from team and group channels coupled with active participation on the slack workshop meetings and having active staff members using the platform all create habit moments.</t>
  </si>
  <si>
    <t>The incorporation of receiving automated responses via emails and phone numbers and receiving an email or notification through phone or sms all lead to the realization of the'aha' moments.</t>
  </si>
  <si>
    <t>The engagement in frequency faster than email while being mobile with a combination of reliable workshop platforms and constant collaborations all lead to a set up moment.</t>
  </si>
  <si>
    <t>Technology have the best activation channel because the % of users activated is 45%</t>
  </si>
  <si>
    <t>I will communicate with the marketing team to invest the ICP in technology, healthcare and manufacturing to optimize the acquisition funnel.</t>
  </si>
  <si>
    <t>We can explore looking into advertising, promoting and training heavily in the Consume Goods, Transportation and Oil and Gas industries to increse the number of activations in the industries.</t>
  </si>
  <si>
    <t>The company size with nest activation is 21-50</t>
  </si>
  <si>
    <t>I will encourage the marketing team to invest in customer acquisition in the company sizes of 21-50, 11-20 and 51-100 as they provide higher chances of conversion.</t>
  </si>
  <si>
    <t>The activation channels of company sizes 1-5,101-250 and 501+ need critical attentions through personalized onboarding experience, use of gamification for user experience and build trust with personalized welcome emails.</t>
  </si>
  <si>
    <t>The account size that has the best activation is 50-100</t>
  </si>
  <si>
    <t>The account size with worst activation is 1-2 because 16 out of 100 users were fully activated with the lowest setup and aha moments of 59% and 55% respectively.</t>
  </si>
  <si>
    <t xml:space="preserve">The company size 1-5 has the worst activation of 19 % because out of the 280 new users, 54 of the users activated with setup and aha moments of 64% and 59% which is drastically low compared to the rest. </t>
  </si>
  <si>
    <t>Transportation has the worst ativation funnel because the % of user activated is 22% with 10 people out of 46 new users acquired and a setup and aha moments of 68% and 55% respectively.</t>
  </si>
  <si>
    <t>I'd encourage the marketing team to invest the ICPs in the account sizes of 50-100 and 100+ categories dues to the higher % of user activation.</t>
  </si>
  <si>
    <t>We could run experiments to help increase the account sizes of 1-2, 2-5, and 5-10 through the offer of live chat and host of webinars.</t>
  </si>
  <si>
    <t>The source with the best activation funnel is team invitation.</t>
  </si>
  <si>
    <t>The source with the worst is pricing page. This is because 73 users were activated out of 250 with setup and aha moments of 72% and 62%.</t>
  </si>
  <si>
    <t>I will communicate with the marketing team to invest the ICPs acquisition strategy into the team invitation and referral links sources as it generates the most users activated.</t>
  </si>
  <si>
    <t>Experimental efforts can be designed to help improve sources of the pricing page and blog posts as it has the lowest activation sources</t>
  </si>
  <si>
    <t>4 - Activate Account in Email</t>
  </si>
  <si>
    <t>This will give options for users to create their uique workspace names. It would be vital for users to create their unique workspace names. There's a projected decrease in the time it takes for a user to create his/her workspace username which would beautify the name creation process and make it more engaging.</t>
  </si>
  <si>
    <t>This experimentation will enable users to quickly activate their accounts with multiple methods of activations through Facebook, Twitter and LinkedIn and not just Gmail</t>
  </si>
  <si>
    <t>Using this strategy will drastically increase the activation phase for non-gmail users hence decreasing unecessary frictions.</t>
  </si>
  <si>
    <t>This strategy will drastically increase the activation phase by 40-50% due to the readily availability of simple authentication and not just gmail.</t>
  </si>
  <si>
    <t>The duration needed  in the activation of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</si>
</sst>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yy"/>
  </numFmts>
  <fonts count="29">
    <font>
      <sz val="10"/>
      <color rgb="FF000000"/>
      <name val="Arial"/>
      <scheme val="minor"/>
    </font>
    <font>
      <sz val="31"/>
      <color rgb="FF000000"/>
      <name val="Arial"/>
      <family val="2"/>
    </font>
    <font>
      <sz val="10"/>
      <name val="Arial"/>
      <family val="2"/>
    </font>
    <font>
      <sz val="10"/>
      <color theme="1"/>
      <name val="Arial"/>
      <family val="2"/>
      <scheme val="minor"/>
    </font>
    <font>
      <u/>
      <sz val="10"/>
      <color rgb="FF0000FF"/>
      <name val="Arial"/>
      <family val="2"/>
    </font>
    <font>
      <sz val="10"/>
      <color rgb="FF000000"/>
      <name val="Arial"/>
      <family val="2"/>
    </font>
    <font>
      <b/>
      <sz val="10"/>
      <color rgb="FF000000"/>
      <name val="Arial"/>
      <family val="2"/>
    </font>
    <font>
      <b/>
      <sz val="10"/>
      <color theme="1"/>
      <name val="Arial"/>
      <family val="2"/>
    </font>
    <font>
      <sz val="10"/>
      <color theme="1"/>
      <name val="Arial"/>
      <family val="2"/>
    </font>
    <font>
      <sz val="11"/>
      <color rgb="FF222222"/>
      <name val="&quot;Google Sans&quot;"/>
    </font>
    <font>
      <b/>
      <sz val="20"/>
      <color theme="1"/>
      <name val="Arial"/>
      <family val="2"/>
    </font>
    <font>
      <b/>
      <sz val="30"/>
      <color theme="1"/>
      <name val="Arial"/>
      <family val="2"/>
      <scheme val="minor"/>
    </font>
    <font>
      <b/>
      <u/>
      <sz val="10"/>
      <color rgb="FF0000FF"/>
      <name val="Arial"/>
      <family val="2"/>
    </font>
    <font>
      <b/>
      <sz val="10"/>
      <color theme="1"/>
      <name val="Arial"/>
      <family val="2"/>
      <scheme val="minor"/>
    </font>
    <font>
      <b/>
      <sz val="30"/>
      <color theme="1"/>
      <name val="Arial"/>
      <family val="2"/>
    </font>
    <font>
      <b/>
      <sz val="10"/>
      <color rgb="FFB7B7B7"/>
      <name val="Arial"/>
      <family val="2"/>
      <scheme val="minor"/>
    </font>
    <font>
      <sz val="10"/>
      <color rgb="FFB7B7B7"/>
      <name val="Arial"/>
      <family val="2"/>
      <scheme val="minor"/>
    </font>
    <font>
      <b/>
      <sz val="10"/>
      <color rgb="FFB7B7B7"/>
      <name val="Arial"/>
      <family val="2"/>
    </font>
    <font>
      <sz val="11"/>
      <color rgb="FF000000"/>
      <name val="Arial"/>
      <family val="2"/>
    </font>
    <font>
      <b/>
      <sz val="18"/>
      <color theme="1"/>
      <name val="Arial"/>
      <family val="2"/>
      <scheme val="minor"/>
    </font>
    <font>
      <sz val="10"/>
      <color theme="1"/>
      <name val="Arial"/>
      <family val="2"/>
      <scheme val="minor"/>
    </font>
    <font>
      <b/>
      <sz val="10"/>
      <color rgb="FF000000"/>
      <name val="Open Sans"/>
    </font>
    <font>
      <b/>
      <sz val="10"/>
      <color theme="1"/>
      <name val="Arial"/>
      <family val="2"/>
      <scheme val="minor"/>
    </font>
    <font>
      <sz val="10"/>
      <color rgb="FF000000"/>
      <name val="Open Sans"/>
    </font>
    <font>
      <b/>
      <sz val="10"/>
      <color theme="1"/>
      <name val="Open Sans"/>
    </font>
    <font>
      <b/>
      <sz val="10"/>
      <color rgb="FF4285F4"/>
      <name val="Arial"/>
      <family val="2"/>
    </font>
    <font>
      <sz val="10"/>
      <color rgb="FF000000"/>
      <name val="Arial"/>
      <family val="2"/>
      <scheme val="minor"/>
    </font>
    <font>
      <b/>
      <sz val="8.5"/>
      <color theme="1"/>
      <name val="Arial"/>
      <family val="2"/>
    </font>
    <font>
      <b/>
      <sz val="10"/>
      <name val="Arial"/>
      <family val="2"/>
    </font>
  </fonts>
  <fills count="2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F6B26B"/>
        <bgColor rgb="FFF6B26B"/>
      </patternFill>
    </fill>
    <fill>
      <patternFill patternType="solid">
        <fgColor rgb="FFF3F3F3"/>
        <bgColor rgb="FFF3F3F3"/>
      </patternFill>
    </fill>
    <fill>
      <patternFill patternType="solid">
        <fgColor rgb="FFBDBDBD"/>
        <bgColor rgb="FFBDBDBD"/>
      </patternFill>
    </fill>
    <fill>
      <patternFill patternType="solid">
        <fgColor rgb="FFA4C2F4"/>
        <bgColor rgb="FFA4C2F4"/>
      </patternFill>
    </fill>
    <fill>
      <patternFill patternType="solid">
        <fgColor rgb="FFD8D8D8"/>
        <bgColor rgb="FFD8D8D8"/>
      </patternFill>
    </fill>
    <fill>
      <patternFill patternType="solid">
        <fgColor rgb="FFC0CE7B"/>
        <bgColor rgb="FFC0CE7B"/>
      </patternFill>
    </fill>
    <fill>
      <patternFill patternType="solid">
        <fgColor rgb="FFFBD584"/>
        <bgColor rgb="FFFBD584"/>
      </patternFill>
    </fill>
    <fill>
      <patternFill patternType="solid">
        <fgColor rgb="FFEF9E65"/>
        <bgColor rgb="FFEF9E65"/>
      </patternFill>
    </fill>
    <fill>
      <patternFill patternType="solid">
        <fgColor rgb="FFF9CA7E"/>
        <bgColor rgb="FFF9CA7E"/>
      </patternFill>
    </fill>
    <fill>
      <patternFill patternType="solid">
        <fgColor rgb="FFF0A468"/>
        <bgColor rgb="FFF0A468"/>
      </patternFill>
    </fill>
    <fill>
      <patternFill patternType="solid">
        <fgColor rgb="FFE98256"/>
        <bgColor rgb="FFE98256"/>
      </patternFill>
    </fill>
    <fill>
      <patternFill patternType="solid">
        <fgColor rgb="FFFEE18B"/>
        <bgColor rgb="FFFEE18B"/>
      </patternFill>
    </fill>
    <fill>
      <patternFill patternType="solid">
        <fgColor rgb="FFF1A96C"/>
        <bgColor rgb="FFF1A96C"/>
      </patternFill>
    </fill>
    <fill>
      <patternFill patternType="solid">
        <fgColor rgb="FFE5724D"/>
        <bgColor rgb="FFE5724D"/>
      </patternFill>
    </fill>
    <fill>
      <patternFill patternType="solid">
        <fgColor rgb="FFF7C57B"/>
        <bgColor rgb="FFF7C57B"/>
      </patternFill>
    </fill>
    <fill>
      <patternFill patternType="solid">
        <fgColor rgb="FFEC935F"/>
        <bgColor rgb="FFEC935F"/>
      </patternFill>
    </fill>
    <fill>
      <patternFill patternType="solid">
        <fgColor rgb="FFEC8F5D"/>
        <bgColor rgb="FFEC8F5D"/>
      </patternFill>
    </fill>
    <fill>
      <patternFill patternType="solid">
        <fgColor rgb="FFE26344"/>
        <bgColor rgb="FFE26344"/>
      </patternFill>
    </fill>
    <fill>
      <patternFill patternType="solid">
        <fgColor rgb="FFDF563D"/>
        <bgColor rgb="FFDF563D"/>
      </patternFill>
    </fill>
    <fill>
      <patternFill patternType="solid">
        <fgColor rgb="FFEA8859"/>
        <bgColor rgb="FFEA8859"/>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4">
    <xf numFmtId="0" fontId="0" fillId="0" borderId="0"/>
    <xf numFmtId="9" fontId="26" fillId="0" borderId="0" applyFont="0" applyFill="0" applyBorder="0" applyAlignment="0" applyProtection="0"/>
    <xf numFmtId="0" fontId="5" fillId="0" borderId="0"/>
    <xf numFmtId="9" fontId="5" fillId="0" borderId="0" applyFont="0" applyFill="0" applyBorder="0" applyAlignment="0" applyProtection="0"/>
  </cellStyleXfs>
  <cellXfs count="265">
    <xf numFmtId="0" fontId="0" fillId="0" borderId="0" xfId="0" applyFont="1" applyAlignment="1"/>
    <xf numFmtId="0" fontId="5" fillId="3" borderId="0" xfId="0" applyFont="1" applyFill="1" applyAlignment="1">
      <alignment horizontal="left"/>
    </xf>
    <xf numFmtId="0" fontId="7" fillId="0" borderId="2" xfId="0" applyFont="1" applyBorder="1" applyAlignment="1">
      <alignment horizontal="center"/>
    </xf>
    <xf numFmtId="0" fontId="7" fillId="0" borderId="3" xfId="0" applyFont="1" applyBorder="1" applyAlignment="1">
      <alignment horizontal="center"/>
    </xf>
    <xf numFmtId="0" fontId="7" fillId="2" borderId="10" xfId="0" applyFont="1" applyFill="1" applyBorder="1" applyAlignment="1">
      <alignment horizontal="center"/>
    </xf>
    <xf numFmtId="0" fontId="7" fillId="2" borderId="10" xfId="0" applyFont="1" applyFill="1" applyBorder="1" applyAlignment="1"/>
    <xf numFmtId="0" fontId="8" fillId="2" borderId="10" xfId="0" applyFont="1" applyFill="1" applyBorder="1" applyAlignment="1"/>
    <xf numFmtId="0" fontId="8" fillId="2" borderId="3" xfId="0" applyFont="1" applyFill="1" applyBorder="1" applyAlignment="1"/>
    <xf numFmtId="0" fontId="7" fillId="2" borderId="10" xfId="0" applyFont="1" applyFill="1" applyBorder="1" applyAlignment="1">
      <alignment horizontal="center"/>
    </xf>
    <xf numFmtId="0" fontId="8" fillId="0" borderId="11" xfId="0" applyFont="1" applyBorder="1" applyAlignment="1">
      <alignment horizontal="center"/>
    </xf>
    <xf numFmtId="0" fontId="8" fillId="4" borderId="10" xfId="0" applyFont="1" applyFill="1" applyBorder="1" applyAlignment="1"/>
    <xf numFmtId="0" fontId="8" fillId="0" borderId="10" xfId="0" applyFont="1" applyBorder="1" applyAlignment="1"/>
    <xf numFmtId="0" fontId="8" fillId="0" borderId="11" xfId="0" applyFont="1" applyBorder="1" applyAlignment="1">
      <alignment horizontal="center"/>
    </xf>
    <xf numFmtId="0" fontId="8" fillId="0" borderId="10" xfId="0" applyFont="1" applyBorder="1" applyAlignment="1"/>
    <xf numFmtId="0" fontId="3" fillId="0" borderId="10" xfId="0" applyFont="1" applyBorder="1" applyAlignment="1">
      <alignment horizontal="center"/>
    </xf>
    <xf numFmtId="0" fontId="8" fillId="2" borderId="10" xfId="0" applyFont="1" applyFill="1" applyBorder="1" applyAlignment="1">
      <alignment horizontal="center"/>
    </xf>
    <xf numFmtId="0" fontId="8" fillId="4" borderId="10" xfId="0" applyFont="1" applyFill="1" applyBorder="1"/>
    <xf numFmtId="0" fontId="9" fillId="3" borderId="10" xfId="0" applyFont="1" applyFill="1" applyBorder="1" applyAlignment="1"/>
    <xf numFmtId="0" fontId="8" fillId="0" borderId="0" xfId="0" applyFont="1"/>
    <xf numFmtId="0" fontId="7" fillId="0" borderId="0" xfId="0" applyFont="1" applyAlignment="1">
      <alignment wrapText="1"/>
    </xf>
    <xf numFmtId="0" fontId="8" fillId="0" borderId="0" xfId="0" applyFont="1" applyAlignment="1"/>
    <xf numFmtId="0" fontId="6" fillId="5" borderId="0" xfId="0" applyFont="1" applyFill="1" applyAlignment="1">
      <alignment horizontal="left"/>
    </xf>
    <xf numFmtId="0" fontId="5" fillId="5" borderId="8" xfId="0" applyFont="1" applyFill="1" applyBorder="1" applyAlignment="1">
      <alignment horizontal="left"/>
    </xf>
    <xf numFmtId="0" fontId="5" fillId="5" borderId="9" xfId="0" applyFont="1" applyFill="1" applyBorder="1" applyAlignment="1">
      <alignment horizontal="left"/>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8" fillId="3" borderId="10" xfId="0" applyFont="1" applyFill="1" applyBorder="1" applyAlignment="1">
      <alignment horizontal="right"/>
    </xf>
    <xf numFmtId="0" fontId="8" fillId="3" borderId="10" xfId="0" applyFont="1" applyFill="1" applyBorder="1" applyAlignment="1"/>
    <xf numFmtId="10" fontId="8" fillId="5" borderId="10" xfId="0" applyNumberFormat="1" applyFont="1" applyFill="1" applyBorder="1" applyAlignment="1">
      <alignment horizontal="right"/>
    </xf>
    <xf numFmtId="0" fontId="8" fillId="5" borderId="10" xfId="0" applyFont="1" applyFill="1" applyBorder="1" applyAlignment="1">
      <alignment horizontal="center"/>
    </xf>
    <xf numFmtId="0" fontId="8" fillId="5" borderId="10" xfId="0" applyFont="1" applyFill="1" applyBorder="1" applyAlignment="1">
      <alignment horizontal="right" wrapText="1"/>
    </xf>
    <xf numFmtId="0" fontId="5" fillId="5" borderId="10" xfId="0" applyFont="1" applyFill="1" applyBorder="1" applyAlignment="1">
      <alignment vertical="top" wrapText="1"/>
    </xf>
    <xf numFmtId="0" fontId="8" fillId="5" borderId="10" xfId="0" applyFont="1" applyFill="1" applyBorder="1" applyAlignment="1">
      <alignment vertical="top"/>
    </xf>
    <xf numFmtId="0" fontId="8" fillId="5" borderId="10" xfId="0" applyFont="1" applyFill="1" applyBorder="1" applyAlignment="1">
      <alignment wrapText="1"/>
    </xf>
    <xf numFmtId="0" fontId="8" fillId="5" borderId="10" xfId="0" applyFont="1" applyFill="1" applyBorder="1" applyAlignment="1"/>
    <xf numFmtId="0" fontId="8" fillId="5" borderId="10" xfId="0" applyFont="1" applyFill="1" applyBorder="1" applyAlignment="1">
      <alignment vertical="top" wrapText="1"/>
    </xf>
    <xf numFmtId="0" fontId="8" fillId="0" borderId="10" xfId="0" applyFont="1" applyBorder="1" applyAlignment="1">
      <alignment horizontal="right"/>
    </xf>
    <xf numFmtId="0" fontId="8" fillId="0" borderId="10" xfId="0" applyFont="1" applyBorder="1" applyAlignment="1"/>
    <xf numFmtId="10" fontId="8" fillId="4" borderId="10" xfId="0" applyNumberFormat="1" applyFont="1" applyFill="1" applyBorder="1" applyAlignment="1">
      <alignment horizontal="right"/>
    </xf>
    <xf numFmtId="0" fontId="8" fillId="4" borderId="10" xfId="0" applyFont="1" applyFill="1" applyBorder="1" applyAlignment="1">
      <alignment horizontal="right" wrapText="1"/>
    </xf>
    <xf numFmtId="0" fontId="8" fillId="4" borderId="11" xfId="0" applyFont="1" applyFill="1" applyBorder="1" applyAlignment="1">
      <alignment vertical="top" wrapText="1"/>
    </xf>
    <xf numFmtId="0" fontId="8" fillId="4" borderId="10" xfId="0" applyFont="1" applyFill="1" applyBorder="1" applyAlignment="1">
      <alignment vertical="top"/>
    </xf>
    <xf numFmtId="0" fontId="8" fillId="4" borderId="10" xfId="0" applyFont="1" applyFill="1" applyBorder="1" applyAlignment="1">
      <alignment wrapText="1"/>
    </xf>
    <xf numFmtId="0" fontId="8" fillId="4" borderId="10" xfId="0" applyFont="1" applyFill="1" applyBorder="1" applyAlignment="1"/>
    <xf numFmtId="0" fontId="8" fillId="4" borderId="10" xfId="0" applyFont="1" applyFill="1" applyBorder="1" applyAlignment="1">
      <alignment vertical="top" wrapText="1"/>
    </xf>
    <xf numFmtId="0" fontId="5" fillId="4" borderId="11" xfId="0" applyFont="1" applyFill="1" applyBorder="1" applyAlignment="1">
      <alignment vertical="top" wrapText="1"/>
    </xf>
    <xf numFmtId="0" fontId="5" fillId="4" borderId="10" xfId="0" applyFont="1" applyFill="1" applyBorder="1" applyAlignment="1">
      <alignment vertical="top" wrapText="1"/>
    </xf>
    <xf numFmtId="0" fontId="5" fillId="4" borderId="10" xfId="0" applyFont="1" applyFill="1" applyBorder="1" applyAlignment="1">
      <alignment vertical="top" wrapText="1"/>
    </xf>
    <xf numFmtId="0" fontId="8" fillId="4" borderId="10" xfId="0" applyFont="1" applyFill="1" applyBorder="1" applyAlignment="1">
      <alignment wrapText="1"/>
    </xf>
    <xf numFmtId="0" fontId="8" fillId="4" borderId="10" xfId="0" applyFont="1" applyFill="1" applyBorder="1" applyAlignment="1">
      <alignment vertical="top" wrapText="1"/>
    </xf>
    <xf numFmtId="10" fontId="8" fillId="3" borderId="10" xfId="0" applyNumberFormat="1" applyFont="1" applyFill="1" applyBorder="1" applyAlignment="1">
      <alignment horizontal="right"/>
    </xf>
    <xf numFmtId="10" fontId="8" fillId="6" borderId="10" xfId="0" applyNumberFormat="1" applyFont="1" applyFill="1" applyBorder="1" applyAlignment="1">
      <alignment horizontal="right"/>
    </xf>
    <xf numFmtId="0" fontId="8" fillId="0" borderId="11" xfId="0" applyFont="1" applyBorder="1" applyAlignment="1">
      <alignment horizontal="right"/>
    </xf>
    <xf numFmtId="0" fontId="8" fillId="0" borderId="9" xfId="0" applyFont="1" applyBorder="1" applyAlignment="1"/>
    <xf numFmtId="0" fontId="8" fillId="0" borderId="9" xfId="0" applyFont="1" applyBorder="1" applyAlignment="1">
      <alignment horizontal="right"/>
    </xf>
    <xf numFmtId="10" fontId="8" fillId="0" borderId="0" xfId="0" applyNumberFormat="1" applyFont="1" applyAlignment="1"/>
    <xf numFmtId="10" fontId="8" fillId="0" borderId="8" xfId="0" applyNumberFormat="1" applyFont="1" applyBorder="1" applyAlignment="1"/>
    <xf numFmtId="0" fontId="8" fillId="0" borderId="8" xfId="0" applyFont="1" applyBorder="1" applyAlignment="1"/>
    <xf numFmtId="0" fontId="8" fillId="0" borderId="13" xfId="0" applyFont="1" applyBorder="1" applyAlignment="1"/>
    <xf numFmtId="10" fontId="8" fillId="4" borderId="9" xfId="0" applyNumberFormat="1" applyFont="1" applyFill="1" applyBorder="1" applyAlignment="1">
      <alignment horizontal="right"/>
    </xf>
    <xf numFmtId="0" fontId="8" fillId="4" borderId="9" xfId="0" applyFont="1" applyFill="1" applyBorder="1" applyAlignment="1">
      <alignment horizontal="right"/>
    </xf>
    <xf numFmtId="0" fontId="8" fillId="0" borderId="7" xfId="0" applyFont="1" applyBorder="1" applyAlignment="1">
      <alignment horizontal="left" vertical="top"/>
    </xf>
    <xf numFmtId="0" fontId="8" fillId="0" borderId="8" xfId="0" applyFont="1" applyBorder="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7" fillId="2" borderId="1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8" fillId="5" borderId="11" xfId="0" applyFont="1" applyFill="1" applyBorder="1" applyAlignment="1">
      <alignment horizontal="right" wrapText="1"/>
    </xf>
    <xf numFmtId="0" fontId="8" fillId="5" borderId="9" xfId="0" applyFont="1" applyFill="1" applyBorder="1" applyAlignment="1">
      <alignment wrapText="1"/>
    </xf>
    <xf numFmtId="9" fontId="8" fillId="5" borderId="9" xfId="0" applyNumberFormat="1" applyFont="1" applyFill="1" applyBorder="1" applyAlignment="1">
      <alignment horizontal="right" wrapText="1"/>
    </xf>
    <xf numFmtId="0" fontId="8" fillId="5" borderId="9" xfId="0" applyFont="1" applyFill="1" applyBorder="1" applyAlignment="1">
      <alignment horizontal="right" wrapText="1"/>
    </xf>
    <xf numFmtId="2" fontId="8" fillId="5" borderId="9" xfId="0" applyNumberFormat="1" applyFont="1" applyFill="1" applyBorder="1" applyAlignment="1">
      <alignment horizontal="right" wrapText="1"/>
    </xf>
    <xf numFmtId="0" fontId="8" fillId="4" borderId="11" xfId="0" applyFont="1" applyFill="1" applyBorder="1" applyAlignment="1">
      <alignment horizontal="right" wrapText="1"/>
    </xf>
    <xf numFmtId="9" fontId="8" fillId="4" borderId="9" xfId="0" applyNumberFormat="1" applyFont="1" applyFill="1" applyBorder="1" applyAlignment="1">
      <alignment horizontal="right" wrapText="1"/>
    </xf>
    <xf numFmtId="0" fontId="8" fillId="4" borderId="9" xfId="0" applyFont="1" applyFill="1" applyBorder="1" applyAlignment="1">
      <alignment horizontal="right" wrapText="1"/>
    </xf>
    <xf numFmtId="2" fontId="8" fillId="4" borderId="9" xfId="0" applyNumberFormat="1" applyFont="1" applyFill="1" applyBorder="1" applyAlignment="1">
      <alignment horizontal="right" wrapText="1"/>
    </xf>
    <xf numFmtId="0" fontId="8" fillId="4" borderId="9" xfId="0" applyFont="1" applyFill="1" applyBorder="1" applyAlignment="1">
      <alignment wrapText="1"/>
    </xf>
    <xf numFmtId="0" fontId="5" fillId="3" borderId="0" xfId="0" applyFont="1" applyFill="1" applyAlignment="1">
      <alignment horizontal="left" wrapText="1"/>
    </xf>
    <xf numFmtId="0" fontId="7" fillId="0" borderId="0" xfId="0" applyFont="1" applyAlignment="1">
      <alignment horizontal="left" vertical="top" wrapText="1"/>
    </xf>
    <xf numFmtId="0" fontId="13" fillId="0" borderId="0" xfId="0" applyFont="1" applyAlignment="1">
      <alignment horizontal="left" vertical="top" wrapText="1"/>
    </xf>
    <xf numFmtId="0" fontId="6" fillId="3" borderId="0" xfId="0" applyFont="1" applyFill="1" applyAlignment="1">
      <alignment horizontal="left" wrapText="1"/>
    </xf>
    <xf numFmtId="0" fontId="13" fillId="0" borderId="0" xfId="0" applyFont="1" applyAlignment="1">
      <alignment wrapText="1"/>
    </xf>
    <xf numFmtId="0" fontId="15" fillId="2" borderId="0" xfId="0" applyFont="1" applyFill="1" applyAlignment="1">
      <alignment horizontal="center"/>
    </xf>
    <xf numFmtId="0" fontId="15" fillId="2" borderId="0" xfId="0" applyFont="1" applyFill="1" applyAlignment="1">
      <alignment horizontal="left" vertical="top" wrapText="1"/>
    </xf>
    <xf numFmtId="0" fontId="16" fillId="2" borderId="0" xfId="0" applyFont="1" applyFill="1"/>
    <xf numFmtId="0" fontId="17" fillId="2" borderId="0" xfId="0" applyFont="1" applyFill="1" applyAlignment="1">
      <alignment horizontal="left" wrapText="1"/>
    </xf>
    <xf numFmtId="0" fontId="13" fillId="0" borderId="0" xfId="0" applyFont="1" applyAlignment="1">
      <alignment horizontal="center"/>
    </xf>
    <xf numFmtId="0" fontId="7" fillId="6" borderId="10" xfId="0" applyFont="1" applyFill="1" applyBorder="1" applyAlignment="1">
      <alignment horizontal="center"/>
    </xf>
    <xf numFmtId="0" fontId="13" fillId="0" borderId="0" xfId="0" applyFont="1" applyAlignment="1"/>
    <xf numFmtId="0" fontId="7" fillId="3" borderId="10" xfId="0" applyFont="1" applyFill="1" applyBorder="1" applyAlignment="1">
      <alignment horizontal="center" wrapText="1"/>
    </xf>
    <xf numFmtId="0" fontId="7" fillId="3" borderId="10" xfId="0" applyFont="1" applyFill="1" applyBorder="1" applyAlignment="1">
      <alignment wrapText="1"/>
    </xf>
    <xf numFmtId="0" fontId="7" fillId="6" borderId="10" xfId="0" applyFont="1" applyFill="1" applyBorder="1" applyAlignment="1">
      <alignment horizontal="right"/>
    </xf>
    <xf numFmtId="0" fontId="8" fillId="6" borderId="10" xfId="0" applyFont="1" applyFill="1" applyBorder="1" applyAlignment="1">
      <alignment horizontal="right"/>
    </xf>
    <xf numFmtId="0" fontId="18" fillId="6" borderId="10" xfId="0" applyFont="1" applyFill="1" applyBorder="1" applyAlignment="1">
      <alignment horizontal="right"/>
    </xf>
    <xf numFmtId="3" fontId="8" fillId="6" borderId="10" xfId="0" applyNumberFormat="1" applyFont="1" applyFill="1" applyBorder="1" applyAlignment="1">
      <alignment horizontal="right"/>
    </xf>
    <xf numFmtId="9" fontId="8" fillId="5" borderId="10" xfId="0" applyNumberFormat="1" applyFont="1" applyFill="1" applyBorder="1" applyAlignment="1">
      <alignment horizontal="right"/>
    </xf>
    <xf numFmtId="0" fontId="18" fillId="3" borderId="0" xfId="0" applyFont="1" applyFill="1" applyAlignment="1">
      <alignment horizontal="right"/>
    </xf>
    <xf numFmtId="0" fontId="6" fillId="3" borderId="12" xfId="0" applyFont="1" applyFill="1" applyBorder="1" applyAlignment="1">
      <alignment horizontal="left" wrapText="1"/>
    </xf>
    <xf numFmtId="0" fontId="6" fillId="3" borderId="13" xfId="0" applyFont="1" applyFill="1" applyBorder="1" applyAlignment="1">
      <alignment horizontal="left" wrapText="1"/>
    </xf>
    <xf numFmtId="0" fontId="7" fillId="3" borderId="10" xfId="0" applyFont="1" applyFill="1" applyBorder="1" applyAlignment="1">
      <alignment horizontal="right"/>
    </xf>
    <xf numFmtId="3" fontId="8" fillId="3" borderId="10" xfId="0" applyNumberFormat="1" applyFont="1" applyFill="1" applyBorder="1" applyAlignment="1">
      <alignment horizontal="right"/>
    </xf>
    <xf numFmtId="9" fontId="8" fillId="4" borderId="10" xfId="0" applyNumberFormat="1" applyFont="1" applyFill="1" applyBorder="1" applyAlignment="1">
      <alignment horizontal="right"/>
    </xf>
    <xf numFmtId="0" fontId="8" fillId="0" borderId="0" xfId="0" applyFont="1" applyAlignment="1">
      <alignment horizontal="right"/>
    </xf>
    <xf numFmtId="0" fontId="8" fillId="6" borderId="10" xfId="0" applyFont="1" applyFill="1" applyBorder="1" applyAlignment="1">
      <alignment horizontal="right"/>
    </xf>
    <xf numFmtId="0" fontId="13" fillId="0" borderId="0" xfId="0" applyFont="1" applyAlignment="1">
      <alignment horizontal="right"/>
    </xf>
    <xf numFmtId="0" fontId="8" fillId="3" borderId="10" xfId="0" applyFont="1" applyFill="1" applyBorder="1" applyAlignment="1">
      <alignment horizontal="right"/>
    </xf>
    <xf numFmtId="0" fontId="7" fillId="2" borderId="10" xfId="0" applyFont="1" applyFill="1" applyBorder="1" applyAlignment="1">
      <alignment horizontal="center" wrapText="1"/>
    </xf>
    <xf numFmtId="0" fontId="7" fillId="2" borderId="10" xfId="0" applyFont="1" applyFill="1" applyBorder="1" applyAlignment="1">
      <alignment wrapText="1"/>
    </xf>
    <xf numFmtId="0" fontId="7" fillId="0" borderId="10" xfId="0" applyFont="1" applyBorder="1" applyAlignment="1">
      <alignment horizontal="right"/>
    </xf>
    <xf numFmtId="0" fontId="18" fillId="3" borderId="10" xfId="0" applyFont="1" applyFill="1" applyBorder="1" applyAlignment="1">
      <alignment horizontal="right"/>
    </xf>
    <xf numFmtId="3" fontId="8" fillId="0" borderId="10" xfId="0" applyNumberFormat="1" applyFont="1" applyBorder="1" applyAlignment="1">
      <alignment horizontal="right"/>
    </xf>
    <xf numFmtId="0" fontId="18" fillId="3" borderId="10" xfId="0" applyFont="1" applyFill="1" applyBorder="1" applyAlignment="1">
      <alignment horizontal="right"/>
    </xf>
    <xf numFmtId="0" fontId="8" fillId="0" borderId="10" xfId="0" applyFont="1" applyBorder="1" applyAlignment="1">
      <alignment horizontal="right"/>
    </xf>
    <xf numFmtId="0" fontId="3" fillId="0" borderId="0" xfId="0" applyFont="1" applyAlignment="1">
      <alignment horizontal="right"/>
    </xf>
    <xf numFmtId="0" fontId="3" fillId="0" borderId="0" xfId="0" applyFont="1" applyAlignment="1"/>
    <xf numFmtId="0" fontId="13" fillId="0" borderId="0" xfId="0" applyFont="1" applyAlignment="1">
      <alignment horizontal="center" wrapText="1"/>
    </xf>
    <xf numFmtId="0" fontId="3" fillId="0" borderId="0" xfId="0" applyFont="1" applyAlignment="1">
      <alignment wrapText="1"/>
    </xf>
    <xf numFmtId="9" fontId="7" fillId="5" borderId="10" xfId="0" applyNumberFormat="1" applyFont="1" applyFill="1" applyBorder="1" applyAlignment="1">
      <alignment horizontal="right"/>
    </xf>
    <xf numFmtId="3" fontId="8" fillId="0" borderId="0" xfId="0" applyNumberFormat="1" applyFont="1" applyAlignment="1">
      <alignment horizontal="right"/>
    </xf>
    <xf numFmtId="9" fontId="8" fillId="0" borderId="0" xfId="0" applyNumberFormat="1" applyFont="1" applyAlignment="1">
      <alignment horizontal="right"/>
    </xf>
    <xf numFmtId="0" fontId="8" fillId="0" borderId="0" xfId="0" applyFont="1" applyAlignment="1">
      <alignment horizontal="right"/>
    </xf>
    <xf numFmtId="0" fontId="11" fillId="2" borderId="0" xfId="0" applyFont="1" applyFill="1" applyAlignment="1">
      <alignment horizontal="center"/>
    </xf>
    <xf numFmtId="0" fontId="19" fillId="2" borderId="0" xfId="0" applyFont="1" applyFill="1" applyAlignment="1">
      <alignment horizontal="center"/>
    </xf>
    <xf numFmtId="0" fontId="7" fillId="5" borderId="0" xfId="0" applyFont="1" applyFill="1" applyAlignment="1">
      <alignment horizontal="left" vertical="top" wrapText="1"/>
    </xf>
    <xf numFmtId="0" fontId="5" fillId="5" borderId="0" xfId="0" applyFont="1" applyFill="1" applyAlignment="1">
      <alignment horizontal="left" wrapText="1"/>
    </xf>
    <xf numFmtId="0" fontId="3" fillId="3" borderId="0" xfId="0" applyFont="1" applyFill="1" applyAlignment="1">
      <alignment horizontal="left" wrapText="1"/>
    </xf>
    <xf numFmtId="0" fontId="13" fillId="2" borderId="0" xfId="0" applyFont="1" applyFill="1" applyAlignment="1">
      <alignment horizontal="center"/>
    </xf>
    <xf numFmtId="0" fontId="8" fillId="5" borderId="0" xfId="0" applyFont="1" applyFill="1" applyAlignment="1">
      <alignment horizontal="center"/>
    </xf>
    <xf numFmtId="0" fontId="6" fillId="5" borderId="0" xfId="0" applyFont="1" applyFill="1" applyAlignment="1">
      <alignment horizontal="left" wrapText="1"/>
    </xf>
    <xf numFmtId="0" fontId="8" fillId="5" borderId="0" xfId="0" applyFont="1" applyFill="1" applyAlignment="1">
      <alignment horizontal="center" wrapText="1"/>
    </xf>
    <xf numFmtId="0" fontId="8" fillId="3" borderId="0" xfId="0" applyFont="1" applyFill="1" applyAlignment="1">
      <alignment horizontal="center" wrapText="1"/>
    </xf>
    <xf numFmtId="0" fontId="20" fillId="0" borderId="0" xfId="0" applyFont="1"/>
    <xf numFmtId="0" fontId="22" fillId="0" borderId="0" xfId="0" applyFont="1" applyAlignment="1">
      <alignment horizontal="center" vertical="center"/>
    </xf>
    <xf numFmtId="0" fontId="21" fillId="2" borderId="10" xfId="0" applyFont="1" applyFill="1" applyBorder="1" applyAlignment="1">
      <alignment horizontal="center" wrapText="1"/>
    </xf>
    <xf numFmtId="0" fontId="21" fillId="9" borderId="10" xfId="0" applyFont="1" applyFill="1" applyBorder="1" applyAlignment="1">
      <alignment horizontal="center"/>
    </xf>
    <xf numFmtId="3" fontId="21" fillId="9" borderId="10" xfId="0" applyNumberFormat="1" applyFont="1" applyFill="1" applyBorder="1" applyAlignment="1">
      <alignment horizontal="center"/>
    </xf>
    <xf numFmtId="1" fontId="21" fillId="9" borderId="10" xfId="0" applyNumberFormat="1" applyFont="1" applyFill="1" applyBorder="1" applyAlignment="1">
      <alignment horizontal="center"/>
    </xf>
    <xf numFmtId="0" fontId="23" fillId="9" borderId="10" xfId="0" applyFont="1" applyFill="1" applyBorder="1" applyAlignment="1">
      <alignment horizontal="center"/>
    </xf>
    <xf numFmtId="3" fontId="23" fillId="9" borderId="10" xfId="0" applyNumberFormat="1" applyFont="1" applyFill="1" applyBorder="1" applyAlignment="1">
      <alignment horizontal="center"/>
    </xf>
    <xf numFmtId="9" fontId="23" fillId="10" borderId="10" xfId="0" applyNumberFormat="1" applyFont="1" applyFill="1" applyBorder="1" applyAlignment="1">
      <alignment horizontal="center"/>
    </xf>
    <xf numFmtId="9" fontId="23" fillId="8" borderId="10" xfId="0" applyNumberFormat="1" applyFont="1" applyFill="1" applyBorder="1" applyAlignment="1">
      <alignment horizontal="center"/>
    </xf>
    <xf numFmtId="9" fontId="23" fillId="11" borderId="10" xfId="0" applyNumberFormat="1" applyFont="1" applyFill="1" applyBorder="1" applyAlignment="1">
      <alignment horizontal="center"/>
    </xf>
    <xf numFmtId="9" fontId="23" fillId="12" borderId="10" xfId="0" applyNumberFormat="1" applyFont="1" applyFill="1" applyBorder="1" applyAlignment="1">
      <alignment horizontal="center"/>
    </xf>
    <xf numFmtId="1" fontId="20" fillId="8" borderId="10" xfId="0" applyNumberFormat="1" applyFont="1" applyFill="1" applyBorder="1" applyAlignment="1">
      <alignment horizontal="center"/>
    </xf>
    <xf numFmtId="9" fontId="20" fillId="8" borderId="10" xfId="0" applyNumberFormat="1" applyFont="1" applyFill="1" applyBorder="1" applyAlignment="1">
      <alignment horizontal="center"/>
    </xf>
    <xf numFmtId="9" fontId="23" fillId="13" borderId="10" xfId="0" applyNumberFormat="1" applyFont="1" applyFill="1" applyBorder="1" applyAlignment="1">
      <alignment horizontal="center"/>
    </xf>
    <xf numFmtId="1" fontId="20" fillId="4" borderId="10" xfId="0" applyNumberFormat="1" applyFont="1" applyFill="1" applyBorder="1" applyAlignment="1">
      <alignment horizontal="center"/>
    </xf>
    <xf numFmtId="9" fontId="23" fillId="14" borderId="10" xfId="0" applyNumberFormat="1" applyFont="1" applyFill="1" applyBorder="1" applyAlignment="1">
      <alignment horizontal="center"/>
    </xf>
    <xf numFmtId="9" fontId="23" fillId="15" borderId="10" xfId="0" applyNumberFormat="1" applyFont="1" applyFill="1" applyBorder="1" applyAlignment="1">
      <alignment horizontal="center"/>
    </xf>
    <xf numFmtId="9" fontId="20" fillId="4" borderId="10" xfId="0" applyNumberFormat="1" applyFont="1" applyFill="1" applyBorder="1" applyAlignment="1">
      <alignment horizontal="center"/>
    </xf>
    <xf numFmtId="9" fontId="23" fillId="16" borderId="10" xfId="0" applyNumberFormat="1" applyFont="1" applyFill="1" applyBorder="1" applyAlignment="1">
      <alignment horizontal="center"/>
    </xf>
    <xf numFmtId="9" fontId="23" fillId="17" borderId="10" xfId="0" applyNumberFormat="1" applyFont="1" applyFill="1" applyBorder="1" applyAlignment="1">
      <alignment horizontal="center"/>
    </xf>
    <xf numFmtId="9" fontId="23" fillId="18" borderId="10" xfId="0" applyNumberFormat="1" applyFont="1" applyFill="1" applyBorder="1" applyAlignment="1">
      <alignment horizontal="center"/>
    </xf>
    <xf numFmtId="9" fontId="23" fillId="19" borderId="10" xfId="0" applyNumberFormat="1" applyFont="1" applyFill="1" applyBorder="1" applyAlignment="1">
      <alignment horizontal="center"/>
    </xf>
    <xf numFmtId="9" fontId="23" fillId="20" borderId="10" xfId="0" applyNumberFormat="1" applyFont="1" applyFill="1" applyBorder="1" applyAlignment="1">
      <alignment horizontal="center"/>
    </xf>
    <xf numFmtId="0" fontId="23" fillId="9" borderId="10" xfId="0" applyFont="1" applyFill="1" applyBorder="1" applyAlignment="1">
      <alignment horizontal="center"/>
    </xf>
    <xf numFmtId="9" fontId="23" fillId="21" borderId="10" xfId="0" applyNumberFormat="1" applyFont="1" applyFill="1" applyBorder="1" applyAlignment="1">
      <alignment horizontal="center"/>
    </xf>
    <xf numFmtId="9" fontId="23" fillId="22" borderId="10" xfId="0" applyNumberFormat="1" applyFont="1" applyFill="1" applyBorder="1" applyAlignment="1">
      <alignment horizontal="center"/>
    </xf>
    <xf numFmtId="9" fontId="23" fillId="23" borderId="10" xfId="0" applyNumberFormat="1" applyFont="1" applyFill="1" applyBorder="1" applyAlignment="1">
      <alignment horizontal="center"/>
    </xf>
    <xf numFmtId="9" fontId="23" fillId="24" borderId="10" xfId="0" applyNumberFormat="1" applyFont="1" applyFill="1" applyBorder="1" applyAlignment="1">
      <alignment horizontal="center"/>
    </xf>
    <xf numFmtId="164" fontId="21" fillId="9" borderId="10" xfId="0" applyNumberFormat="1" applyFont="1" applyFill="1" applyBorder="1" applyAlignment="1">
      <alignment horizontal="center"/>
    </xf>
    <xf numFmtId="3" fontId="24" fillId="9" borderId="10" xfId="0" applyNumberFormat="1" applyFont="1" applyFill="1" applyBorder="1" applyAlignment="1">
      <alignment horizontal="center"/>
    </xf>
    <xf numFmtId="9" fontId="24" fillId="9" borderId="10" xfId="0" applyNumberFormat="1" applyFont="1" applyFill="1" applyBorder="1" applyAlignment="1">
      <alignment horizontal="center"/>
    </xf>
    <xf numFmtId="3" fontId="24" fillId="4" borderId="10" xfId="0" applyNumberFormat="1" applyFont="1" applyFill="1" applyBorder="1" applyAlignment="1">
      <alignment horizontal="center"/>
    </xf>
    <xf numFmtId="0" fontId="21" fillId="2" borderId="10" xfId="0" applyFont="1" applyFill="1" applyBorder="1" applyAlignment="1">
      <alignment horizontal="center" wrapText="1"/>
    </xf>
    <xf numFmtId="3" fontId="23" fillId="9" borderId="10" xfId="0" applyNumberFormat="1" applyFont="1" applyFill="1" applyBorder="1" applyAlignment="1">
      <alignment horizontal="center"/>
    </xf>
    <xf numFmtId="0" fontId="21" fillId="9" borderId="10" xfId="0" applyFont="1" applyFill="1" applyBorder="1" applyAlignment="1">
      <alignment horizontal="center"/>
    </xf>
    <xf numFmtId="0" fontId="8" fillId="4" borderId="9" xfId="0" applyFont="1" applyFill="1" applyBorder="1" applyAlignment="1">
      <alignment horizontal="left" wrapText="1"/>
    </xf>
    <xf numFmtId="0" fontId="8" fillId="4" borderId="10" xfId="2" applyFont="1" applyFill="1" applyBorder="1" applyAlignment="1"/>
    <xf numFmtId="0" fontId="8" fillId="0" borderId="10" xfId="2" applyFont="1" applyBorder="1" applyAlignment="1"/>
    <xf numFmtId="0" fontId="8" fillId="4" borderId="10" xfId="2" applyFont="1" applyFill="1" applyBorder="1"/>
    <xf numFmtId="0" fontId="6" fillId="5" borderId="0" xfId="2" applyFont="1" applyFill="1" applyAlignment="1">
      <alignment horizontal="left"/>
    </xf>
    <xf numFmtId="0" fontId="8" fillId="5" borderId="10" xfId="2" applyFont="1" applyFill="1" applyBorder="1" applyAlignment="1"/>
    <xf numFmtId="0" fontId="8" fillId="5" borderId="0" xfId="2" applyFont="1" applyFill="1"/>
    <xf numFmtId="9" fontId="20" fillId="4" borderId="10" xfId="1" applyFont="1" applyFill="1" applyBorder="1" applyAlignment="1">
      <alignment horizontal="center"/>
    </xf>
    <xf numFmtId="9" fontId="24" fillId="4" borderId="10" xfId="1" applyFont="1" applyFill="1" applyBorder="1" applyAlignment="1">
      <alignment horizontal="center"/>
    </xf>
    <xf numFmtId="0" fontId="8" fillId="4" borderId="0" xfId="0" applyFont="1" applyFill="1" applyAlignment="1">
      <alignment horizontal="left" vertical="top" wrapText="1"/>
    </xf>
    <xf numFmtId="0" fontId="3" fillId="0" borderId="1" xfId="0" applyFont="1" applyBorder="1" applyAlignment="1">
      <alignment vertical="top" wrapText="1"/>
    </xf>
    <xf numFmtId="0" fontId="2" fillId="0" borderId="2" xfId="0" applyFont="1" applyBorder="1"/>
    <xf numFmtId="0" fontId="2" fillId="0" borderId="3" xfId="0" applyFont="1" applyBorder="1"/>
    <xf numFmtId="0" fontId="6" fillId="3" borderId="1" xfId="0" applyFont="1" applyFill="1" applyBorder="1" applyAlignment="1">
      <alignment horizontal="left" wrapText="1"/>
    </xf>
    <xf numFmtId="0" fontId="1" fillId="2" borderId="1" xfId="0" applyFont="1" applyFill="1" applyBorder="1" applyAlignment="1">
      <alignment horizontal="right"/>
    </xf>
    <xf numFmtId="0" fontId="3" fillId="0" borderId="4" xfId="0" applyFont="1" applyBorder="1" applyAlignment="1">
      <alignment vertical="top" wrapText="1"/>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4" fillId="0" borderId="1" xfId="0" applyFont="1" applyBorder="1" applyAlignment="1">
      <alignment vertical="top" wrapText="1"/>
    </xf>
    <xf numFmtId="0" fontId="5" fillId="3" borderId="8" xfId="0" applyFont="1" applyFill="1" applyBorder="1" applyAlignment="1">
      <alignment horizontal="left" wrapText="1"/>
    </xf>
    <xf numFmtId="0" fontId="10" fillId="2" borderId="4" xfId="0" applyFont="1" applyFill="1" applyBorder="1" applyAlignment="1">
      <alignment horizontal="center"/>
    </xf>
    <xf numFmtId="0" fontId="7" fillId="0" borderId="4" xfId="0" applyFont="1" applyBorder="1" applyAlignment="1">
      <alignment vertical="top" wrapText="1"/>
    </xf>
    <xf numFmtId="0" fontId="7" fillId="0" borderId="1" xfId="0" applyFont="1" applyBorder="1" applyAlignment="1">
      <alignment vertical="top" wrapText="1"/>
    </xf>
    <xf numFmtId="0" fontId="7" fillId="0" borderId="12" xfId="0" applyFont="1" applyBorder="1" applyAlignment="1">
      <alignment horizontal="left" vertical="top" wrapText="1"/>
    </xf>
    <xf numFmtId="0" fontId="0" fillId="0" borderId="0" xfId="0" applyFont="1" applyAlignment="1"/>
    <xf numFmtId="0" fontId="2" fillId="0" borderId="13" xfId="0" applyFont="1" applyBorder="1"/>
    <xf numFmtId="0" fontId="8" fillId="0" borderId="12" xfId="0" applyFont="1" applyBorder="1" applyAlignment="1">
      <alignment vertical="top" wrapText="1"/>
    </xf>
    <xf numFmtId="0" fontId="7" fillId="0" borderId="12" xfId="0" applyFont="1" applyBorder="1" applyAlignment="1">
      <alignment vertical="top" wrapText="1"/>
    </xf>
    <xf numFmtId="0" fontId="5" fillId="4" borderId="1" xfId="0" applyFont="1" applyFill="1" applyBorder="1" applyAlignment="1">
      <alignment vertical="top" wrapText="1"/>
    </xf>
    <xf numFmtId="0" fontId="7" fillId="0" borderId="7" xfId="0" applyFont="1" applyBorder="1" applyAlignment="1">
      <alignment horizontal="left" vertical="top" wrapText="1"/>
    </xf>
    <xf numFmtId="0" fontId="7" fillId="2" borderId="1" xfId="0" applyFont="1" applyFill="1" applyBorder="1" applyAlignment="1">
      <alignment horizontal="center" vertical="center" wrapText="1"/>
    </xf>
    <xf numFmtId="0" fontId="5" fillId="5" borderId="1" xfId="0" applyFont="1" applyFill="1" applyBorder="1" applyAlignment="1">
      <alignment vertical="top" wrapText="1"/>
    </xf>
    <xf numFmtId="0" fontId="8" fillId="4" borderId="1" xfId="0" applyFont="1" applyFill="1" applyBorder="1" applyAlignment="1">
      <alignment vertical="top" wrapText="1"/>
    </xf>
    <xf numFmtId="0" fontId="8" fillId="0" borderId="12" xfId="0" applyFont="1" applyBorder="1" applyAlignment="1">
      <alignment horizontal="left" vertical="top"/>
    </xf>
    <xf numFmtId="0" fontId="7" fillId="0" borderId="4" xfId="0" applyFont="1" applyBorder="1" applyAlignment="1">
      <alignment horizontal="left" vertical="top" wrapText="1"/>
    </xf>
    <xf numFmtId="0" fontId="11" fillId="2" borderId="1" xfId="0" applyFont="1" applyFill="1" applyBorder="1" applyAlignment="1">
      <alignment horizontal="center"/>
    </xf>
    <xf numFmtId="0" fontId="7" fillId="0" borderId="1" xfId="0" applyFont="1" applyBorder="1" applyAlignment="1">
      <alignment horizontal="left" vertical="top" wrapText="1"/>
    </xf>
    <xf numFmtId="0" fontId="5" fillId="3" borderId="1" xfId="0" applyFont="1" applyFill="1" applyBorder="1" applyAlignment="1">
      <alignment horizontal="left" wrapText="1"/>
    </xf>
    <xf numFmtId="0" fontId="7" fillId="2" borderId="1" xfId="2" applyFont="1" applyFill="1" applyBorder="1" applyAlignment="1">
      <alignment horizontal="center"/>
    </xf>
    <xf numFmtId="0" fontId="2" fillId="0" borderId="3" xfId="2" applyFont="1" applyBorder="1"/>
    <xf numFmtId="0" fontId="12" fillId="0" borderId="4" xfId="0" applyFont="1" applyBorder="1" applyAlignment="1">
      <alignment horizontal="left" vertical="top" wrapText="1"/>
    </xf>
    <xf numFmtId="0" fontId="3" fillId="3" borderId="1" xfId="0" applyFont="1" applyFill="1" applyBorder="1" applyAlignment="1">
      <alignment horizontal="left" wrapText="1"/>
    </xf>
    <xf numFmtId="0" fontId="5" fillId="3" borderId="0" xfId="0" applyFont="1" applyFill="1" applyAlignment="1">
      <alignment horizontal="left" wrapText="1"/>
    </xf>
    <xf numFmtId="0" fontId="3" fillId="3" borderId="12" xfId="0" applyFont="1" applyFill="1" applyBorder="1" applyAlignment="1">
      <alignment horizontal="left" wrapText="1"/>
    </xf>
    <xf numFmtId="0" fontId="14" fillId="2" borderId="1" xfId="0" applyFont="1" applyFill="1" applyBorder="1" applyAlignment="1">
      <alignment horizontal="center"/>
    </xf>
    <xf numFmtId="0" fontId="13" fillId="0" borderId="4" xfId="0" applyFont="1" applyBorder="1" applyAlignment="1">
      <alignment wrapText="1"/>
    </xf>
    <xf numFmtId="0" fontId="7" fillId="6" borderId="1" xfId="0" applyFont="1" applyFill="1" applyBorder="1" applyAlignment="1">
      <alignment horizontal="center"/>
    </xf>
    <xf numFmtId="0" fontId="2" fillId="6" borderId="2" xfId="0" applyFont="1" applyFill="1" applyBorder="1"/>
    <xf numFmtId="0" fontId="2" fillId="6" borderId="3" xfId="0" applyFont="1" applyFill="1" applyBorder="1"/>
    <xf numFmtId="0" fontId="7" fillId="2" borderId="1" xfId="0" applyFont="1" applyFill="1" applyBorder="1" applyAlignment="1">
      <alignment horizontal="center"/>
    </xf>
    <xf numFmtId="0" fontId="13" fillId="0" borderId="12" xfId="0" applyFont="1" applyBorder="1" applyAlignment="1">
      <alignment wrapText="1"/>
    </xf>
    <xf numFmtId="0" fontId="13" fillId="0" borderId="7" xfId="0" applyFont="1" applyBorder="1" applyAlignment="1">
      <alignment wrapText="1"/>
    </xf>
    <xf numFmtId="0" fontId="13" fillId="5" borderId="0" xfId="0" applyFont="1" applyFill="1" applyAlignment="1">
      <alignment wrapText="1"/>
    </xf>
    <xf numFmtId="0" fontId="2" fillId="7" borderId="2" xfId="0" applyFont="1" applyFill="1" applyBorder="1"/>
    <xf numFmtId="0" fontId="2" fillId="7" borderId="3" xfId="0" applyFont="1" applyFill="1" applyBorder="1"/>
    <xf numFmtId="0" fontId="7" fillId="3" borderId="1" xfId="0" applyFont="1" applyFill="1" applyBorder="1" applyAlignment="1">
      <alignment horizontal="center"/>
    </xf>
    <xf numFmtId="0" fontId="2" fillId="3" borderId="2" xfId="0" applyFont="1" applyFill="1" applyBorder="1"/>
    <xf numFmtId="0" fontId="2" fillId="3" borderId="3" xfId="0" applyFont="1" applyFill="1" applyBorder="1"/>
    <xf numFmtId="0" fontId="13" fillId="0" borderId="4" xfId="0" applyFont="1" applyBorder="1" applyAlignment="1">
      <alignment horizontal="center"/>
    </xf>
    <xf numFmtId="0" fontId="2" fillId="0" borderId="12" xfId="0" applyFont="1" applyBorder="1"/>
    <xf numFmtId="0" fontId="13" fillId="4" borderId="4" xfId="0" applyFont="1" applyFill="1" applyBorder="1" applyAlignment="1">
      <alignment horizontal="left" vertical="top" wrapText="1"/>
    </xf>
    <xf numFmtId="0" fontId="6" fillId="3" borderId="4" xfId="0" applyFont="1" applyFill="1" applyBorder="1" applyAlignment="1">
      <alignment horizontal="left" wrapText="1"/>
    </xf>
    <xf numFmtId="0" fontId="3" fillId="4" borderId="14" xfId="0" applyFont="1" applyFill="1" applyBorder="1" applyAlignment="1">
      <alignment wrapText="1"/>
    </xf>
    <xf numFmtId="0" fontId="2" fillId="0" borderId="15" xfId="0" applyFont="1" applyBorder="1"/>
    <xf numFmtId="0" fontId="2" fillId="0" borderId="11" xfId="0" applyFont="1" applyBorder="1"/>
    <xf numFmtId="0" fontId="27" fillId="4" borderId="4" xfId="0" applyFont="1" applyFill="1" applyBorder="1" applyAlignment="1">
      <alignment vertical="top" wrapText="1"/>
    </xf>
    <xf numFmtId="0" fontId="2" fillId="0" borderId="6"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7" xfId="0" applyFont="1" applyBorder="1" applyAlignment="1">
      <alignment vertical="top"/>
    </xf>
    <xf numFmtId="0" fontId="2" fillId="0" borderId="9" xfId="0" applyFont="1" applyBorder="1" applyAlignment="1">
      <alignment vertical="top"/>
    </xf>
    <xf numFmtId="0" fontId="8" fillId="4" borderId="14" xfId="0" applyFont="1" applyFill="1" applyBorder="1" applyAlignment="1">
      <alignment horizontal="center" wrapText="1"/>
    </xf>
    <xf numFmtId="0" fontId="6" fillId="3" borderId="14" xfId="0" applyFont="1" applyFill="1" applyBorder="1" applyAlignment="1">
      <alignment horizontal="left" wrapText="1"/>
    </xf>
    <xf numFmtId="0" fontId="13" fillId="4" borderId="4" xfId="0" applyFont="1" applyFill="1" applyBorder="1" applyAlignment="1">
      <alignment vertical="top" wrapText="1"/>
    </xf>
    <xf numFmtId="0" fontId="28" fillId="0" borderId="6" xfId="0" applyFont="1" applyBorder="1" applyAlignment="1">
      <alignment vertical="top"/>
    </xf>
    <xf numFmtId="0" fontId="28" fillId="0" borderId="12" xfId="0" applyFont="1" applyBorder="1" applyAlignment="1">
      <alignment vertical="top"/>
    </xf>
    <xf numFmtId="0" fontId="28" fillId="0" borderId="13" xfId="0" applyFont="1" applyBorder="1" applyAlignment="1">
      <alignment vertical="top"/>
    </xf>
    <xf numFmtId="0" fontId="28" fillId="0" borderId="7" xfId="0" applyFont="1" applyBorder="1" applyAlignment="1">
      <alignment vertical="top"/>
    </xf>
    <xf numFmtId="0" fontId="28" fillId="0" borderId="9" xfId="0" applyFont="1" applyBorder="1" applyAlignment="1">
      <alignment vertical="top"/>
    </xf>
    <xf numFmtId="0" fontId="3" fillId="4" borderId="4" xfId="0" applyFont="1" applyFill="1" applyBorder="1" applyAlignment="1">
      <alignment wrapText="1"/>
    </xf>
    <xf numFmtId="0" fontId="13" fillId="0" borderId="1" xfId="0" applyFont="1" applyBorder="1" applyAlignment="1">
      <alignment wrapText="1"/>
    </xf>
    <xf numFmtId="0" fontId="7" fillId="0" borderId="4" xfId="0" applyFont="1" applyBorder="1"/>
    <xf numFmtId="0" fontId="3" fillId="0" borderId="1" xfId="0" applyFont="1" applyBorder="1" applyAlignment="1">
      <alignment wrapText="1"/>
    </xf>
    <xf numFmtId="0" fontId="13" fillId="5" borderId="0" xfId="0" applyFont="1" applyFill="1" applyAlignment="1">
      <alignment horizontal="left"/>
    </xf>
    <xf numFmtId="0" fontId="20" fillId="4" borderId="4" xfId="0" applyFont="1" applyFill="1" applyBorder="1" applyAlignment="1">
      <alignment horizontal="left" vertical="top" wrapText="1"/>
    </xf>
    <xf numFmtId="0" fontId="21" fillId="2" borderId="1" xfId="0" applyFont="1" applyFill="1" applyBorder="1" applyAlignment="1">
      <alignment horizontal="center"/>
    </xf>
    <xf numFmtId="0" fontId="22" fillId="0" borderId="0" xfId="0" applyFont="1" applyAlignment="1">
      <alignment horizontal="center" vertical="center"/>
    </xf>
    <xf numFmtId="0" fontId="22" fillId="2" borderId="14" xfId="0" applyFont="1" applyFill="1" applyBorder="1" applyAlignment="1">
      <alignment horizontal="center" wrapText="1"/>
    </xf>
    <xf numFmtId="0" fontId="6" fillId="2" borderId="14" xfId="0" applyFont="1" applyFill="1" applyBorder="1" applyAlignment="1">
      <alignment horizontal="center" wrapText="1"/>
    </xf>
    <xf numFmtId="0" fontId="20" fillId="0" borderId="4" xfId="0" applyFont="1" applyBorder="1"/>
    <xf numFmtId="0" fontId="13" fillId="2" borderId="4" xfId="0" applyFont="1" applyFill="1" applyBorder="1" applyAlignment="1">
      <alignment horizontal="center" vertical="center" wrapText="1"/>
    </xf>
    <xf numFmtId="0" fontId="13" fillId="8" borderId="0" xfId="0" applyFont="1" applyFill="1" applyAlignment="1">
      <alignment horizontal="left"/>
    </xf>
  </cellXfs>
  <cellStyles count="4">
    <cellStyle name="Normal" xfId="0" builtinId="0"/>
    <cellStyle name="Normal 2" xfId="2" xr:uid="{58D8A2CF-CBE5-4BFF-96E2-8E53587FBE10}"/>
    <cellStyle name="Percent" xfId="1" builtinId="5"/>
    <cellStyle name="Percent 2" xfId="3" xr:uid="{0A7C32DE-4B94-4D4B-8682-794E17137116}"/>
  </cellStyles>
  <dxfs count="39">
    <dxf>
      <numFmt numFmtId="1" formatCode="0"/>
    </dxf>
    <dxf>
      <numFmt numFmtId="1" formatCode="0"/>
    </dxf>
    <dxf>
      <numFmt numFmtId="1" formatCode="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2">
    <tableStyle name="Tab 8 - Segment Analysis-style" pivot="0" count="3" xr9:uid="{00000000-0011-0000-FFFF-FFFF00000000}">
      <tableStyleElement type="headerRow" dxfId="38"/>
      <tableStyleElement type="firstRowStripe" dxfId="37"/>
      <tableStyleElement type="secondRowStripe" dxfId="36"/>
    </tableStyle>
    <tableStyle name="Tab 8 - Segment Analysis-style 2" pivot="0" count="3" xr9:uid="{00000000-0011-0000-FFFF-FFFF01000000}">
      <tableStyleElement type="headerRow" dxfId="35"/>
      <tableStyleElement type="firstRowStripe" dxfId="34"/>
      <tableStyleElement type="secondRowStripe" dxfId="33"/>
    </tableStyle>
    <tableStyle name="Tab 8 - Segment Analysis-style 3" pivot="0" count="3" xr9:uid="{00000000-0011-0000-FFFF-FFFF02000000}">
      <tableStyleElement type="headerRow" dxfId="32"/>
      <tableStyleElement type="firstRowStripe" dxfId="31"/>
      <tableStyleElement type="secondRowStripe" dxfId="30"/>
    </tableStyle>
    <tableStyle name="Tab 8 - Segment Analysis-style 4" pivot="0" count="3" xr9:uid="{00000000-0011-0000-FFFF-FFFF03000000}">
      <tableStyleElement type="headerRow" dxfId="29"/>
      <tableStyleElement type="firstRowStripe" dxfId="28"/>
      <tableStyleElement type="secondRowStripe" dxfId="27"/>
    </tableStyle>
    <tableStyle name="Tab 8 - Segment Analysis-style 5" pivot="0" count="3" xr9:uid="{00000000-0011-0000-FFFF-FFFF04000000}">
      <tableStyleElement type="headerRow" dxfId="26"/>
      <tableStyleElement type="firstRowStripe" dxfId="25"/>
      <tableStyleElement type="secondRowStripe" dxfId="24"/>
    </tableStyle>
    <tableStyle name="Tab 8 - Segment Analysis-style 6" pivot="0" count="3" xr9:uid="{00000000-0011-0000-FFFF-FFFF05000000}">
      <tableStyleElement type="headerRow" dxfId="23"/>
      <tableStyleElement type="firstRowStripe" dxfId="22"/>
      <tableStyleElement type="secondRowStripe" dxfId="21"/>
    </tableStyle>
    <tableStyle name="Tab 8 - Segment Analysis-style 7" pivot="0" count="3" xr9:uid="{00000000-0011-0000-FFFF-FFFF06000000}">
      <tableStyleElement type="headerRow" dxfId="20"/>
      <tableStyleElement type="firstRowStripe" dxfId="19"/>
      <tableStyleElement type="secondRowStripe" dxfId="18"/>
    </tableStyle>
    <tableStyle name="Tab 8 - Segment Analysis-style 8" pivot="0" count="3" xr9:uid="{00000000-0011-0000-FFFF-FFFF07000000}">
      <tableStyleElement type="headerRow" dxfId="17"/>
      <tableStyleElement type="firstRowStripe" dxfId="16"/>
      <tableStyleElement type="secondRowStripe" dxfId="15"/>
    </tableStyle>
    <tableStyle name="Tab 8 - Segment Analysis-style 9" pivot="0" count="3" xr9:uid="{00000000-0011-0000-FFFF-FFFF08000000}">
      <tableStyleElement type="headerRow" dxfId="14"/>
      <tableStyleElement type="firstRowStripe" dxfId="13"/>
      <tableStyleElement type="secondRowStripe" dxfId="12"/>
    </tableStyle>
    <tableStyle name="Tab 8 - Segment Analysis-style 10" pivot="0" count="3" xr9:uid="{00000000-0011-0000-FFFF-FFFF09000000}">
      <tableStyleElement type="headerRow" dxfId="11"/>
      <tableStyleElement type="firstRowStripe" dxfId="10"/>
      <tableStyleElement type="secondRowStripe" dxfId="9"/>
    </tableStyle>
    <tableStyle name="Tab 8 - Segment Analysis-style 11" pivot="0" count="3" xr9:uid="{00000000-0011-0000-FFFF-FFFF0A000000}">
      <tableStyleElement type="headerRow" dxfId="8"/>
      <tableStyleElement type="firstRowStripe" dxfId="7"/>
      <tableStyleElement type="secondRowStripe" dxfId="6"/>
    </tableStyle>
    <tableStyle name="Tab 8 - Segment Analysis-style 12" pivot="0" count="3" xr9:uid="{00000000-0011-0000-FFFF-FFFF0B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 of session logins vs </a:t>
            </a:r>
          </a:p>
          <a:p>
            <a:pPr>
              <a:defRPr/>
            </a:pPr>
            <a:r>
              <a:rPr lang="en-US" sz="1200"/>
              <a:t>%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4 - Habit Moment and Metric'!$F$29</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4 - Habit Moment and Metric'!$A$30:$A$36</c:f>
              <c:strCache>
                <c:ptCount val="7"/>
                <c:pt idx="0">
                  <c:v>1+</c:v>
                </c:pt>
                <c:pt idx="1">
                  <c:v>2+</c:v>
                </c:pt>
                <c:pt idx="2">
                  <c:v>3+</c:v>
                </c:pt>
                <c:pt idx="3">
                  <c:v>4+</c:v>
                </c:pt>
                <c:pt idx="4">
                  <c:v>5+</c:v>
                </c:pt>
                <c:pt idx="5">
                  <c:v>6+</c:v>
                </c:pt>
                <c:pt idx="6">
                  <c:v>7+</c:v>
                </c:pt>
              </c:strCache>
            </c:strRef>
          </c:cat>
          <c:val>
            <c:numRef>
              <c:f>'Tab 4 - Habit Moment and Metric'!$F$30:$F$36</c:f>
              <c:numCache>
                <c:formatCode>0%</c:formatCode>
                <c:ptCount val="7"/>
                <c:pt idx="0">
                  <c:v>0.34953703703703703</c:v>
                </c:pt>
                <c:pt idx="1">
                  <c:v>0.40169332079021636</c:v>
                </c:pt>
                <c:pt idx="2">
                  <c:v>0.45274725274725275</c:v>
                </c:pt>
                <c:pt idx="3">
                  <c:v>0.45432692307692307</c:v>
                </c:pt>
                <c:pt idx="4">
                  <c:v>0.43833943833943834</c:v>
                </c:pt>
                <c:pt idx="5">
                  <c:v>0.44606413994169097</c:v>
                </c:pt>
                <c:pt idx="6">
                  <c:v>0.4264487369985141</c:v>
                </c:pt>
              </c:numCache>
            </c:numRef>
          </c:val>
          <c:smooth val="0"/>
          <c:extLst>
            <c:ext xmlns:c16="http://schemas.microsoft.com/office/drawing/2014/chart" uri="{C3380CC4-5D6E-409C-BE32-E72D297353CC}">
              <c16:uniqueId val="{00000000-75FF-4C4C-AA17-57B5270834F8}"/>
            </c:ext>
          </c:extLst>
        </c:ser>
        <c:dLbls>
          <c:dLblPos val="ctr"/>
          <c:showLegendKey val="0"/>
          <c:showVal val="1"/>
          <c:showCatName val="0"/>
          <c:showSerName val="0"/>
          <c:showPercent val="0"/>
          <c:showBubbleSize val="0"/>
        </c:dLbls>
        <c:smooth val="0"/>
        <c:axId val="1149876463"/>
        <c:axId val="1149881039"/>
      </c:lineChart>
      <c:catAx>
        <c:axId val="11498764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881039"/>
        <c:crosses val="autoZero"/>
        <c:auto val="1"/>
        <c:lblAlgn val="ctr"/>
        <c:lblOffset val="100"/>
        <c:noMultiLvlLbl val="0"/>
      </c:catAx>
      <c:valAx>
        <c:axId val="114988103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87646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 of Messages vs %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4 - Habit Moment and Metric'!$F$41</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4 - Habit Moment and Metric'!$A$42:$A$48</c:f>
              <c:strCache>
                <c:ptCount val="7"/>
                <c:pt idx="0">
                  <c:v>1+</c:v>
                </c:pt>
                <c:pt idx="1">
                  <c:v>2+</c:v>
                </c:pt>
                <c:pt idx="2">
                  <c:v>3+</c:v>
                </c:pt>
                <c:pt idx="3">
                  <c:v>4+</c:v>
                </c:pt>
                <c:pt idx="4">
                  <c:v>5+</c:v>
                </c:pt>
                <c:pt idx="5">
                  <c:v>6+</c:v>
                </c:pt>
                <c:pt idx="6">
                  <c:v>7+</c:v>
                </c:pt>
              </c:strCache>
            </c:strRef>
          </c:cat>
          <c:val>
            <c:numRef>
              <c:f>'Tab 4 - Habit Moment and Metric'!$F$42:$F$48</c:f>
              <c:numCache>
                <c:formatCode>0%</c:formatCode>
                <c:ptCount val="7"/>
                <c:pt idx="0">
                  <c:v>0.46641791044776121</c:v>
                </c:pt>
                <c:pt idx="1">
                  <c:v>0.45673076923076922</c:v>
                </c:pt>
                <c:pt idx="2">
                  <c:v>0.45576407506702415</c:v>
                </c:pt>
                <c:pt idx="3">
                  <c:v>0.44891640866873067</c:v>
                </c:pt>
                <c:pt idx="4">
                  <c:v>0.43109540636042404</c:v>
                </c:pt>
                <c:pt idx="5">
                  <c:v>0.43426294820717132</c:v>
                </c:pt>
                <c:pt idx="6">
                  <c:v>0.42857142857142855</c:v>
                </c:pt>
              </c:numCache>
            </c:numRef>
          </c:val>
          <c:smooth val="0"/>
          <c:extLst>
            <c:ext xmlns:c16="http://schemas.microsoft.com/office/drawing/2014/chart" uri="{C3380CC4-5D6E-409C-BE32-E72D297353CC}">
              <c16:uniqueId val="{00000000-376D-40C6-B9F8-1D057F4DBCC2}"/>
            </c:ext>
          </c:extLst>
        </c:ser>
        <c:dLbls>
          <c:showLegendKey val="0"/>
          <c:showVal val="0"/>
          <c:showCatName val="0"/>
          <c:showSerName val="0"/>
          <c:showPercent val="0"/>
          <c:showBubbleSize val="0"/>
        </c:dLbls>
        <c:smooth val="0"/>
        <c:axId val="1149828207"/>
        <c:axId val="1149827375"/>
      </c:lineChart>
      <c:catAx>
        <c:axId val="11498282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827375"/>
        <c:crosses val="autoZero"/>
        <c:auto val="1"/>
        <c:lblAlgn val="ctr"/>
        <c:lblOffset val="100"/>
        <c:noMultiLvlLbl val="0"/>
      </c:catAx>
      <c:valAx>
        <c:axId val="114982737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8282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a:t># of Messages vs % Overlap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'Tab 4 - Habit Moment and Metric'!$F$17</c:f>
              <c:strCache>
                <c:ptCount val="1"/>
                <c:pt idx="0">
                  <c:v>% Overlap</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'Tab 4 - Habit Moment and Metric'!$A$18:$A$24</c:f>
              <c:numCache>
                <c:formatCode>General</c:formatCode>
                <c:ptCount val="7"/>
                <c:pt idx="0">
                  <c:v>100</c:v>
                </c:pt>
                <c:pt idx="1">
                  <c:v>500</c:v>
                </c:pt>
                <c:pt idx="2">
                  <c:v>1000</c:v>
                </c:pt>
                <c:pt idx="3">
                  <c:v>2000</c:v>
                </c:pt>
                <c:pt idx="4">
                  <c:v>5000</c:v>
                </c:pt>
                <c:pt idx="5">
                  <c:v>10000</c:v>
                </c:pt>
                <c:pt idx="6">
                  <c:v>20000</c:v>
                </c:pt>
              </c:numCache>
            </c:numRef>
          </c:xVal>
          <c:yVal>
            <c:numRef>
              <c:f>'Tab 4 - Habit Moment and Metric'!$F$18:$F$24</c:f>
              <c:numCache>
                <c:formatCode>0%</c:formatCode>
                <c:ptCount val="7"/>
                <c:pt idx="0">
                  <c:v>0.38</c:v>
                </c:pt>
                <c:pt idx="1">
                  <c:v>0.49823321554770317</c:v>
                </c:pt>
                <c:pt idx="2">
                  <c:v>0.47609942638623326</c:v>
                </c:pt>
                <c:pt idx="3">
                  <c:v>0.5508684863523573</c:v>
                </c:pt>
                <c:pt idx="4">
                  <c:v>0.56000000000000005</c:v>
                </c:pt>
                <c:pt idx="5">
                  <c:v>0.5714285714285714</c:v>
                </c:pt>
                <c:pt idx="6">
                  <c:v>0.5757575757575758</c:v>
                </c:pt>
              </c:numCache>
            </c:numRef>
          </c:yVal>
          <c:smooth val="0"/>
          <c:extLst>
            <c:ext xmlns:c16="http://schemas.microsoft.com/office/drawing/2014/chart" uri="{C3380CC4-5D6E-409C-BE32-E72D297353CC}">
              <c16:uniqueId val="{00000000-8E90-4C6C-AB96-327AA8B3219A}"/>
            </c:ext>
          </c:extLst>
        </c:ser>
        <c:dLbls>
          <c:showLegendKey val="0"/>
          <c:showVal val="0"/>
          <c:showCatName val="0"/>
          <c:showSerName val="0"/>
          <c:showPercent val="0"/>
          <c:showBubbleSize val="0"/>
        </c:dLbls>
        <c:axId val="1039904815"/>
        <c:axId val="1039884431"/>
      </c:scatterChart>
      <c:valAx>
        <c:axId val="1039904815"/>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9884431"/>
        <c:crosses val="autoZero"/>
        <c:crossBetween val="midCat"/>
      </c:valAx>
      <c:valAx>
        <c:axId val="1039884431"/>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9904815"/>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 of</a:t>
            </a:r>
            <a:r>
              <a:rPr lang="en-US" sz="1200" baseline="0"/>
              <a:t> Days Taken vs </a:t>
            </a:r>
            <a:r>
              <a:rPr lang="en-US" sz="1200"/>
              <a:t>%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Aha Moment and Metric A'!$F$16</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Aha Moment and Metric A'!$A$17:$A$23</c:f>
              <c:strCache>
                <c:ptCount val="7"/>
                <c:pt idx="0">
                  <c:v>1+</c:v>
                </c:pt>
                <c:pt idx="1">
                  <c:v>2+</c:v>
                </c:pt>
                <c:pt idx="2">
                  <c:v>3+</c:v>
                </c:pt>
                <c:pt idx="3">
                  <c:v>4+</c:v>
                </c:pt>
                <c:pt idx="4">
                  <c:v>5+</c:v>
                </c:pt>
                <c:pt idx="5">
                  <c:v>6+</c:v>
                </c:pt>
                <c:pt idx="6">
                  <c:v>7+</c:v>
                </c:pt>
              </c:strCache>
            </c:strRef>
          </c:cat>
          <c:val>
            <c:numRef>
              <c:f>'Tab 5 - Aha Moment and Metric A'!$F$17:$F$23</c:f>
              <c:numCache>
                <c:formatCode>0%</c:formatCode>
                <c:ptCount val="7"/>
                <c:pt idx="0">
                  <c:v>0.83</c:v>
                </c:pt>
                <c:pt idx="1">
                  <c:v>0.80566037735849061</c:v>
                </c:pt>
                <c:pt idx="2">
                  <c:v>0.78927203065134099</c:v>
                </c:pt>
                <c:pt idx="3">
                  <c:v>0.77142857142857146</c:v>
                </c:pt>
                <c:pt idx="4">
                  <c:v>0.58852459016393444</c:v>
                </c:pt>
                <c:pt idx="5">
                  <c:v>0.42797202797202799</c:v>
                </c:pt>
                <c:pt idx="6">
                  <c:v>0.31747787610619471</c:v>
                </c:pt>
              </c:numCache>
            </c:numRef>
          </c:val>
          <c:smooth val="0"/>
          <c:extLst>
            <c:ext xmlns:c16="http://schemas.microsoft.com/office/drawing/2014/chart" uri="{C3380CC4-5D6E-409C-BE32-E72D297353CC}">
              <c16:uniqueId val="{00000000-AEAD-4356-8A91-6FC42EA9CFA9}"/>
            </c:ext>
          </c:extLst>
        </c:ser>
        <c:dLbls>
          <c:showLegendKey val="0"/>
          <c:showVal val="0"/>
          <c:showCatName val="0"/>
          <c:showSerName val="0"/>
          <c:showPercent val="0"/>
          <c:showBubbleSize val="0"/>
        </c:dLbls>
        <c:smooth val="0"/>
        <c:axId val="1149850255"/>
        <c:axId val="1149859823"/>
      </c:lineChart>
      <c:catAx>
        <c:axId val="11498502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859823"/>
        <c:crosses val="autoZero"/>
        <c:auto val="1"/>
        <c:lblAlgn val="ctr"/>
        <c:lblOffset val="100"/>
        <c:noMultiLvlLbl val="0"/>
      </c:catAx>
      <c:valAx>
        <c:axId val="114985982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8502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baseline="0">
                <a:effectLst>
                  <a:outerShdw blurRad="50800" dist="38100" dir="5400000" algn="t" rotWithShape="0">
                    <a:srgbClr val="000000">
                      <a:alpha val="40000"/>
                    </a:srgbClr>
                  </a:outerShdw>
                </a:effectLst>
              </a:rPr>
              <a:t># of Days Taken vs % Overlap</a:t>
            </a:r>
            <a:endParaRPr lang="en-US" sz="11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Aha Moment and Metric A'!$F$28</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Aha Moment and Metric A'!$A$29:$A$35</c:f>
              <c:strCache>
                <c:ptCount val="7"/>
                <c:pt idx="0">
                  <c:v>1+</c:v>
                </c:pt>
                <c:pt idx="1">
                  <c:v>2+</c:v>
                </c:pt>
                <c:pt idx="2">
                  <c:v>3+</c:v>
                </c:pt>
                <c:pt idx="3">
                  <c:v>4+</c:v>
                </c:pt>
                <c:pt idx="4">
                  <c:v>5+</c:v>
                </c:pt>
                <c:pt idx="5">
                  <c:v>6+</c:v>
                </c:pt>
                <c:pt idx="6">
                  <c:v>7+</c:v>
                </c:pt>
              </c:strCache>
            </c:strRef>
          </c:cat>
          <c:val>
            <c:numRef>
              <c:f>'Tab 5 - Aha Moment and Metric A'!$F$29:$F$35</c:f>
              <c:numCache>
                <c:formatCode>0%</c:formatCode>
                <c:ptCount val="7"/>
                <c:pt idx="0">
                  <c:v>0.61349693251533743</c:v>
                </c:pt>
                <c:pt idx="1">
                  <c:v>0.58984007525870175</c:v>
                </c:pt>
                <c:pt idx="2">
                  <c:v>0.56595744680851068</c:v>
                </c:pt>
                <c:pt idx="3">
                  <c:v>0.55048076923076927</c:v>
                </c:pt>
                <c:pt idx="4">
                  <c:v>0.41311852704257768</c:v>
                </c:pt>
                <c:pt idx="5">
                  <c:v>0.36602870813397131</c:v>
                </c:pt>
                <c:pt idx="6">
                  <c:v>0.22721749696233293</c:v>
                </c:pt>
              </c:numCache>
            </c:numRef>
          </c:val>
          <c:smooth val="0"/>
          <c:extLst>
            <c:ext xmlns:c16="http://schemas.microsoft.com/office/drawing/2014/chart" uri="{C3380CC4-5D6E-409C-BE32-E72D297353CC}">
              <c16:uniqueId val="{00000000-9EAA-411C-9D04-05480E7737B6}"/>
            </c:ext>
          </c:extLst>
        </c:ser>
        <c:dLbls>
          <c:showLegendKey val="0"/>
          <c:showVal val="0"/>
          <c:showCatName val="0"/>
          <c:showSerName val="0"/>
          <c:showPercent val="0"/>
          <c:showBubbleSize val="0"/>
        </c:dLbls>
        <c:smooth val="0"/>
        <c:axId val="1031315759"/>
        <c:axId val="1031304527"/>
      </c:lineChart>
      <c:catAx>
        <c:axId val="10313157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304527"/>
        <c:crosses val="autoZero"/>
        <c:auto val="1"/>
        <c:lblAlgn val="ctr"/>
        <c:lblOffset val="100"/>
        <c:noMultiLvlLbl val="0"/>
      </c:catAx>
      <c:valAx>
        <c:axId val="103130452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31575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US" sz="1200" b="1" i="0" baseline="0">
                <a:effectLst>
                  <a:outerShdw blurRad="50800" dist="38100" dir="5400000" algn="t" rotWithShape="0">
                    <a:srgbClr val="000000">
                      <a:alpha val="40000"/>
                    </a:srgbClr>
                  </a:outerShdw>
                </a:effectLst>
              </a:rPr>
              <a:t># of Days Taken vs % Overlap</a:t>
            </a:r>
            <a:endParaRPr lang="en-US"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FFFFFF">
                    <a:lumMod val="95000"/>
                  </a:srgbClr>
                </a:solidFill>
              </a:defRPr>
            </a:pPr>
            <a:endParaRPr lang="en-US" sz="12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Aha Moment and Metric A'!$F$40</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5 - Aha Moment and Metric A'!$A$41:$A$47</c:f>
              <c:strCache>
                <c:ptCount val="7"/>
                <c:pt idx="0">
                  <c:v>1+</c:v>
                </c:pt>
                <c:pt idx="1">
                  <c:v>2+</c:v>
                </c:pt>
                <c:pt idx="2">
                  <c:v>3+</c:v>
                </c:pt>
                <c:pt idx="3">
                  <c:v>4+</c:v>
                </c:pt>
                <c:pt idx="4">
                  <c:v>5+</c:v>
                </c:pt>
                <c:pt idx="5">
                  <c:v>6+</c:v>
                </c:pt>
                <c:pt idx="6">
                  <c:v>7+</c:v>
                </c:pt>
              </c:strCache>
            </c:strRef>
          </c:cat>
          <c:val>
            <c:numRef>
              <c:f>'Tab 5 - Aha Moment and Metric A'!$F$41:$F$47</c:f>
              <c:numCache>
                <c:formatCode>0%</c:formatCode>
                <c:ptCount val="7"/>
                <c:pt idx="0">
                  <c:v>0.4170124481327801</c:v>
                </c:pt>
                <c:pt idx="1">
                  <c:v>0.40169332079021636</c:v>
                </c:pt>
                <c:pt idx="2">
                  <c:v>0.43829787234042555</c:v>
                </c:pt>
                <c:pt idx="3">
                  <c:v>0.42857142857142855</c:v>
                </c:pt>
                <c:pt idx="4">
                  <c:v>0.41311852704257768</c:v>
                </c:pt>
                <c:pt idx="5">
                  <c:v>0.36602870813397131</c:v>
                </c:pt>
                <c:pt idx="6">
                  <c:v>0.34872417982989062</c:v>
                </c:pt>
              </c:numCache>
            </c:numRef>
          </c:val>
          <c:smooth val="0"/>
          <c:extLst>
            <c:ext xmlns:c16="http://schemas.microsoft.com/office/drawing/2014/chart" uri="{C3380CC4-5D6E-409C-BE32-E72D297353CC}">
              <c16:uniqueId val="{00000000-6F2C-4042-870F-17F9877C8E56}"/>
            </c:ext>
          </c:extLst>
        </c:ser>
        <c:dLbls>
          <c:showLegendKey val="0"/>
          <c:showVal val="0"/>
          <c:showCatName val="0"/>
          <c:showSerName val="0"/>
          <c:showPercent val="0"/>
          <c:showBubbleSize val="0"/>
        </c:dLbls>
        <c:smooth val="0"/>
        <c:axId val="1149821135"/>
        <c:axId val="1149831119"/>
      </c:lineChart>
      <c:catAx>
        <c:axId val="11498211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831119"/>
        <c:crosses val="autoZero"/>
        <c:auto val="1"/>
        <c:lblAlgn val="ctr"/>
        <c:lblOffset val="100"/>
        <c:noMultiLvlLbl val="0"/>
      </c:catAx>
      <c:valAx>
        <c:axId val="114983111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82113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t>
            </a:r>
            <a:r>
              <a:rPr lang="en-US" sz="1200" baseline="0"/>
              <a:t> days taken vs</a:t>
            </a:r>
            <a:r>
              <a:rPr lang="en-US" sz="1200"/>
              <a:t>% Overlap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6 - Setup Moment and Metric'!$F$15</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6 - Setup Moment and Metric'!$A$16:$A$22</c:f>
              <c:strCache>
                <c:ptCount val="7"/>
                <c:pt idx="0">
                  <c:v>1+</c:v>
                </c:pt>
                <c:pt idx="1">
                  <c:v>2+</c:v>
                </c:pt>
                <c:pt idx="2">
                  <c:v>3+</c:v>
                </c:pt>
                <c:pt idx="3">
                  <c:v>4+</c:v>
                </c:pt>
                <c:pt idx="4">
                  <c:v>5+</c:v>
                </c:pt>
                <c:pt idx="5">
                  <c:v>6+</c:v>
                </c:pt>
                <c:pt idx="6">
                  <c:v>7+</c:v>
                </c:pt>
              </c:strCache>
            </c:strRef>
          </c:cat>
          <c:val>
            <c:numRef>
              <c:f>'Tab 6 - Setup Moment and Metric'!$F$16:$F$22</c:f>
              <c:numCache>
                <c:formatCode>0%</c:formatCode>
                <c:ptCount val="7"/>
                <c:pt idx="0">
                  <c:v>0.39</c:v>
                </c:pt>
                <c:pt idx="1">
                  <c:v>0.36715391229578676</c:v>
                </c:pt>
                <c:pt idx="2">
                  <c:v>0.39615384615384613</c:v>
                </c:pt>
                <c:pt idx="3">
                  <c:v>0.38492871690427699</c:v>
                </c:pt>
                <c:pt idx="4">
                  <c:v>0.37048503611971106</c:v>
                </c:pt>
                <c:pt idx="5">
                  <c:v>0.32692307692307693</c:v>
                </c:pt>
                <c:pt idx="6">
                  <c:v>0.31094257854821233</c:v>
                </c:pt>
              </c:numCache>
            </c:numRef>
          </c:val>
          <c:smooth val="0"/>
          <c:extLst>
            <c:ext xmlns:c16="http://schemas.microsoft.com/office/drawing/2014/chart" uri="{C3380CC4-5D6E-409C-BE32-E72D297353CC}">
              <c16:uniqueId val="{00000000-D396-47C4-9EFF-44BC83313222}"/>
            </c:ext>
          </c:extLst>
        </c:ser>
        <c:dLbls>
          <c:showLegendKey val="0"/>
          <c:showVal val="0"/>
          <c:showCatName val="0"/>
          <c:showSerName val="0"/>
          <c:showPercent val="0"/>
          <c:showBubbleSize val="0"/>
        </c:dLbls>
        <c:smooth val="0"/>
        <c:axId val="1154423967"/>
        <c:axId val="1154424383"/>
      </c:lineChart>
      <c:catAx>
        <c:axId val="11544239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424383"/>
        <c:crosses val="autoZero"/>
        <c:auto val="1"/>
        <c:lblAlgn val="ctr"/>
        <c:lblOffset val="100"/>
        <c:noMultiLvlLbl val="0"/>
      </c:catAx>
      <c:valAx>
        <c:axId val="115442438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42396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baseline="0">
                <a:effectLst>
                  <a:outerShdw blurRad="50800" dist="38100" dir="5400000" algn="t" rotWithShape="0">
                    <a:srgbClr val="000000">
                      <a:alpha val="40000"/>
                    </a:srgbClr>
                  </a:outerShdw>
                </a:effectLst>
              </a:rPr>
              <a:t># days taken vs% Overlap</a:t>
            </a:r>
            <a:endParaRPr lang="en-US" sz="12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6 - Setup Moment and Metric'!$F$27</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6 - Setup Moment and Metric'!$A$28:$A$34</c:f>
              <c:strCache>
                <c:ptCount val="7"/>
                <c:pt idx="0">
                  <c:v>1+</c:v>
                </c:pt>
                <c:pt idx="1">
                  <c:v>2+</c:v>
                </c:pt>
                <c:pt idx="2">
                  <c:v>3+</c:v>
                </c:pt>
                <c:pt idx="3">
                  <c:v>4+</c:v>
                </c:pt>
                <c:pt idx="4">
                  <c:v>5+</c:v>
                </c:pt>
                <c:pt idx="5">
                  <c:v>6+</c:v>
                </c:pt>
                <c:pt idx="6">
                  <c:v>7+</c:v>
                </c:pt>
              </c:strCache>
            </c:strRef>
          </c:cat>
          <c:val>
            <c:numRef>
              <c:f>'Tab 6 - Setup Moment and Metric'!$F$28:$F$34</c:f>
              <c:numCache>
                <c:formatCode>0%</c:formatCode>
                <c:ptCount val="7"/>
                <c:pt idx="0">
                  <c:v>0.56980056980056981</c:v>
                </c:pt>
                <c:pt idx="1">
                  <c:v>0.5391229578675838</c:v>
                </c:pt>
                <c:pt idx="2">
                  <c:v>0.52777777777777779</c:v>
                </c:pt>
                <c:pt idx="3">
                  <c:v>0.51927437641723351</c:v>
                </c:pt>
                <c:pt idx="4">
                  <c:v>0.50350631136044877</c:v>
                </c:pt>
                <c:pt idx="5">
                  <c:v>0.49434571890145396</c:v>
                </c:pt>
                <c:pt idx="6">
                  <c:v>0.46875</c:v>
                </c:pt>
              </c:numCache>
            </c:numRef>
          </c:val>
          <c:smooth val="0"/>
          <c:extLst>
            <c:ext xmlns:c16="http://schemas.microsoft.com/office/drawing/2014/chart" uri="{C3380CC4-5D6E-409C-BE32-E72D297353CC}">
              <c16:uniqueId val="{00000000-F741-45FA-9C87-1A9798C44D34}"/>
            </c:ext>
          </c:extLst>
        </c:ser>
        <c:dLbls>
          <c:showLegendKey val="0"/>
          <c:showVal val="0"/>
          <c:showCatName val="0"/>
          <c:showSerName val="0"/>
          <c:showPercent val="0"/>
          <c:showBubbleSize val="0"/>
        </c:dLbls>
        <c:smooth val="0"/>
        <c:axId val="545298927"/>
        <c:axId val="1201369279"/>
      </c:lineChart>
      <c:catAx>
        <c:axId val="545298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369279"/>
        <c:crosses val="autoZero"/>
        <c:auto val="1"/>
        <c:lblAlgn val="ctr"/>
        <c:lblOffset val="100"/>
        <c:noMultiLvlLbl val="0"/>
      </c:catAx>
      <c:valAx>
        <c:axId val="120136927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29892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baseline="0">
                <a:effectLst>
                  <a:outerShdw blurRad="50800" dist="38100" dir="5400000" algn="t" rotWithShape="0">
                    <a:srgbClr val="000000">
                      <a:alpha val="40000"/>
                    </a:srgbClr>
                  </a:outerShdw>
                </a:effectLst>
              </a:rPr>
              <a:t># of users invited  vs% Overlap</a:t>
            </a:r>
            <a:endParaRPr lang="en-US" sz="11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6 - Setup Moment and Metric'!$F$39</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 6 - Setup Moment and Metric'!$A$40:$A$46</c:f>
              <c:strCache>
                <c:ptCount val="7"/>
                <c:pt idx="0">
                  <c:v>1+</c:v>
                </c:pt>
                <c:pt idx="1">
                  <c:v>2+</c:v>
                </c:pt>
                <c:pt idx="2">
                  <c:v>3+</c:v>
                </c:pt>
                <c:pt idx="3">
                  <c:v>4+</c:v>
                </c:pt>
                <c:pt idx="4">
                  <c:v>5+</c:v>
                </c:pt>
                <c:pt idx="5">
                  <c:v>6+</c:v>
                </c:pt>
                <c:pt idx="6">
                  <c:v>7+</c:v>
                </c:pt>
              </c:strCache>
            </c:strRef>
          </c:cat>
          <c:val>
            <c:numRef>
              <c:f>'Tab 6 - Setup Moment and Metric'!$F$40:$F$46</c:f>
              <c:numCache>
                <c:formatCode>0%</c:formatCode>
                <c:ptCount val="7"/>
                <c:pt idx="0">
                  <c:v>0.70123839009287925</c:v>
                </c:pt>
                <c:pt idx="1">
                  <c:v>0.67777777777777781</c:v>
                </c:pt>
                <c:pt idx="2">
                  <c:v>0.66237942122186499</c:v>
                </c:pt>
                <c:pt idx="3">
                  <c:v>0.64067796610169492</c:v>
                </c:pt>
                <c:pt idx="4">
                  <c:v>0.5056338028169014</c:v>
                </c:pt>
                <c:pt idx="5">
                  <c:v>0.3754601226993865</c:v>
                </c:pt>
                <c:pt idx="6">
                  <c:v>0.28585657370517931</c:v>
                </c:pt>
              </c:numCache>
            </c:numRef>
          </c:val>
          <c:smooth val="0"/>
          <c:extLst>
            <c:ext xmlns:c16="http://schemas.microsoft.com/office/drawing/2014/chart" uri="{C3380CC4-5D6E-409C-BE32-E72D297353CC}">
              <c16:uniqueId val="{00000000-956D-4DD5-82B6-82D758201C33}"/>
            </c:ext>
          </c:extLst>
        </c:ser>
        <c:dLbls>
          <c:showLegendKey val="0"/>
          <c:showVal val="0"/>
          <c:showCatName val="0"/>
          <c:showSerName val="0"/>
          <c:showPercent val="0"/>
          <c:showBubbleSize val="0"/>
        </c:dLbls>
        <c:smooth val="0"/>
        <c:axId val="1148833935"/>
        <c:axId val="1148836431"/>
      </c:lineChart>
      <c:catAx>
        <c:axId val="11488339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8836431"/>
        <c:crosses val="autoZero"/>
        <c:auto val="1"/>
        <c:lblAlgn val="ctr"/>
        <c:lblOffset val="100"/>
        <c:noMultiLvlLbl val="0"/>
      </c:catAx>
      <c:valAx>
        <c:axId val="114883643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883393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819150</xdr:colOff>
      <xdr:row>24</xdr:row>
      <xdr:rowOff>142875</xdr:rowOff>
    </xdr:from>
    <xdr:to>
      <xdr:col>11</xdr:col>
      <xdr:colOff>28575</xdr:colOff>
      <xdr:row>36</xdr:row>
      <xdr:rowOff>9525</xdr:rowOff>
    </xdr:to>
    <xdr:graphicFrame macro="">
      <xdr:nvGraphicFramePr>
        <xdr:cNvPr id="5" name="Chart 4">
          <a:extLst>
            <a:ext uri="{FF2B5EF4-FFF2-40B4-BE49-F238E27FC236}">
              <a16:creationId xmlns:a16="http://schemas.microsoft.com/office/drawing/2014/main" id="{EBBB55F6-2A93-E8BD-05E9-2E6B52FD0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37</xdr:row>
      <xdr:rowOff>0</xdr:rowOff>
    </xdr:from>
    <xdr:to>
      <xdr:col>11</xdr:col>
      <xdr:colOff>19050</xdr:colOff>
      <xdr:row>48</xdr:row>
      <xdr:rowOff>28574</xdr:rowOff>
    </xdr:to>
    <xdr:graphicFrame macro="">
      <xdr:nvGraphicFramePr>
        <xdr:cNvPr id="6" name="Chart 5">
          <a:extLst>
            <a:ext uri="{FF2B5EF4-FFF2-40B4-BE49-F238E27FC236}">
              <a16:creationId xmlns:a16="http://schemas.microsoft.com/office/drawing/2014/main" id="{9947714D-57F8-1B4F-D24A-7090A6CA0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819150</xdr:colOff>
      <xdr:row>13</xdr:row>
      <xdr:rowOff>0</xdr:rowOff>
    </xdr:from>
    <xdr:to>
      <xdr:col>11</xdr:col>
      <xdr:colOff>28574</xdr:colOff>
      <xdr:row>23</xdr:row>
      <xdr:rowOff>152400</xdr:rowOff>
    </xdr:to>
    <xdr:graphicFrame macro="">
      <xdr:nvGraphicFramePr>
        <xdr:cNvPr id="7" name="Chart 6">
          <a:extLst>
            <a:ext uri="{FF2B5EF4-FFF2-40B4-BE49-F238E27FC236}">
              <a16:creationId xmlns:a16="http://schemas.microsoft.com/office/drawing/2014/main" id="{D9D3009C-8A20-C894-640A-497F0D2C4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828675</xdr:colOff>
      <xdr:row>11</xdr:row>
      <xdr:rowOff>190499</xdr:rowOff>
    </xdr:from>
    <xdr:to>
      <xdr:col>11</xdr:col>
      <xdr:colOff>28574</xdr:colOff>
      <xdr:row>23</xdr:row>
      <xdr:rowOff>9524</xdr:rowOff>
    </xdr:to>
    <xdr:graphicFrame macro="">
      <xdr:nvGraphicFramePr>
        <xdr:cNvPr id="2" name="Chart 1">
          <a:extLst>
            <a:ext uri="{FF2B5EF4-FFF2-40B4-BE49-F238E27FC236}">
              <a16:creationId xmlns:a16="http://schemas.microsoft.com/office/drawing/2014/main" id="{38910FF3-08D9-C403-D5D9-60528C4CF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23</xdr:row>
      <xdr:rowOff>161924</xdr:rowOff>
    </xdr:from>
    <xdr:to>
      <xdr:col>11</xdr:col>
      <xdr:colOff>38100</xdr:colOff>
      <xdr:row>35</xdr:row>
      <xdr:rowOff>28575</xdr:rowOff>
    </xdr:to>
    <xdr:graphicFrame macro="">
      <xdr:nvGraphicFramePr>
        <xdr:cNvPr id="3" name="Chart 2">
          <a:extLst>
            <a:ext uri="{FF2B5EF4-FFF2-40B4-BE49-F238E27FC236}">
              <a16:creationId xmlns:a16="http://schemas.microsoft.com/office/drawing/2014/main" id="{39ED8C7D-9B4E-776C-A77D-039EA9046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742950</xdr:colOff>
      <xdr:row>35</xdr:row>
      <xdr:rowOff>142874</xdr:rowOff>
    </xdr:from>
    <xdr:to>
      <xdr:col>11</xdr:col>
      <xdr:colOff>61911</xdr:colOff>
      <xdr:row>46</xdr:row>
      <xdr:rowOff>161924</xdr:rowOff>
    </xdr:to>
    <xdr:graphicFrame macro="">
      <xdr:nvGraphicFramePr>
        <xdr:cNvPr id="4" name="Chart 3">
          <a:extLst>
            <a:ext uri="{FF2B5EF4-FFF2-40B4-BE49-F238E27FC236}">
              <a16:creationId xmlns:a16="http://schemas.microsoft.com/office/drawing/2014/main" id="{BD1448A1-DE5B-45BE-FF32-B84E78A85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10</xdr:row>
      <xdr:rowOff>200024</xdr:rowOff>
    </xdr:from>
    <xdr:to>
      <xdr:col>11</xdr:col>
      <xdr:colOff>9525</xdr:colOff>
      <xdr:row>22</xdr:row>
      <xdr:rowOff>28575</xdr:rowOff>
    </xdr:to>
    <xdr:graphicFrame macro="">
      <xdr:nvGraphicFramePr>
        <xdr:cNvPr id="2" name="Chart 1">
          <a:extLst>
            <a:ext uri="{FF2B5EF4-FFF2-40B4-BE49-F238E27FC236}">
              <a16:creationId xmlns:a16="http://schemas.microsoft.com/office/drawing/2014/main" id="{555B4589-DAE5-5DFC-8774-E1B96FF3A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828675</xdr:colOff>
      <xdr:row>23</xdr:row>
      <xdr:rowOff>0</xdr:rowOff>
    </xdr:from>
    <xdr:to>
      <xdr:col>11</xdr:col>
      <xdr:colOff>76199</xdr:colOff>
      <xdr:row>34</xdr:row>
      <xdr:rowOff>9525</xdr:rowOff>
    </xdr:to>
    <xdr:graphicFrame macro="">
      <xdr:nvGraphicFramePr>
        <xdr:cNvPr id="3" name="Chart 2">
          <a:extLst>
            <a:ext uri="{FF2B5EF4-FFF2-40B4-BE49-F238E27FC236}">
              <a16:creationId xmlns:a16="http://schemas.microsoft.com/office/drawing/2014/main" id="{0DB580BB-1C67-4781-094D-5D4033E5D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838199</xdr:colOff>
      <xdr:row>34</xdr:row>
      <xdr:rowOff>142875</xdr:rowOff>
    </xdr:from>
    <xdr:to>
      <xdr:col>11</xdr:col>
      <xdr:colOff>47624</xdr:colOff>
      <xdr:row>46</xdr:row>
      <xdr:rowOff>28575</xdr:rowOff>
    </xdr:to>
    <xdr:graphicFrame macro="">
      <xdr:nvGraphicFramePr>
        <xdr:cNvPr id="4" name="Chart 3">
          <a:extLst>
            <a:ext uri="{FF2B5EF4-FFF2-40B4-BE49-F238E27FC236}">
              <a16:creationId xmlns:a16="http://schemas.microsoft.com/office/drawing/2014/main" id="{2F797680-8E77-1966-ABB2-8513C9835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41:D49" headerRowCount="0" headerRowCellStyle="Percent" dataCellStyle="Percent" totalsRowCellStyle="Percent">
  <tableColumns count="1">
    <tableColumn id="1" xr3:uid="{00000000-0010-0000-0000-000001000000}" name="Column1" dataCellStyle="Percent">
      <calculatedColumnFormula>E41/C41</calculatedColumnFormula>
    </tableColumn>
  </tableColumns>
  <tableStyleInfo name="Tab 8 - Segment Analysis-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F84:F89" headerRowCount="0" headerRowCellStyle="Percent" dataCellStyle="Percent" totalsRowCellStyle="Percent">
  <tableColumns count="1">
    <tableColumn id="1" xr3:uid="{00000000-0010-0000-0900-000001000000}" name="Column1" dataCellStyle="Percent">
      <calculatedColumnFormula>G84/E84</calculatedColumnFormula>
    </tableColumn>
  </tableColumns>
  <tableStyleInfo name="Tab 8 - Segment Analysis-style 10" showFirstColumn="1" showLastColumn="1" showRowStripes="1" showColumnStripes="0"/>
  <extLst>
    <ext uri="GoogleSheetsCustomDataVersion1">
      <go:sheetsCustomData xmlns:go="http://customooxmlschemas.google.com/" headerRowCount="1"/>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H84:H89" headerRowCount="0">
  <tableColumns count="1">
    <tableColumn id="1" xr3:uid="{00000000-0010-0000-0A00-000001000000}" name="Column1" dataDxfId="0">
      <calculatedColumnFormula>B84*C84*E84*G84</calculatedColumnFormula>
    </tableColumn>
  </tableColumns>
  <tableStyleInfo name="Tab 8 - Segment Analysis-style 11" showFirstColumn="1" showLastColumn="1" showRowStripes="1" showColumnStripes="0"/>
  <extLst>
    <ext uri="GoogleSheetsCustomDataVersion1">
      <go:sheetsCustomData xmlns:go="http://customooxmlschemas.google.com/" headerRowCount="1"/>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I84:I89" headerRowCount="0" headerRowCellStyle="Percent" dataCellStyle="Percent" totalsRowCellStyle="Percent">
  <tableColumns count="1">
    <tableColumn id="1" xr3:uid="{00000000-0010-0000-0B00-000001000000}" name="Column1" dataCellStyle="Percent">
      <calculatedColumnFormula>Table_11[[#This Row],[Column1]]/B84</calculatedColumnFormula>
    </tableColumn>
  </tableColumns>
  <tableStyleInfo name="Tab 8 - Segment Analysis-style 12"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F41:F49" headerRowCount="0" headerRowCellStyle="Percent" dataCellStyle="Percent" totalsRowCellStyle="Percent">
  <tableColumns count="1">
    <tableColumn id="1" xr3:uid="{00000000-0010-0000-0100-000001000000}" name="Column1" dataCellStyle="Percent">
      <calculatedColumnFormula>G41/E41</calculatedColumnFormula>
    </tableColumn>
  </tableColumns>
  <tableStyleInfo name="Tab 8 - Segment Analysis-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41:H49" headerRowCount="0">
  <tableColumns count="1">
    <tableColumn id="1" xr3:uid="{00000000-0010-0000-0200-000001000000}" name="Column1" dataDxfId="2">
      <calculatedColumnFormula>B41*C41*E41*G41</calculatedColumnFormula>
    </tableColumn>
  </tableColumns>
  <tableStyleInfo name="Tab 8 - Segment Analysis-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I41:I49" headerRowCount="0" headerRowCellStyle="Percent" dataCellStyle="Percent" totalsRowCellStyle="Percent">
  <tableColumns count="1">
    <tableColumn id="1" xr3:uid="{00000000-0010-0000-0300-000001000000}" name="Column1" dataCellStyle="Percent">
      <calculatedColumnFormula>H41/B41</calculatedColumnFormula>
    </tableColumn>
  </tableColumns>
  <tableStyleInfo name="Tab 8 - Segment Analysis-style 4"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D63:D70" headerRowCount="0" headerRowCellStyle="Percent" dataCellStyle="Percent" totalsRowCellStyle="Percent">
  <tableColumns count="1">
    <tableColumn id="1" xr3:uid="{00000000-0010-0000-0400-000001000000}" name="Column1" dataCellStyle="Percent">
      <calculatedColumnFormula>E63/C63</calculatedColumnFormula>
    </tableColumn>
  </tableColumns>
  <tableStyleInfo name="Tab 8 - Segment Analysis-style 5"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F63:F70" headerRowCount="0" headerRowCellStyle="Percent" dataCellStyle="Percent" totalsRowCellStyle="Percent">
  <tableColumns count="1">
    <tableColumn id="1" xr3:uid="{00000000-0010-0000-0500-000001000000}" name="Column1" dataCellStyle="Percent">
      <calculatedColumnFormula>G63/E63</calculatedColumnFormula>
    </tableColumn>
  </tableColumns>
  <tableStyleInfo name="Tab 8 - Segment Analysis-style 6"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H63:H70" headerRowCount="0" headerRowCellStyle="Percent" dataCellStyle="Percent" totalsRowCellStyle="Percent">
  <tableColumns count="1">
    <tableColumn id="1" xr3:uid="{00000000-0010-0000-0600-000001000000}" name="Column1" dataDxfId="1">
      <calculatedColumnFormula>B63*C63*E63*G63</calculatedColumnFormula>
    </tableColumn>
  </tableColumns>
  <tableStyleInfo name="Tab 8 - Segment Analysis-style 7"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63:I70" headerRowCount="0" headerRowCellStyle="Percent" dataCellStyle="Percent" totalsRowCellStyle="Percent">
  <tableColumns count="1">
    <tableColumn id="1" xr3:uid="{00000000-0010-0000-0700-000001000000}" name="Column1" dataCellStyle="Percent">
      <calculatedColumnFormula>Table_7[[#This Row],[Column1]]/B63</calculatedColumnFormula>
    </tableColumn>
  </tableColumns>
  <tableStyleInfo name="Tab 8 - Segment Analysis-style 8"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D84:D89" headerRowCount="0" headerRowCellStyle="Percent" dataCellStyle="Percent" totalsRowCellStyle="Percent">
  <tableColumns count="1">
    <tableColumn id="1" xr3:uid="{00000000-0010-0000-0800-000001000000}" name="Column1" dataCellStyle="Percent">
      <calculatedColumnFormula>E84/C84</calculatedColumnFormula>
    </tableColumn>
  </tableColumns>
  <tableStyleInfo name="Tab 8 - Segment Analysis-style 9"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4"/>
  <sheetViews>
    <sheetView showGridLines="0" workbookViewId="0">
      <selection activeCell="E5" sqref="E5"/>
    </sheetView>
  </sheetViews>
  <sheetFormatPr defaultColWidth="12.5703125" defaultRowHeight="15.75" customHeight="1"/>
  <cols>
    <col min="1" max="2" width="10.85546875" customWidth="1"/>
    <col min="3" max="3" width="42.85546875" customWidth="1"/>
  </cols>
  <sheetData>
    <row r="1" spans="1:3" ht="38.25">
      <c r="A1" s="184" t="s">
        <v>0</v>
      </c>
      <c r="B1" s="181"/>
      <c r="C1" s="182"/>
    </row>
    <row r="2" spans="1:3" ht="12.75">
      <c r="A2" s="185" t="s">
        <v>1</v>
      </c>
      <c r="B2" s="186"/>
      <c r="C2" s="187"/>
    </row>
    <row r="3" spans="1:3" ht="30.75" customHeight="1">
      <c r="A3" s="188"/>
      <c r="B3" s="189"/>
      <c r="C3" s="190"/>
    </row>
    <row r="4" spans="1:3" ht="30.75" customHeight="1">
      <c r="A4" s="191" t="str">
        <f>HYPERLINK("https://app.productboard.com/register","Step 1: Complete Tabs 1 - 2 in order by signing up for the free trial of productboard: https://app.productboard.com/register. 
")</f>
        <v xml:space="preserve">Step 1: Complete Tabs 1 - 2 in order by signing up for the free trial of productboard: https://app.productboard.com/register. 
</v>
      </c>
      <c r="B4" s="181"/>
      <c r="C4" s="182"/>
    </row>
    <row r="5" spans="1:3" ht="54.75" customHeight="1">
      <c r="A5" s="192" t="s">
        <v>2</v>
      </c>
      <c r="B5" s="189"/>
      <c r="C5" s="190"/>
    </row>
    <row r="6" spans="1:3" ht="99.75" customHeight="1">
      <c r="A6" s="192" t="s">
        <v>3</v>
      </c>
      <c r="B6" s="189"/>
      <c r="C6" s="190"/>
    </row>
    <row r="7" spans="1:3" ht="45.75" customHeight="1">
      <c r="A7" s="192" t="s">
        <v>4</v>
      </c>
      <c r="B7" s="189"/>
      <c r="C7" s="190"/>
    </row>
    <row r="8" spans="1:3" ht="56.25" customHeight="1">
      <c r="A8" s="192" t="s">
        <v>5</v>
      </c>
      <c r="B8" s="189"/>
      <c r="C8" s="190"/>
    </row>
    <row r="9" spans="1:3" ht="12.75">
      <c r="A9" s="180" t="s">
        <v>6</v>
      </c>
      <c r="B9" s="181"/>
      <c r="C9" s="182"/>
    </row>
    <row r="10" spans="1:3" ht="12.75">
      <c r="A10" s="183" t="s">
        <v>7</v>
      </c>
      <c r="B10" s="181"/>
      <c r="C10" s="182"/>
    </row>
    <row r="11" spans="1:3" ht="12.75">
      <c r="A11" s="1"/>
      <c r="B11" s="2"/>
      <c r="C11" s="3"/>
    </row>
    <row r="12" spans="1:3" ht="12.75">
      <c r="A12" s="4" t="s">
        <v>8</v>
      </c>
      <c r="B12" s="5" t="s">
        <v>9</v>
      </c>
      <c r="C12" s="4" t="s">
        <v>10</v>
      </c>
    </row>
    <row r="13" spans="1:3" ht="12.75">
      <c r="A13" s="6"/>
      <c r="B13" s="7"/>
      <c r="C13" s="8" t="s">
        <v>11</v>
      </c>
    </row>
    <row r="14" spans="1:3" ht="12.75">
      <c r="A14" s="9">
        <v>1</v>
      </c>
      <c r="B14" s="10" t="b">
        <v>0</v>
      </c>
      <c r="C14" s="11" t="s">
        <v>12</v>
      </c>
    </row>
    <row r="15" spans="1:3" ht="12.75">
      <c r="A15" s="12">
        <v>2</v>
      </c>
      <c r="B15" s="10" t="b">
        <v>0</v>
      </c>
      <c r="C15" s="13" t="s">
        <v>13</v>
      </c>
    </row>
    <row r="16" spans="1:3" ht="12.75">
      <c r="A16" s="6"/>
      <c r="B16" s="6"/>
      <c r="C16" s="8" t="s">
        <v>14</v>
      </c>
    </row>
    <row r="17" spans="1:3" ht="12.75">
      <c r="A17" s="14">
        <v>3</v>
      </c>
      <c r="B17" s="10" t="b">
        <v>0</v>
      </c>
      <c r="C17" s="13" t="s">
        <v>15</v>
      </c>
    </row>
    <row r="18" spans="1:3" ht="12.75">
      <c r="A18" s="15"/>
      <c r="B18" s="6"/>
      <c r="C18" s="8" t="s">
        <v>16</v>
      </c>
    </row>
    <row r="19" spans="1:3" ht="12.75">
      <c r="A19" s="14">
        <v>4</v>
      </c>
      <c r="B19" s="10" t="b">
        <v>0</v>
      </c>
      <c r="C19" s="13" t="s">
        <v>17</v>
      </c>
    </row>
    <row r="20" spans="1:3" ht="12.75">
      <c r="A20" s="14">
        <v>5</v>
      </c>
      <c r="B20" s="16" t="b">
        <v>0</v>
      </c>
      <c r="C20" s="13" t="s">
        <v>18</v>
      </c>
    </row>
    <row r="21" spans="1:3" ht="12.75">
      <c r="A21" s="14">
        <v>6</v>
      </c>
      <c r="B21" s="16" t="b">
        <v>0</v>
      </c>
      <c r="C21" s="13" t="s">
        <v>19</v>
      </c>
    </row>
    <row r="22" spans="1:3" ht="12.75">
      <c r="A22" s="14">
        <v>7</v>
      </c>
      <c r="B22" s="16" t="b">
        <v>0</v>
      </c>
      <c r="C22" s="13" t="s">
        <v>20</v>
      </c>
    </row>
    <row r="23" spans="1:3" ht="12.75">
      <c r="A23" s="15"/>
      <c r="B23" s="6"/>
      <c r="C23" s="8" t="s">
        <v>21</v>
      </c>
    </row>
    <row r="24" spans="1:3" ht="14.25">
      <c r="A24" s="14">
        <v>8</v>
      </c>
      <c r="B24" s="10" t="b">
        <v>0</v>
      </c>
      <c r="C24" s="17" t="s">
        <v>22</v>
      </c>
    </row>
  </sheetData>
  <mergeCells count="9">
    <mergeCell ref="A9:C9"/>
    <mergeCell ref="A10:C10"/>
    <mergeCell ref="A1:C1"/>
    <mergeCell ref="A2:C3"/>
    <mergeCell ref="A4:C4"/>
    <mergeCell ref="A5:C5"/>
    <mergeCell ref="A6:C6"/>
    <mergeCell ref="A7:C7"/>
    <mergeCell ref="A8:C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33"/>
  <sheetViews>
    <sheetView showGridLines="0" topLeftCell="A19" zoomScale="85" zoomScaleNormal="85" workbookViewId="0">
      <selection activeCell="W24" sqref="W24"/>
    </sheetView>
  </sheetViews>
  <sheetFormatPr defaultColWidth="12.5703125" defaultRowHeight="15.75" customHeight="1"/>
  <cols>
    <col min="12" max="12" width="25.42578125" customWidth="1"/>
    <col min="13" max="13" width="25.140625" customWidth="1"/>
    <col min="14" max="15" width="25.42578125" customWidth="1"/>
    <col min="16" max="16" width="25.28515625" customWidth="1"/>
    <col min="17" max="17" width="25" customWidth="1"/>
    <col min="18" max="18" width="25.42578125" customWidth="1"/>
    <col min="19" max="19" width="25.5703125" customWidth="1"/>
    <col min="20" max="20" width="25.42578125" customWidth="1"/>
    <col min="21" max="21" width="28.140625" customWidth="1"/>
    <col min="22" max="22" width="33.5703125" customWidth="1"/>
    <col min="23" max="23" width="72.85546875" customWidth="1"/>
  </cols>
  <sheetData>
    <row r="1" spans="1:23" ht="12.75">
      <c r="A1" s="193" t="s">
        <v>12</v>
      </c>
      <c r="B1" s="186"/>
      <c r="C1" s="186"/>
      <c r="D1" s="186"/>
      <c r="E1" s="186"/>
      <c r="F1" s="186"/>
      <c r="G1" s="186"/>
      <c r="H1" s="186"/>
      <c r="I1" s="186"/>
      <c r="J1" s="186"/>
      <c r="K1" s="186"/>
      <c r="L1" s="186"/>
      <c r="M1" s="186"/>
      <c r="N1" s="186"/>
      <c r="O1" s="186"/>
      <c r="P1" s="186"/>
      <c r="Q1" s="186"/>
      <c r="R1" s="186"/>
      <c r="S1" s="186"/>
      <c r="T1" s="186"/>
      <c r="U1" s="186"/>
      <c r="V1" s="186"/>
      <c r="W1" s="187"/>
    </row>
    <row r="2" spans="1:23" ht="12.75">
      <c r="A2" s="188"/>
      <c r="B2" s="189"/>
      <c r="C2" s="189"/>
      <c r="D2" s="189"/>
      <c r="E2" s="189"/>
      <c r="F2" s="189"/>
      <c r="G2" s="189"/>
      <c r="H2" s="189"/>
      <c r="I2" s="189"/>
      <c r="J2" s="189"/>
      <c r="K2" s="189"/>
      <c r="L2" s="189"/>
      <c r="M2" s="189"/>
      <c r="N2" s="189"/>
      <c r="O2" s="189"/>
      <c r="P2" s="189"/>
      <c r="Q2" s="189"/>
      <c r="R2" s="189"/>
      <c r="S2" s="189"/>
      <c r="T2" s="189"/>
      <c r="U2" s="189"/>
      <c r="V2" s="189"/>
      <c r="W2" s="190"/>
    </row>
    <row r="3" spans="1:23" ht="12.75">
      <c r="A3" s="194" t="s">
        <v>23</v>
      </c>
      <c r="B3" s="186"/>
      <c r="C3" s="186"/>
      <c r="D3" s="186"/>
      <c r="E3" s="186"/>
      <c r="F3" s="187"/>
      <c r="G3" s="18"/>
      <c r="H3" s="18"/>
      <c r="I3" s="18"/>
      <c r="J3" s="19"/>
      <c r="K3" s="19"/>
      <c r="L3" s="19"/>
      <c r="S3" s="19"/>
      <c r="T3" s="19"/>
      <c r="U3" s="20"/>
      <c r="V3" s="20"/>
      <c r="W3" s="20"/>
    </row>
    <row r="4" spans="1:23" ht="14.25" customHeight="1">
      <c r="A4" s="188"/>
      <c r="B4" s="189"/>
      <c r="C4" s="189"/>
      <c r="D4" s="189"/>
      <c r="E4" s="189"/>
      <c r="F4" s="190"/>
      <c r="G4" s="18"/>
      <c r="H4" s="18"/>
      <c r="I4" s="18"/>
      <c r="J4" s="18"/>
      <c r="K4" s="18"/>
      <c r="L4" s="18"/>
      <c r="S4" s="19"/>
      <c r="T4" s="19"/>
      <c r="U4" s="20"/>
      <c r="V4" s="20"/>
      <c r="W4" s="20"/>
    </row>
    <row r="5" spans="1:23" ht="21.75" customHeight="1">
      <c r="A5" s="192" t="s">
        <v>24</v>
      </c>
      <c r="B5" s="189"/>
      <c r="C5" s="189"/>
      <c r="D5" s="189"/>
      <c r="E5" s="189"/>
      <c r="F5" s="190"/>
      <c r="G5" s="18"/>
      <c r="H5" s="18"/>
      <c r="I5" s="18"/>
      <c r="J5" s="18"/>
      <c r="K5" s="18"/>
      <c r="L5" s="18"/>
      <c r="S5" s="19"/>
      <c r="T5" s="19"/>
      <c r="U5" s="20"/>
      <c r="V5" s="20"/>
      <c r="W5" s="20"/>
    </row>
    <row r="6" spans="1:23" ht="21" customHeight="1">
      <c r="A6" s="192" t="s">
        <v>25</v>
      </c>
      <c r="B6" s="189"/>
      <c r="C6" s="189"/>
      <c r="D6" s="189"/>
      <c r="E6" s="189"/>
      <c r="F6" s="190"/>
      <c r="G6" s="18"/>
      <c r="H6" s="18"/>
      <c r="I6" s="18"/>
      <c r="J6" s="18"/>
      <c r="K6" s="18"/>
      <c r="L6" s="18"/>
      <c r="S6" s="19"/>
      <c r="T6" s="19"/>
      <c r="U6" s="20"/>
      <c r="V6" s="20"/>
      <c r="W6" s="20"/>
    </row>
    <row r="7" spans="1:23" ht="30" customHeight="1">
      <c r="A7" s="192" t="s">
        <v>26</v>
      </c>
      <c r="B7" s="189"/>
      <c r="C7" s="189"/>
      <c r="D7" s="189"/>
      <c r="E7" s="189"/>
      <c r="F7" s="190"/>
      <c r="G7" s="18"/>
      <c r="H7" s="18"/>
      <c r="I7" s="18"/>
      <c r="J7" s="18"/>
      <c r="K7" s="18"/>
      <c r="L7" s="18"/>
      <c r="S7" s="19"/>
      <c r="T7" s="19"/>
      <c r="U7" s="20"/>
      <c r="V7" s="20"/>
      <c r="W7" s="20"/>
    </row>
    <row r="8" spans="1:23" ht="31.5" customHeight="1">
      <c r="A8" s="192" t="s">
        <v>27</v>
      </c>
      <c r="B8" s="189"/>
      <c r="C8" s="189"/>
      <c r="D8" s="189"/>
      <c r="E8" s="189"/>
      <c r="F8" s="190"/>
      <c r="G8" s="18"/>
      <c r="H8" s="18"/>
      <c r="I8" s="18"/>
      <c r="J8" s="18"/>
      <c r="K8" s="18"/>
      <c r="L8" s="18"/>
      <c r="S8" s="19"/>
      <c r="T8" s="19"/>
      <c r="U8" s="20"/>
      <c r="V8" s="20"/>
      <c r="W8" s="20"/>
    </row>
    <row r="9" spans="1:23" ht="68.25" customHeight="1">
      <c r="A9" s="195" t="s">
        <v>28</v>
      </c>
      <c r="B9" s="181"/>
      <c r="C9" s="181"/>
      <c r="D9" s="181"/>
      <c r="E9" s="181"/>
      <c r="F9" s="182"/>
      <c r="G9" s="18"/>
      <c r="H9" s="18"/>
      <c r="I9" s="18"/>
      <c r="J9" s="18"/>
      <c r="K9" s="18"/>
      <c r="L9" s="18"/>
      <c r="S9" s="19"/>
      <c r="T9" s="19"/>
      <c r="U9" s="20"/>
      <c r="V9" s="20"/>
      <c r="W9" s="20"/>
    </row>
    <row r="10" spans="1:23" ht="93.75" customHeight="1">
      <c r="A10" s="194" t="s">
        <v>29</v>
      </c>
      <c r="B10" s="186"/>
      <c r="C10" s="186"/>
      <c r="D10" s="186"/>
      <c r="E10" s="186"/>
      <c r="F10" s="187"/>
      <c r="G10" s="18"/>
      <c r="H10" s="18"/>
      <c r="I10" s="18"/>
      <c r="J10" s="18"/>
      <c r="K10" s="18"/>
      <c r="L10" s="18"/>
      <c r="S10" s="20"/>
      <c r="T10" s="20"/>
      <c r="U10" s="20"/>
      <c r="V10" s="20"/>
      <c r="W10" s="20"/>
    </row>
    <row r="11" spans="1:23" ht="17.25" customHeight="1">
      <c r="A11" s="196" t="s">
        <v>30</v>
      </c>
      <c r="B11" s="197"/>
      <c r="C11" s="197"/>
      <c r="D11" s="197"/>
      <c r="E11" s="197"/>
      <c r="F11" s="198"/>
      <c r="G11" s="18"/>
      <c r="H11" s="18"/>
      <c r="I11" s="18"/>
      <c r="J11" s="18"/>
      <c r="K11" s="18"/>
      <c r="L11" s="18"/>
      <c r="S11" s="20"/>
      <c r="T11" s="20"/>
      <c r="U11" s="20"/>
      <c r="V11" s="20"/>
      <c r="W11" s="20"/>
    </row>
    <row r="12" spans="1:23" ht="20.25" customHeight="1">
      <c r="A12" s="196" t="s">
        <v>31</v>
      </c>
      <c r="B12" s="197"/>
      <c r="C12" s="197"/>
      <c r="D12" s="197"/>
      <c r="E12" s="197"/>
      <c r="F12" s="198"/>
      <c r="G12" s="18"/>
      <c r="H12" s="18"/>
      <c r="I12" s="18"/>
      <c r="J12" s="18"/>
      <c r="K12" s="18"/>
      <c r="L12" s="18"/>
      <c r="S12" s="20"/>
      <c r="T12" s="20"/>
      <c r="U12" s="20"/>
      <c r="V12" s="20"/>
      <c r="W12" s="20"/>
    </row>
    <row r="13" spans="1:23" ht="29.25" customHeight="1">
      <c r="A13" s="199" t="s">
        <v>32</v>
      </c>
      <c r="B13" s="197"/>
      <c r="C13" s="197"/>
      <c r="D13" s="197"/>
      <c r="E13" s="197"/>
      <c r="F13" s="198"/>
      <c r="G13" s="18"/>
      <c r="H13" s="18"/>
      <c r="I13" s="18"/>
      <c r="J13" s="18"/>
      <c r="K13" s="18"/>
      <c r="L13" s="18"/>
      <c r="S13" s="20"/>
      <c r="T13" s="20"/>
      <c r="U13" s="20"/>
      <c r="V13" s="20"/>
      <c r="W13" s="20"/>
    </row>
    <row r="14" spans="1:23" ht="26.25" customHeight="1">
      <c r="A14" s="200" t="s">
        <v>33</v>
      </c>
      <c r="B14" s="197"/>
      <c r="C14" s="197"/>
      <c r="D14" s="197"/>
      <c r="E14" s="197"/>
      <c r="F14" s="198"/>
      <c r="G14" s="18"/>
      <c r="H14" s="18"/>
      <c r="I14" s="18"/>
      <c r="J14" s="18"/>
      <c r="K14" s="18"/>
      <c r="L14" s="18"/>
      <c r="S14" s="20"/>
      <c r="T14" s="20"/>
      <c r="U14" s="20"/>
      <c r="V14" s="20"/>
      <c r="W14" s="20"/>
    </row>
    <row r="15" spans="1:23" ht="24.75" customHeight="1">
      <c r="A15" s="196" t="s">
        <v>34</v>
      </c>
      <c r="B15" s="197"/>
      <c r="C15" s="197"/>
      <c r="D15" s="197"/>
      <c r="E15" s="197"/>
      <c r="F15" s="198"/>
      <c r="G15" s="18"/>
      <c r="H15" s="18"/>
      <c r="I15" s="18"/>
      <c r="J15" s="18"/>
      <c r="K15" s="18"/>
      <c r="L15" s="18"/>
      <c r="S15" s="20"/>
      <c r="T15" s="20"/>
      <c r="U15" s="20"/>
      <c r="V15" s="20"/>
      <c r="W15" s="20"/>
    </row>
    <row r="16" spans="1:23" ht="24.75" customHeight="1">
      <c r="A16" s="196" t="s">
        <v>35</v>
      </c>
      <c r="B16" s="197"/>
      <c r="C16" s="197"/>
      <c r="D16" s="197"/>
      <c r="E16" s="197"/>
      <c r="F16" s="198"/>
      <c r="G16" s="18"/>
      <c r="H16" s="18"/>
      <c r="I16" s="18"/>
      <c r="J16" s="18"/>
      <c r="K16" s="18"/>
      <c r="L16" s="18"/>
      <c r="S16" s="20"/>
      <c r="T16" s="20"/>
      <c r="U16" s="20"/>
      <c r="V16" s="20"/>
      <c r="W16" s="20"/>
    </row>
    <row r="17" spans="1:23" ht="24.75" customHeight="1">
      <c r="A17" s="202" t="s">
        <v>36</v>
      </c>
      <c r="B17" s="189"/>
      <c r="C17" s="189"/>
      <c r="D17" s="189"/>
      <c r="E17" s="189"/>
      <c r="F17" s="190"/>
      <c r="G17" s="18"/>
      <c r="H17" s="18"/>
      <c r="I17" s="18"/>
      <c r="J17" s="18"/>
      <c r="K17" s="18"/>
      <c r="L17" s="18"/>
      <c r="S17" s="20"/>
      <c r="T17" s="20"/>
      <c r="U17" s="20"/>
      <c r="V17" s="20"/>
      <c r="W17" s="20"/>
    </row>
    <row r="18" spans="1:23" ht="18.75" customHeight="1">
      <c r="A18" s="21" t="s">
        <v>37</v>
      </c>
      <c r="B18" s="22"/>
      <c r="C18" s="22"/>
      <c r="D18" s="22"/>
      <c r="E18" s="22"/>
      <c r="F18" s="23"/>
      <c r="G18" s="18"/>
      <c r="H18" s="18"/>
      <c r="I18" s="18"/>
      <c r="J18" s="18"/>
      <c r="K18" s="18"/>
      <c r="L18" s="18"/>
      <c r="S18" s="20"/>
      <c r="T18" s="20"/>
      <c r="U18" s="20"/>
      <c r="V18" s="20"/>
      <c r="W18" s="20"/>
    </row>
    <row r="19" spans="1:23" ht="12.75">
      <c r="A19" s="24" t="s">
        <v>38</v>
      </c>
      <c r="B19" s="24" t="s">
        <v>39</v>
      </c>
      <c r="C19" s="24" t="s">
        <v>40</v>
      </c>
      <c r="D19" s="24" t="s">
        <v>41</v>
      </c>
      <c r="E19" s="24" t="s">
        <v>42</v>
      </c>
      <c r="F19" s="24" t="s">
        <v>43</v>
      </c>
      <c r="G19" s="25" t="s">
        <v>44</v>
      </c>
      <c r="H19" s="25" t="s">
        <v>45</v>
      </c>
      <c r="I19" s="25" t="s">
        <v>46</v>
      </c>
      <c r="J19" s="25" t="s">
        <v>47</v>
      </c>
      <c r="K19" s="25" t="s">
        <v>48</v>
      </c>
      <c r="L19" s="25" t="s">
        <v>49</v>
      </c>
      <c r="M19" s="25" t="s">
        <v>50</v>
      </c>
      <c r="N19" s="25" t="s">
        <v>51</v>
      </c>
      <c r="O19" s="25" t="s">
        <v>52</v>
      </c>
      <c r="P19" s="25" t="s">
        <v>53</v>
      </c>
      <c r="Q19" s="25" t="s">
        <v>54</v>
      </c>
      <c r="R19" s="25" t="s">
        <v>55</v>
      </c>
      <c r="S19" s="25" t="s">
        <v>56</v>
      </c>
      <c r="T19" s="25" t="s">
        <v>57</v>
      </c>
      <c r="U19" s="25" t="s">
        <v>58</v>
      </c>
      <c r="V19" s="25" t="s">
        <v>59</v>
      </c>
      <c r="W19" s="25" t="s">
        <v>60</v>
      </c>
    </row>
    <row r="20" spans="1:23" ht="89.25">
      <c r="A20" s="26" t="s">
        <v>61</v>
      </c>
      <c r="B20" s="26" t="s">
        <v>62</v>
      </c>
      <c r="C20" s="26" t="s">
        <v>63</v>
      </c>
      <c r="D20" s="26" t="s">
        <v>64</v>
      </c>
      <c r="E20" s="26" t="s">
        <v>65</v>
      </c>
      <c r="F20" s="26" t="s">
        <v>66</v>
      </c>
      <c r="G20" s="27" t="s">
        <v>67</v>
      </c>
      <c r="H20" s="27" t="s">
        <v>68</v>
      </c>
      <c r="I20" s="203" t="s">
        <v>69</v>
      </c>
      <c r="J20" s="181"/>
      <c r="K20" s="181"/>
      <c r="L20" s="182"/>
      <c r="M20" s="26" t="s">
        <v>70</v>
      </c>
      <c r="N20" s="26" t="s">
        <v>71</v>
      </c>
      <c r="O20" s="26" t="s">
        <v>72</v>
      </c>
      <c r="P20" s="26" t="s">
        <v>73</v>
      </c>
      <c r="Q20" s="26" t="s">
        <v>74</v>
      </c>
      <c r="R20" s="26" t="s">
        <v>75</v>
      </c>
      <c r="S20" s="26" t="s">
        <v>76</v>
      </c>
      <c r="T20" s="26" t="s">
        <v>77</v>
      </c>
      <c r="U20" s="26" t="s">
        <v>78</v>
      </c>
      <c r="V20" s="26" t="s">
        <v>79</v>
      </c>
      <c r="W20" s="26" t="s">
        <v>80</v>
      </c>
    </row>
    <row r="21" spans="1:23" ht="51">
      <c r="A21" s="28">
        <v>1</v>
      </c>
      <c r="B21" s="29" t="s">
        <v>81</v>
      </c>
      <c r="C21" s="28">
        <f>3820*2</f>
        <v>7640</v>
      </c>
      <c r="D21" s="30">
        <v>0.11020000000000001</v>
      </c>
      <c r="E21" s="30">
        <v>0.88980000000000004</v>
      </c>
      <c r="F21" s="31" t="s">
        <v>82</v>
      </c>
      <c r="G21" s="32">
        <v>1</v>
      </c>
      <c r="H21" s="32">
        <v>0</v>
      </c>
      <c r="I21" s="204" t="s">
        <v>83</v>
      </c>
      <c r="J21" s="181"/>
      <c r="K21" s="181"/>
      <c r="L21" s="182"/>
      <c r="M21" s="33" t="s">
        <v>84</v>
      </c>
      <c r="N21" s="34" t="s">
        <v>85</v>
      </c>
      <c r="O21" s="34" t="s">
        <v>86</v>
      </c>
      <c r="P21" s="34" t="s">
        <v>87</v>
      </c>
      <c r="Q21" s="34" t="s">
        <v>87</v>
      </c>
      <c r="R21" s="34" t="s">
        <v>87</v>
      </c>
      <c r="S21" s="33" t="s">
        <v>88</v>
      </c>
      <c r="T21" s="35" t="s">
        <v>89</v>
      </c>
      <c r="U21" s="36"/>
      <c r="V21" s="36"/>
      <c r="W21" s="37" t="s">
        <v>90</v>
      </c>
    </row>
    <row r="22" spans="1:23" ht="51">
      <c r="A22" s="38">
        <v>2</v>
      </c>
      <c r="B22" s="39" t="s">
        <v>91</v>
      </c>
      <c r="C22" s="38">
        <f>421*2</f>
        <v>842</v>
      </c>
      <c r="D22" s="40">
        <f>C23/C22</f>
        <v>0.93586698337292162</v>
      </c>
      <c r="E22" s="40">
        <f>1-D22</f>
        <v>6.4133016627078376E-2</v>
      </c>
      <c r="F22" s="40">
        <f>1-(C22/C21)</f>
        <v>0.88979057591623034</v>
      </c>
      <c r="G22" s="41">
        <v>1</v>
      </c>
      <c r="H22" s="41">
        <v>1</v>
      </c>
      <c r="I22" s="205" t="s">
        <v>323</v>
      </c>
      <c r="J22" s="181"/>
      <c r="K22" s="181"/>
      <c r="L22" s="182"/>
      <c r="M22" s="42" t="s">
        <v>330</v>
      </c>
      <c r="N22" s="51" t="s">
        <v>338</v>
      </c>
      <c r="O22" s="51" t="s">
        <v>346</v>
      </c>
      <c r="P22" s="43" t="s">
        <v>87</v>
      </c>
      <c r="Q22" s="43" t="s">
        <v>87</v>
      </c>
      <c r="R22" s="43" t="s">
        <v>87</v>
      </c>
      <c r="S22" s="49" t="s">
        <v>88</v>
      </c>
      <c r="T22" s="44"/>
      <c r="U22" s="45"/>
      <c r="V22" s="44"/>
      <c r="W22" s="46" t="s">
        <v>358</v>
      </c>
    </row>
    <row r="23" spans="1:23" ht="63.75">
      <c r="A23" s="38">
        <v>3</v>
      </c>
      <c r="B23" s="39" t="s">
        <v>92</v>
      </c>
      <c r="C23" s="38">
        <f>394*2</f>
        <v>788</v>
      </c>
      <c r="D23" s="40">
        <f t="shared" ref="D23:D28" si="0">C24/C23</f>
        <v>0.97208121827411165</v>
      </c>
      <c r="E23" s="40">
        <f t="shared" ref="E23:E28" si="1">1-D23</f>
        <v>2.7918781725888353E-2</v>
      </c>
      <c r="F23" s="40">
        <f t="shared" ref="F23:F29" si="2">1-(C23/C22)</f>
        <v>6.4133016627078376E-2</v>
      </c>
      <c r="G23" s="41">
        <v>2</v>
      </c>
      <c r="H23" s="41">
        <v>1</v>
      </c>
      <c r="I23" s="201" t="s">
        <v>324</v>
      </c>
      <c r="J23" s="181"/>
      <c r="K23" s="181"/>
      <c r="L23" s="182"/>
      <c r="M23" s="42" t="s">
        <v>331</v>
      </c>
      <c r="N23" s="43" t="s">
        <v>339</v>
      </c>
      <c r="O23" s="43" t="s">
        <v>347</v>
      </c>
      <c r="P23" s="43" t="s">
        <v>87</v>
      </c>
      <c r="Q23" s="43" t="s">
        <v>87</v>
      </c>
      <c r="R23" s="43" t="s">
        <v>87</v>
      </c>
      <c r="S23" s="49" t="s">
        <v>88</v>
      </c>
      <c r="T23" s="44"/>
      <c r="U23" s="44"/>
      <c r="V23" s="45"/>
      <c r="W23" s="46" t="s">
        <v>364</v>
      </c>
    </row>
    <row r="24" spans="1:23" ht="63.75">
      <c r="A24" s="38">
        <v>4</v>
      </c>
      <c r="B24" s="39" t="s">
        <v>93</v>
      </c>
      <c r="C24" s="38">
        <f>383*2</f>
        <v>766</v>
      </c>
      <c r="D24" s="40">
        <f t="shared" si="0"/>
        <v>0.96866840731070492</v>
      </c>
      <c r="E24" s="40">
        <f t="shared" si="1"/>
        <v>3.1331592689295085E-2</v>
      </c>
      <c r="F24" s="40">
        <f t="shared" si="2"/>
        <v>2.7918781725888353E-2</v>
      </c>
      <c r="G24" s="41">
        <v>3</v>
      </c>
      <c r="H24" s="41">
        <v>1</v>
      </c>
      <c r="I24" s="201" t="s">
        <v>324</v>
      </c>
      <c r="J24" s="181"/>
      <c r="K24" s="181"/>
      <c r="L24" s="182"/>
      <c r="M24" s="47" t="s">
        <v>332</v>
      </c>
      <c r="N24" s="48" t="s">
        <v>340</v>
      </c>
      <c r="O24" s="49" t="s">
        <v>348</v>
      </c>
      <c r="P24" s="49" t="s">
        <v>87</v>
      </c>
      <c r="Q24" s="49" t="s">
        <v>87</v>
      </c>
      <c r="R24" s="49" t="s">
        <v>87</v>
      </c>
      <c r="S24" s="49" t="s">
        <v>88</v>
      </c>
      <c r="T24" s="44"/>
      <c r="U24" s="50"/>
      <c r="V24" s="45"/>
      <c r="W24" s="46" t="s">
        <v>364</v>
      </c>
    </row>
    <row r="25" spans="1:23" ht="51">
      <c r="A25" s="38">
        <v>5</v>
      </c>
      <c r="B25" s="39" t="s">
        <v>94</v>
      </c>
      <c r="C25" s="38">
        <f>371*2</f>
        <v>742</v>
      </c>
      <c r="D25" s="40">
        <f t="shared" si="0"/>
        <v>0.98921832884097038</v>
      </c>
      <c r="E25" s="40">
        <f t="shared" si="1"/>
        <v>1.0781671159029615E-2</v>
      </c>
      <c r="F25" s="40">
        <f t="shared" si="2"/>
        <v>3.1331592689295085E-2</v>
      </c>
      <c r="G25" s="41">
        <v>4</v>
      </c>
      <c r="H25" s="41">
        <v>2</v>
      </c>
      <c r="I25" s="201" t="s">
        <v>325</v>
      </c>
      <c r="J25" s="181"/>
      <c r="K25" s="181"/>
      <c r="L25" s="182"/>
      <c r="M25" s="47" t="s">
        <v>333</v>
      </c>
      <c r="N25" s="49" t="s">
        <v>341</v>
      </c>
      <c r="O25" s="48" t="s">
        <v>349</v>
      </c>
      <c r="P25" s="48" t="s">
        <v>87</v>
      </c>
      <c r="Q25" s="49" t="s">
        <v>87</v>
      </c>
      <c r="R25" s="49" t="s">
        <v>87</v>
      </c>
      <c r="S25" s="49" t="s">
        <v>88</v>
      </c>
      <c r="T25" s="45"/>
      <c r="U25" s="45"/>
      <c r="V25" s="50"/>
      <c r="W25" s="46" t="s">
        <v>363</v>
      </c>
    </row>
    <row r="26" spans="1:23" ht="51">
      <c r="A26" s="38">
        <v>6</v>
      </c>
      <c r="B26" s="39" t="s">
        <v>95</v>
      </c>
      <c r="C26" s="38">
        <f>367*2</f>
        <v>734</v>
      </c>
      <c r="D26" s="40">
        <f t="shared" si="0"/>
        <v>0.86376021798365121</v>
      </c>
      <c r="E26" s="40">
        <f t="shared" si="1"/>
        <v>0.13623978201634879</v>
      </c>
      <c r="F26" s="40">
        <f t="shared" si="2"/>
        <v>1.0781671159029615E-2</v>
      </c>
      <c r="G26" s="41">
        <v>5</v>
      </c>
      <c r="H26" s="41">
        <v>2</v>
      </c>
      <c r="I26" s="201" t="s">
        <v>326</v>
      </c>
      <c r="J26" s="181"/>
      <c r="K26" s="181"/>
      <c r="L26" s="182"/>
      <c r="M26" s="47" t="s">
        <v>334</v>
      </c>
      <c r="N26" s="49" t="s">
        <v>342</v>
      </c>
      <c r="O26" s="49" t="s">
        <v>350</v>
      </c>
      <c r="P26" s="49" t="s">
        <v>87</v>
      </c>
      <c r="Q26" s="49" t="s">
        <v>87</v>
      </c>
      <c r="R26" s="49" t="s">
        <v>87</v>
      </c>
      <c r="S26" s="49" t="s">
        <v>88</v>
      </c>
      <c r="T26" s="45"/>
      <c r="U26" s="45"/>
      <c r="V26" s="44"/>
      <c r="W26" s="46" t="s">
        <v>359</v>
      </c>
    </row>
    <row r="27" spans="1:23" ht="25.5">
      <c r="A27" s="38">
        <v>7</v>
      </c>
      <c r="B27" s="39" t="s">
        <v>96</v>
      </c>
      <c r="C27" s="38">
        <f>317*2</f>
        <v>634</v>
      </c>
      <c r="D27" s="40">
        <f t="shared" si="0"/>
        <v>0.96845425867507884</v>
      </c>
      <c r="E27" s="40">
        <f t="shared" si="1"/>
        <v>3.1545741324921162E-2</v>
      </c>
      <c r="F27" s="40">
        <f t="shared" si="2"/>
        <v>0.13623978201634879</v>
      </c>
      <c r="G27" s="41">
        <v>5</v>
      </c>
      <c r="H27" s="41">
        <v>3</v>
      </c>
      <c r="I27" s="201" t="s">
        <v>327</v>
      </c>
      <c r="J27" s="181"/>
      <c r="K27" s="181"/>
      <c r="L27" s="182"/>
      <c r="M27" s="47" t="s">
        <v>335</v>
      </c>
      <c r="N27" s="48" t="s">
        <v>343</v>
      </c>
      <c r="O27" s="49" t="s">
        <v>351</v>
      </c>
      <c r="P27" s="49" t="s">
        <v>87</v>
      </c>
      <c r="Q27" s="49" t="s">
        <v>87</v>
      </c>
      <c r="R27" s="49" t="s">
        <v>87</v>
      </c>
      <c r="S27" s="49" t="s">
        <v>88</v>
      </c>
      <c r="T27" s="45"/>
      <c r="U27" s="45"/>
      <c r="V27" s="44"/>
      <c r="W27" s="51" t="s">
        <v>360</v>
      </c>
    </row>
    <row r="28" spans="1:23" ht="38.25">
      <c r="A28" s="38">
        <v>8</v>
      </c>
      <c r="B28" s="39" t="s">
        <v>97</v>
      </c>
      <c r="C28" s="38">
        <f>307*2</f>
        <v>614</v>
      </c>
      <c r="D28" s="40">
        <f t="shared" si="0"/>
        <v>0.92182410423452765</v>
      </c>
      <c r="E28" s="40">
        <f t="shared" si="1"/>
        <v>7.8175895765472347E-2</v>
      </c>
      <c r="F28" s="40">
        <f t="shared" si="2"/>
        <v>3.1545741324921162E-2</v>
      </c>
      <c r="G28" s="41">
        <v>0</v>
      </c>
      <c r="H28" s="41">
        <v>0</v>
      </c>
      <c r="I28" s="201" t="s">
        <v>328</v>
      </c>
      <c r="J28" s="181"/>
      <c r="K28" s="181"/>
      <c r="L28" s="182"/>
      <c r="M28" s="47" t="s">
        <v>336</v>
      </c>
      <c r="N28" s="49" t="s">
        <v>344</v>
      </c>
      <c r="O28" s="49" t="s">
        <v>352</v>
      </c>
      <c r="P28" s="49" t="s">
        <v>353</v>
      </c>
      <c r="Q28" s="49" t="s">
        <v>354</v>
      </c>
      <c r="R28" s="49" t="s">
        <v>355</v>
      </c>
      <c r="S28" s="51" t="s">
        <v>357</v>
      </c>
      <c r="T28" s="45"/>
      <c r="U28" s="45"/>
      <c r="V28" s="45"/>
      <c r="W28" s="44"/>
    </row>
    <row r="29" spans="1:23" ht="25.5">
      <c r="A29" s="38">
        <v>9</v>
      </c>
      <c r="B29" s="39" t="s">
        <v>98</v>
      </c>
      <c r="C29" s="38">
        <f>283*2</f>
        <v>566</v>
      </c>
      <c r="D29" s="52">
        <f>C30/C29</f>
        <v>1</v>
      </c>
      <c r="E29" s="53">
        <f>1-D29</f>
        <v>0</v>
      </c>
      <c r="F29" s="40">
        <f t="shared" si="2"/>
        <v>7.8175895765472347E-2</v>
      </c>
      <c r="G29" s="41">
        <v>6</v>
      </c>
      <c r="H29" s="41">
        <v>4</v>
      </c>
      <c r="I29" s="201" t="s">
        <v>329</v>
      </c>
      <c r="J29" s="181"/>
      <c r="K29" s="181"/>
      <c r="L29" s="182"/>
      <c r="M29" s="47" t="s">
        <v>337</v>
      </c>
      <c r="N29" s="48" t="s">
        <v>345</v>
      </c>
      <c r="O29" s="48" t="s">
        <v>352</v>
      </c>
      <c r="P29" s="48" t="s">
        <v>353</v>
      </c>
      <c r="Q29" s="49" t="s">
        <v>354</v>
      </c>
      <c r="R29" s="49" t="s">
        <v>356</v>
      </c>
      <c r="S29" s="51" t="s">
        <v>357</v>
      </c>
      <c r="T29" s="50"/>
      <c r="U29" s="50"/>
      <c r="V29" s="44"/>
      <c r="W29" s="44"/>
    </row>
    <row r="30" spans="1:23" ht="12.75">
      <c r="A30" s="54">
        <v>10</v>
      </c>
      <c r="B30" s="55" t="s">
        <v>99</v>
      </c>
      <c r="C30" s="56">
        <f>C29</f>
        <v>566</v>
      </c>
      <c r="D30" s="20"/>
      <c r="E30" s="57"/>
      <c r="F30" s="58"/>
      <c r="G30" s="59"/>
      <c r="H30" s="59"/>
      <c r="I30" s="20"/>
      <c r="J30" s="20"/>
      <c r="K30" s="20"/>
      <c r="L30" s="20"/>
      <c r="M30" s="20"/>
      <c r="N30" s="20"/>
      <c r="O30" s="20"/>
      <c r="P30" s="20"/>
      <c r="Q30" s="20"/>
      <c r="R30" s="20"/>
      <c r="S30" s="20"/>
      <c r="T30" s="20"/>
      <c r="U30" s="20"/>
      <c r="V30" s="20"/>
      <c r="W30" s="20"/>
    </row>
    <row r="31" spans="1:23" ht="12.75">
      <c r="A31" s="20"/>
      <c r="B31" s="20"/>
      <c r="C31" s="20"/>
      <c r="D31" s="20"/>
      <c r="E31" s="60"/>
      <c r="F31" s="55" t="s">
        <v>100</v>
      </c>
      <c r="G31" s="55" t="s">
        <v>101</v>
      </c>
      <c r="H31" s="55" t="s">
        <v>101</v>
      </c>
      <c r="I31" s="20"/>
      <c r="J31" s="20"/>
      <c r="K31" s="20"/>
      <c r="L31" s="20"/>
      <c r="M31" s="20"/>
      <c r="N31" s="20"/>
      <c r="O31" s="20"/>
      <c r="P31" s="20"/>
      <c r="Q31" s="20"/>
      <c r="R31" s="20"/>
      <c r="S31" s="20"/>
      <c r="T31" s="20"/>
      <c r="U31" s="20"/>
      <c r="V31" s="20"/>
      <c r="W31" s="20"/>
    </row>
    <row r="32" spans="1:23" ht="12.75">
      <c r="A32" s="20"/>
      <c r="B32" s="20"/>
      <c r="C32" s="20"/>
      <c r="D32" s="20"/>
      <c r="E32" s="60"/>
      <c r="F32" s="61">
        <f>AVERAGE(F21:F29)</f>
        <v>0.15873963215303299</v>
      </c>
      <c r="G32" s="62">
        <f>SUM(G21:G29)</f>
        <v>27</v>
      </c>
      <c r="H32" s="62">
        <f>SUM(H21:H29)</f>
        <v>14</v>
      </c>
      <c r="I32" s="20"/>
      <c r="J32" s="20"/>
      <c r="K32" s="20"/>
      <c r="L32" s="20"/>
      <c r="M32" s="20"/>
      <c r="N32" s="20"/>
      <c r="O32" s="20"/>
      <c r="P32" s="20"/>
      <c r="Q32" s="20"/>
      <c r="R32" s="20"/>
      <c r="S32" s="20"/>
      <c r="T32" s="20"/>
      <c r="U32" s="20"/>
      <c r="V32" s="20"/>
      <c r="W32" s="20"/>
    </row>
    <row r="33" spans="1:23" ht="12.75">
      <c r="A33" s="20"/>
      <c r="B33" s="20"/>
      <c r="C33" s="20"/>
      <c r="D33" s="20"/>
      <c r="E33" s="20"/>
      <c r="F33" s="20"/>
      <c r="G33" s="20"/>
      <c r="H33" s="20"/>
      <c r="I33" s="20"/>
      <c r="J33" s="20"/>
      <c r="K33" s="20"/>
      <c r="L33" s="20"/>
      <c r="M33" s="20"/>
      <c r="N33" s="20"/>
      <c r="O33" s="20"/>
      <c r="P33" s="20"/>
      <c r="Q33" s="20"/>
      <c r="R33" s="20"/>
      <c r="S33" s="20"/>
      <c r="T33" s="20"/>
      <c r="U33" s="20"/>
      <c r="V33" s="20"/>
      <c r="W33" s="20"/>
    </row>
  </sheetData>
  <mergeCells count="25">
    <mergeCell ref="I27:L27"/>
    <mergeCell ref="I28:L28"/>
    <mergeCell ref="I29:L29"/>
    <mergeCell ref="A17:F17"/>
    <mergeCell ref="I20:L20"/>
    <mergeCell ref="I21:L21"/>
    <mergeCell ref="I22:L22"/>
    <mergeCell ref="I23:L23"/>
    <mergeCell ref="I24:L24"/>
    <mergeCell ref="I25:L25"/>
    <mergeCell ref="A13:F13"/>
    <mergeCell ref="A14:F14"/>
    <mergeCell ref="A15:F15"/>
    <mergeCell ref="A16:F16"/>
    <mergeCell ref="I26:L26"/>
    <mergeCell ref="A8:F8"/>
    <mergeCell ref="A9:F9"/>
    <mergeCell ref="A10:F10"/>
    <mergeCell ref="A11:F11"/>
    <mergeCell ref="A12:F12"/>
    <mergeCell ref="A1:W2"/>
    <mergeCell ref="A3:F4"/>
    <mergeCell ref="A5:F5"/>
    <mergeCell ref="A6:F6"/>
    <mergeCell ref="A7:F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3"/>
  <sheetViews>
    <sheetView showGridLines="0" tabSelected="1" topLeftCell="G21" zoomScaleNormal="100" workbookViewId="0">
      <selection activeCell="K27" sqref="K27"/>
    </sheetView>
  </sheetViews>
  <sheetFormatPr defaultColWidth="12.5703125" defaultRowHeight="15.75" customHeight="1"/>
  <cols>
    <col min="2" max="2" width="51.7109375" customWidth="1"/>
    <col min="3" max="3" width="19" customWidth="1"/>
    <col min="4" max="4" width="39" customWidth="1"/>
    <col min="5" max="5" width="38.28515625" customWidth="1"/>
    <col min="6" max="6" width="39" customWidth="1"/>
    <col min="7" max="7" width="37.85546875" customWidth="1"/>
    <col min="8" max="8" width="38.42578125" customWidth="1"/>
    <col min="9" max="9" width="25.7109375" customWidth="1"/>
    <col min="10" max="10" width="20.140625" customWidth="1"/>
    <col min="11" max="11" width="24.85546875" customWidth="1"/>
    <col min="12" max="12" width="25" customWidth="1"/>
    <col min="13" max="13" width="14.140625" customWidth="1"/>
  </cols>
  <sheetData>
    <row r="1" spans="1:16" ht="12.75">
      <c r="A1" s="193" t="s">
        <v>12</v>
      </c>
      <c r="B1" s="186"/>
      <c r="C1" s="186"/>
      <c r="D1" s="186"/>
      <c r="E1" s="186"/>
      <c r="F1" s="186"/>
      <c r="G1" s="186"/>
      <c r="H1" s="186"/>
      <c r="I1" s="186"/>
      <c r="J1" s="186"/>
      <c r="K1" s="186"/>
      <c r="L1" s="186"/>
      <c r="M1" s="186"/>
      <c r="N1" s="186"/>
      <c r="O1" s="186"/>
      <c r="P1" s="187"/>
    </row>
    <row r="2" spans="1:16" ht="12.75">
      <c r="A2" s="188"/>
      <c r="B2" s="189"/>
      <c r="C2" s="189"/>
      <c r="D2" s="189"/>
      <c r="E2" s="189"/>
      <c r="F2" s="189"/>
      <c r="G2" s="189"/>
      <c r="H2" s="189"/>
      <c r="I2" s="189"/>
      <c r="J2" s="189"/>
      <c r="K2" s="189"/>
      <c r="L2" s="189"/>
      <c r="M2" s="189"/>
      <c r="N2" s="189"/>
      <c r="O2" s="189"/>
      <c r="P2" s="190"/>
    </row>
    <row r="3" spans="1:16" ht="12.75">
      <c r="A3" s="194" t="s">
        <v>102</v>
      </c>
      <c r="B3" s="186"/>
      <c r="C3" s="186"/>
      <c r="D3" s="186"/>
      <c r="E3" s="186"/>
      <c r="F3" s="187"/>
      <c r="K3" s="19"/>
      <c r="L3" s="19"/>
      <c r="M3" s="20"/>
      <c r="N3" s="20"/>
      <c r="O3" s="20"/>
      <c r="P3" s="20"/>
    </row>
    <row r="4" spans="1:16" ht="12.75">
      <c r="A4" s="194" t="s">
        <v>103</v>
      </c>
      <c r="B4" s="186"/>
      <c r="C4" s="186"/>
      <c r="D4" s="186"/>
      <c r="E4" s="186"/>
      <c r="F4" s="187"/>
      <c r="K4" s="19"/>
      <c r="L4" s="19"/>
      <c r="M4" s="18"/>
      <c r="N4" s="20"/>
      <c r="O4" s="20"/>
      <c r="P4" s="20"/>
    </row>
    <row r="5" spans="1:16" ht="12.75">
      <c r="A5" s="207" t="s">
        <v>104</v>
      </c>
      <c r="B5" s="186"/>
      <c r="C5" s="186"/>
      <c r="D5" s="186"/>
      <c r="E5" s="186"/>
      <c r="F5" s="187"/>
      <c r="K5" s="20"/>
      <c r="L5" s="20"/>
      <c r="M5" s="20"/>
      <c r="N5" s="20"/>
      <c r="O5" s="20"/>
      <c r="P5" s="20"/>
    </row>
    <row r="6" spans="1:16" ht="15" customHeight="1">
      <c r="A6" s="206" t="s">
        <v>105</v>
      </c>
      <c r="B6" s="197"/>
      <c r="C6" s="197"/>
      <c r="D6" s="197"/>
      <c r="E6" s="197"/>
      <c r="F6" s="198"/>
      <c r="K6" s="20"/>
      <c r="L6" s="20"/>
      <c r="M6" s="20"/>
      <c r="N6" s="20"/>
      <c r="O6" s="20"/>
      <c r="P6" s="20"/>
    </row>
    <row r="7" spans="1:16" ht="15" customHeight="1">
      <c r="A7" s="206" t="s">
        <v>106</v>
      </c>
      <c r="B7" s="197"/>
      <c r="C7" s="197"/>
      <c r="D7" s="197"/>
      <c r="E7" s="197"/>
      <c r="F7" s="198"/>
      <c r="K7" s="20"/>
      <c r="L7" s="20"/>
      <c r="M7" s="20"/>
      <c r="N7" s="20"/>
      <c r="O7" s="20"/>
      <c r="P7" s="20"/>
    </row>
    <row r="8" spans="1:16" ht="15" customHeight="1">
      <c r="A8" s="206" t="s">
        <v>107</v>
      </c>
      <c r="B8" s="197"/>
      <c r="C8" s="197"/>
      <c r="D8" s="197"/>
      <c r="E8" s="197"/>
      <c r="F8" s="198"/>
      <c r="K8" s="20"/>
      <c r="L8" s="20"/>
      <c r="M8" s="20"/>
      <c r="N8" s="20"/>
      <c r="O8" s="20"/>
      <c r="P8" s="20"/>
    </row>
    <row r="9" spans="1:16" ht="15" customHeight="1">
      <c r="A9" s="206" t="s">
        <v>108</v>
      </c>
      <c r="B9" s="197"/>
      <c r="C9" s="197"/>
      <c r="D9" s="197"/>
      <c r="E9" s="197"/>
      <c r="F9" s="198"/>
      <c r="K9" s="20"/>
      <c r="L9" s="20"/>
      <c r="M9" s="20"/>
      <c r="N9" s="20"/>
      <c r="O9" s="20"/>
      <c r="P9" s="20"/>
    </row>
    <row r="10" spans="1:16" ht="15" customHeight="1">
      <c r="A10" s="206" t="s">
        <v>109</v>
      </c>
      <c r="B10" s="197"/>
      <c r="C10" s="197"/>
      <c r="D10" s="197"/>
      <c r="E10" s="197"/>
      <c r="F10" s="198"/>
      <c r="K10" s="20"/>
      <c r="L10" s="20"/>
      <c r="M10" s="20"/>
      <c r="N10" s="20"/>
      <c r="O10" s="20"/>
      <c r="P10" s="20"/>
    </row>
    <row r="11" spans="1:16" ht="15" customHeight="1">
      <c r="A11" s="206" t="s">
        <v>110</v>
      </c>
      <c r="B11" s="197"/>
      <c r="C11" s="197"/>
      <c r="D11" s="197"/>
      <c r="E11" s="197"/>
      <c r="F11" s="198"/>
      <c r="K11" s="20"/>
      <c r="L11" s="20"/>
      <c r="M11" s="20"/>
      <c r="N11" s="20"/>
      <c r="O11" s="20"/>
      <c r="P11" s="20"/>
    </row>
    <row r="12" spans="1:16" ht="15" customHeight="1">
      <c r="A12" s="206" t="s">
        <v>111</v>
      </c>
      <c r="B12" s="197"/>
      <c r="C12" s="197"/>
      <c r="D12" s="197"/>
      <c r="E12" s="197"/>
      <c r="F12" s="198"/>
      <c r="K12" s="20"/>
      <c r="L12" s="20"/>
      <c r="M12" s="20"/>
      <c r="N12" s="20"/>
      <c r="O12" s="20"/>
      <c r="P12" s="20"/>
    </row>
    <row r="13" spans="1:16" ht="15" customHeight="1">
      <c r="A13" s="206" t="s">
        <v>112</v>
      </c>
      <c r="B13" s="197"/>
      <c r="C13" s="197"/>
      <c r="D13" s="197"/>
      <c r="E13" s="197"/>
      <c r="F13" s="198"/>
      <c r="K13" s="20"/>
      <c r="L13" s="20"/>
      <c r="M13" s="20"/>
      <c r="N13" s="20"/>
      <c r="O13" s="20"/>
      <c r="P13" s="20"/>
    </row>
    <row r="14" spans="1:16" ht="15" customHeight="1">
      <c r="A14" s="206" t="s">
        <v>113</v>
      </c>
      <c r="B14" s="197"/>
      <c r="C14" s="197"/>
      <c r="D14" s="197"/>
      <c r="E14" s="197"/>
      <c r="F14" s="198"/>
      <c r="K14" s="20"/>
      <c r="L14" s="20"/>
      <c r="M14" s="20"/>
      <c r="N14" s="20"/>
      <c r="O14" s="20"/>
      <c r="P14" s="20"/>
    </row>
    <row r="15" spans="1:16" ht="15" customHeight="1">
      <c r="A15" s="63" t="s">
        <v>114</v>
      </c>
      <c r="B15" s="64"/>
      <c r="C15" s="64"/>
      <c r="D15" s="64"/>
      <c r="E15" s="64"/>
      <c r="F15" s="65"/>
      <c r="K15" s="20"/>
      <c r="L15" s="20"/>
      <c r="M15" s="20"/>
      <c r="N15" s="20"/>
      <c r="O15" s="20"/>
      <c r="P15" s="20"/>
    </row>
    <row r="16" spans="1:16" ht="15" customHeight="1">
      <c r="A16" s="21" t="s">
        <v>37</v>
      </c>
      <c r="B16" s="22"/>
      <c r="C16" s="22"/>
      <c r="D16" s="22"/>
      <c r="E16" s="22"/>
      <c r="F16" s="23"/>
      <c r="K16" s="20"/>
      <c r="L16" s="20"/>
      <c r="M16" s="20"/>
      <c r="N16" s="20"/>
      <c r="O16" s="20"/>
      <c r="P16" s="20"/>
    </row>
    <row r="17" spans="1:16" ht="15" customHeight="1">
      <c r="A17" s="13" t="s">
        <v>38</v>
      </c>
      <c r="B17" s="13" t="s">
        <v>115</v>
      </c>
      <c r="C17" s="13" t="s">
        <v>116</v>
      </c>
      <c r="D17" s="13" t="s">
        <v>41</v>
      </c>
      <c r="E17" s="66" t="s">
        <v>42</v>
      </c>
      <c r="F17" s="66" t="s">
        <v>43</v>
      </c>
      <c r="G17" s="66" t="s">
        <v>44</v>
      </c>
      <c r="H17" s="66" t="s">
        <v>45</v>
      </c>
      <c r="I17" s="66" t="s">
        <v>46</v>
      </c>
      <c r="J17" s="66" t="s">
        <v>47</v>
      </c>
      <c r="K17" s="13" t="s">
        <v>48</v>
      </c>
      <c r="L17" s="13" t="s">
        <v>49</v>
      </c>
      <c r="M17" s="13" t="s">
        <v>50</v>
      </c>
      <c r="N17" s="13" t="s">
        <v>51</v>
      </c>
      <c r="O17" s="13" t="s">
        <v>52</v>
      </c>
      <c r="P17" s="13" t="s">
        <v>53</v>
      </c>
    </row>
    <row r="18" spans="1:16" ht="63.75">
      <c r="A18" s="67"/>
      <c r="B18" s="68" t="s">
        <v>117</v>
      </c>
      <c r="C18" s="69" t="s">
        <v>118</v>
      </c>
      <c r="D18" s="68" t="s">
        <v>119</v>
      </c>
      <c r="E18" s="68" t="s">
        <v>120</v>
      </c>
      <c r="F18" s="68" t="s">
        <v>121</v>
      </c>
      <c r="G18" s="69" t="s">
        <v>122</v>
      </c>
      <c r="H18" s="68" t="s">
        <v>123</v>
      </c>
      <c r="I18" s="68" t="s">
        <v>124</v>
      </c>
      <c r="J18" s="68" t="s">
        <v>125</v>
      </c>
      <c r="K18" s="68" t="s">
        <v>126</v>
      </c>
      <c r="L18" s="68" t="s">
        <v>127</v>
      </c>
      <c r="M18" s="69" t="s">
        <v>128</v>
      </c>
      <c r="N18" s="68" t="s">
        <v>129</v>
      </c>
      <c r="O18" s="68" t="s">
        <v>130</v>
      </c>
      <c r="P18" s="68" t="s">
        <v>131</v>
      </c>
    </row>
    <row r="19" spans="1:16" ht="102">
      <c r="A19" s="70">
        <v>1</v>
      </c>
      <c r="B19" s="71" t="s">
        <v>132</v>
      </c>
      <c r="C19" s="71" t="s">
        <v>133</v>
      </c>
      <c r="D19" s="71" t="s">
        <v>134</v>
      </c>
      <c r="E19" s="71" t="s">
        <v>135</v>
      </c>
      <c r="F19" s="71" t="s">
        <v>136</v>
      </c>
      <c r="G19" s="71" t="s">
        <v>137</v>
      </c>
      <c r="H19" s="71" t="s">
        <v>138</v>
      </c>
      <c r="I19" s="71" t="s">
        <v>139</v>
      </c>
      <c r="J19" s="71" t="s">
        <v>140</v>
      </c>
      <c r="K19" s="72">
        <v>0.2</v>
      </c>
      <c r="L19" s="71" t="s">
        <v>141</v>
      </c>
      <c r="M19" s="73">
        <v>9</v>
      </c>
      <c r="N19" s="73">
        <v>9</v>
      </c>
      <c r="O19" s="73">
        <v>10</v>
      </c>
      <c r="P19" s="74">
        <f>AVERAGE(M19:O19)</f>
        <v>9.3333333333333339</v>
      </c>
    </row>
    <row r="20" spans="1:16" ht="63.75">
      <c r="A20" s="75"/>
      <c r="B20" s="79" t="s">
        <v>361</v>
      </c>
      <c r="C20" s="79" t="s">
        <v>365</v>
      </c>
      <c r="D20" s="79" t="s">
        <v>368</v>
      </c>
      <c r="E20" s="79" t="s">
        <v>370</v>
      </c>
      <c r="F20" s="79" t="s">
        <v>372</v>
      </c>
      <c r="G20" s="79" t="s">
        <v>376</v>
      </c>
      <c r="H20" s="79" t="s">
        <v>378</v>
      </c>
      <c r="I20" s="79" t="s">
        <v>381</v>
      </c>
      <c r="J20" s="79" t="s">
        <v>385</v>
      </c>
      <c r="K20" s="76">
        <v>0.3</v>
      </c>
      <c r="L20" s="79" t="s">
        <v>386</v>
      </c>
      <c r="M20" s="77">
        <v>9</v>
      </c>
      <c r="N20" s="77">
        <v>8</v>
      </c>
      <c r="O20" s="77">
        <v>10</v>
      </c>
      <c r="P20" s="78">
        <f>AVERAGE(M20:O20)</f>
        <v>9</v>
      </c>
    </row>
    <row r="21" spans="1:16" ht="63.75">
      <c r="A21" s="75"/>
      <c r="B21" s="79" t="s">
        <v>362</v>
      </c>
      <c r="C21" s="79" t="s">
        <v>366</v>
      </c>
      <c r="D21" s="79" t="s">
        <v>369</v>
      </c>
      <c r="E21" s="79" t="s">
        <v>373</v>
      </c>
      <c r="F21" s="79" t="s">
        <v>374</v>
      </c>
      <c r="G21" s="79" t="s">
        <v>376</v>
      </c>
      <c r="H21" s="79" t="s">
        <v>379</v>
      </c>
      <c r="I21" s="79" t="s">
        <v>383</v>
      </c>
      <c r="J21" s="79" t="s">
        <v>140</v>
      </c>
      <c r="K21" s="76">
        <v>0.35</v>
      </c>
      <c r="L21" s="79" t="s">
        <v>386</v>
      </c>
      <c r="M21" s="77">
        <v>8</v>
      </c>
      <c r="N21" s="77">
        <v>9</v>
      </c>
      <c r="O21" s="77">
        <v>8</v>
      </c>
      <c r="P21" s="78">
        <f>AVERAGE(M21:O21)</f>
        <v>8.3333333333333339</v>
      </c>
    </row>
    <row r="22" spans="1:16" ht="102">
      <c r="A22" s="75"/>
      <c r="B22" s="79" t="s">
        <v>359</v>
      </c>
      <c r="C22" s="79" t="s">
        <v>367</v>
      </c>
      <c r="D22" s="79" t="s">
        <v>441</v>
      </c>
      <c r="E22" s="170" t="s">
        <v>371</v>
      </c>
      <c r="F22" s="79" t="s">
        <v>375</v>
      </c>
      <c r="G22" s="79" t="s">
        <v>377</v>
      </c>
      <c r="H22" s="79" t="s">
        <v>380</v>
      </c>
      <c r="I22" s="79" t="s">
        <v>382</v>
      </c>
      <c r="J22" s="79" t="s">
        <v>384</v>
      </c>
      <c r="K22" s="76">
        <v>0.2</v>
      </c>
      <c r="L22" s="79" t="s">
        <v>386</v>
      </c>
      <c r="M22" s="77">
        <v>8</v>
      </c>
      <c r="N22" s="77">
        <v>7</v>
      </c>
      <c r="O22" s="77">
        <v>10</v>
      </c>
      <c r="P22" s="78">
        <f>AVERAGE(M22:O22)</f>
        <v>8.3333333333333339</v>
      </c>
    </row>
    <row r="23" spans="1:16" ht="89.25">
      <c r="A23" s="75"/>
      <c r="B23" s="79" t="s">
        <v>364</v>
      </c>
      <c r="C23" s="79" t="s">
        <v>440</v>
      </c>
      <c r="D23" s="79" t="s">
        <v>442</v>
      </c>
      <c r="E23" s="79" t="s">
        <v>444</v>
      </c>
      <c r="F23" s="79" t="s">
        <v>443</v>
      </c>
      <c r="G23" s="79" t="s">
        <v>376</v>
      </c>
      <c r="H23" s="79" t="s">
        <v>379</v>
      </c>
      <c r="I23" s="79" t="s">
        <v>445</v>
      </c>
      <c r="J23" s="79" t="s">
        <v>385</v>
      </c>
      <c r="K23" s="76">
        <v>0.25</v>
      </c>
      <c r="L23" s="79" t="s">
        <v>386</v>
      </c>
      <c r="M23" s="77">
        <v>9</v>
      </c>
      <c r="N23" s="77">
        <v>8</v>
      </c>
      <c r="O23" s="77">
        <v>10</v>
      </c>
      <c r="P23" s="78">
        <f>AVERAGE(M23:O23)</f>
        <v>9</v>
      </c>
    </row>
  </sheetData>
  <mergeCells count="13">
    <mergeCell ref="A14:F14"/>
    <mergeCell ref="A1:P2"/>
    <mergeCell ref="A3:F3"/>
    <mergeCell ref="A4:F4"/>
    <mergeCell ref="A5:F5"/>
    <mergeCell ref="A6:F6"/>
    <mergeCell ref="A7:F7"/>
    <mergeCell ref="A8:F8"/>
    <mergeCell ref="A9:F9"/>
    <mergeCell ref="A10:F10"/>
    <mergeCell ref="A11:F11"/>
    <mergeCell ref="A12:F12"/>
    <mergeCell ref="A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4"/>
  <sheetViews>
    <sheetView showGridLines="0" topLeftCell="A4" workbookViewId="0">
      <selection activeCell="B34" sqref="B34"/>
    </sheetView>
  </sheetViews>
  <sheetFormatPr defaultColWidth="12.5703125" defaultRowHeight="15.75" customHeight="1"/>
  <cols>
    <col min="1" max="1" width="11.5703125" customWidth="1"/>
    <col min="2" max="2" width="78.140625" customWidth="1"/>
  </cols>
  <sheetData>
    <row r="1" spans="1:2" ht="37.5">
      <c r="A1" s="208" t="s">
        <v>15</v>
      </c>
      <c r="B1" s="182"/>
    </row>
    <row r="2" spans="1:2" ht="44.25" customHeight="1">
      <c r="A2" s="209" t="s">
        <v>142</v>
      </c>
      <c r="B2" s="182"/>
    </row>
    <row r="3" spans="1:2" ht="77.25" customHeight="1">
      <c r="A3" s="210" t="s">
        <v>143</v>
      </c>
      <c r="B3" s="182"/>
    </row>
    <row r="4" spans="1:2" ht="66" customHeight="1">
      <c r="A4" s="210" t="s">
        <v>144</v>
      </c>
      <c r="B4" s="182"/>
    </row>
    <row r="5" spans="1:2" ht="43.5" customHeight="1">
      <c r="A5" s="207" t="s">
        <v>145</v>
      </c>
      <c r="B5" s="187"/>
    </row>
    <row r="6" spans="1:2" ht="21.75" customHeight="1">
      <c r="A6" s="213" t="str">
        <f>HYPERLINK("https://slack.com/get-started#/ ","Instructions: Signup for Slack at https://slack.com/get-started#/")</f>
        <v>Instructions: Signup for Slack at https://slack.com/get-started#/</v>
      </c>
      <c r="B6" s="187"/>
    </row>
    <row r="7" spans="1:2" ht="12.75">
      <c r="A7" s="214" t="s">
        <v>146</v>
      </c>
      <c r="B7" s="182"/>
    </row>
    <row r="8" spans="1:2" ht="12.75">
      <c r="A8" s="215" t="s">
        <v>147</v>
      </c>
      <c r="B8" s="198"/>
    </row>
    <row r="9" spans="1:2" ht="12.75">
      <c r="A9" s="210" t="s">
        <v>148</v>
      </c>
      <c r="B9" s="182"/>
    </row>
    <row r="10" spans="1:2" ht="12.75">
      <c r="A10" s="210" t="s">
        <v>149</v>
      </c>
      <c r="B10" s="182"/>
    </row>
    <row r="11" spans="1:2" ht="12.75">
      <c r="A11" s="210" t="s">
        <v>150</v>
      </c>
      <c r="B11" s="182"/>
    </row>
    <row r="12" spans="1:2" ht="12.75">
      <c r="A12" s="216" t="s">
        <v>151</v>
      </c>
      <c r="B12" s="198"/>
    </row>
    <row r="13" spans="1:2" ht="12.75">
      <c r="A13" s="216" t="s">
        <v>152</v>
      </c>
      <c r="B13" s="198"/>
    </row>
    <row r="14" spans="1:2" ht="12.75">
      <c r="A14" s="216" t="s">
        <v>153</v>
      </c>
      <c r="B14" s="198"/>
    </row>
    <row r="15" spans="1:2" ht="12.75">
      <c r="A15" s="13" t="s">
        <v>38</v>
      </c>
      <c r="B15" s="13" t="s">
        <v>115</v>
      </c>
    </row>
    <row r="16" spans="1:2" ht="12.75">
      <c r="A16" s="174" t="s">
        <v>37</v>
      </c>
      <c r="B16" s="176"/>
    </row>
    <row r="17" spans="1:2" ht="12.75">
      <c r="A17" s="211" t="s">
        <v>154</v>
      </c>
      <c r="B17" s="212"/>
    </row>
    <row r="18" spans="1:2" ht="12.75">
      <c r="A18" s="172">
        <v>1</v>
      </c>
      <c r="B18" s="175" t="s">
        <v>155</v>
      </c>
    </row>
    <row r="19" spans="1:2" ht="12.75">
      <c r="A19" s="172">
        <v>2</v>
      </c>
      <c r="B19" s="171" t="s">
        <v>397</v>
      </c>
    </row>
    <row r="20" spans="1:2" ht="12.75">
      <c r="A20" s="172">
        <v>3</v>
      </c>
      <c r="B20" s="171" t="s">
        <v>396</v>
      </c>
    </row>
    <row r="21" spans="1:2" ht="12.75">
      <c r="A21" s="172">
        <v>4</v>
      </c>
      <c r="B21" s="171" t="s">
        <v>387</v>
      </c>
    </row>
    <row r="22" spans="1:2" ht="12.75">
      <c r="A22" s="172">
        <v>5</v>
      </c>
      <c r="B22" s="173" t="s">
        <v>388</v>
      </c>
    </row>
    <row r="23" spans="1:2" ht="12.75">
      <c r="A23" s="211" t="s">
        <v>156</v>
      </c>
      <c r="B23" s="212"/>
    </row>
    <row r="24" spans="1:2" ht="12.75">
      <c r="A24" s="172">
        <v>1</v>
      </c>
      <c r="B24" s="175" t="s">
        <v>157</v>
      </c>
    </row>
    <row r="25" spans="1:2" ht="12.75">
      <c r="A25" s="172">
        <v>2</v>
      </c>
      <c r="B25" s="171" t="s">
        <v>389</v>
      </c>
    </row>
    <row r="26" spans="1:2" ht="12.75">
      <c r="A26" s="172">
        <v>3</v>
      </c>
      <c r="B26" s="171" t="s">
        <v>390</v>
      </c>
    </row>
    <row r="27" spans="1:2" ht="12.75">
      <c r="A27" s="172">
        <v>4</v>
      </c>
      <c r="B27" s="171" t="s">
        <v>391</v>
      </c>
    </row>
    <row r="28" spans="1:2" ht="12.75">
      <c r="A28" s="172">
        <v>5</v>
      </c>
      <c r="B28" s="173" t="s">
        <v>392</v>
      </c>
    </row>
    <row r="29" spans="1:2" ht="12.75">
      <c r="A29" s="211" t="s">
        <v>158</v>
      </c>
      <c r="B29" s="212"/>
    </row>
    <row r="30" spans="1:2" ht="12.75">
      <c r="A30" s="172">
        <v>1</v>
      </c>
      <c r="B30" s="175" t="s">
        <v>159</v>
      </c>
    </row>
    <row r="31" spans="1:2" ht="12.75">
      <c r="A31" s="172">
        <v>2</v>
      </c>
      <c r="B31" s="171" t="s">
        <v>393</v>
      </c>
    </row>
    <row r="32" spans="1:2" ht="12.75">
      <c r="A32" s="172">
        <v>3</v>
      </c>
      <c r="B32" s="171" t="s">
        <v>394</v>
      </c>
    </row>
    <row r="33" spans="1:2" ht="12.75">
      <c r="A33" s="172">
        <v>4</v>
      </c>
      <c r="B33" s="171" t="s">
        <v>398</v>
      </c>
    </row>
    <row r="34" spans="1:2" ht="12.75">
      <c r="A34" s="172">
        <v>5</v>
      </c>
      <c r="B34" s="171" t="s">
        <v>395</v>
      </c>
    </row>
  </sheetData>
  <mergeCells count="17">
    <mergeCell ref="A17:B17"/>
    <mergeCell ref="A23:B23"/>
    <mergeCell ref="A29:B29"/>
    <mergeCell ref="A6:B6"/>
    <mergeCell ref="A7:B7"/>
    <mergeCell ref="A8:B8"/>
    <mergeCell ref="A9:B9"/>
    <mergeCell ref="A10:B10"/>
    <mergeCell ref="A11:B11"/>
    <mergeCell ref="A12:B12"/>
    <mergeCell ref="A13:B13"/>
    <mergeCell ref="A14:B14"/>
    <mergeCell ref="A1:B1"/>
    <mergeCell ref="A2:B2"/>
    <mergeCell ref="A3:B3"/>
    <mergeCell ref="A4:B4"/>
    <mergeCell ref="A5:B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65"/>
  <sheetViews>
    <sheetView showGridLines="0" topLeftCell="C8" zoomScale="85" zoomScaleNormal="85" workbookViewId="0">
      <selection activeCell="O63" sqref="O63"/>
    </sheetView>
  </sheetViews>
  <sheetFormatPr defaultColWidth="12.5703125" defaultRowHeight="15.75" customHeight="1"/>
  <cols>
    <col min="1" max="1" width="10.28515625" customWidth="1"/>
    <col min="2" max="2" width="14.85546875" customWidth="1"/>
    <col min="3" max="4" width="15" customWidth="1"/>
    <col min="5" max="5" width="10.28515625" customWidth="1"/>
    <col min="18" max="18" width="14.5703125" customWidth="1"/>
    <col min="19" max="19" width="17.42578125" customWidth="1"/>
  </cols>
  <sheetData>
    <row r="1" spans="1:19" ht="15.75" customHeight="1">
      <c r="A1" s="217" t="s">
        <v>17</v>
      </c>
      <c r="B1" s="181"/>
      <c r="C1" s="181"/>
      <c r="D1" s="181"/>
      <c r="E1" s="181"/>
      <c r="F1" s="181"/>
      <c r="G1" s="181"/>
      <c r="H1" s="181"/>
      <c r="I1" s="181"/>
      <c r="J1" s="181"/>
      <c r="K1" s="181"/>
      <c r="L1" s="181"/>
      <c r="M1" s="181"/>
      <c r="N1" s="181"/>
      <c r="O1" s="181"/>
      <c r="P1" s="181"/>
      <c r="Q1" s="181"/>
      <c r="R1" s="181"/>
      <c r="S1" s="182"/>
    </row>
    <row r="2" spans="1:19" ht="12.75">
      <c r="A2" s="209" t="s">
        <v>160</v>
      </c>
      <c r="B2" s="181"/>
      <c r="C2" s="181"/>
      <c r="D2" s="181"/>
      <c r="E2" s="181"/>
      <c r="F2" s="181"/>
      <c r="G2" s="181"/>
      <c r="H2" s="181"/>
      <c r="I2" s="182"/>
      <c r="J2" s="81"/>
      <c r="K2" s="81"/>
      <c r="L2" s="81"/>
      <c r="M2" s="81"/>
      <c r="N2" s="81"/>
      <c r="O2" s="82"/>
      <c r="Q2" s="83"/>
      <c r="R2" s="83"/>
    </row>
    <row r="3" spans="1:19" ht="12.75">
      <c r="A3" s="210" t="s">
        <v>161</v>
      </c>
      <c r="B3" s="181"/>
      <c r="C3" s="181"/>
      <c r="D3" s="181"/>
      <c r="E3" s="181"/>
      <c r="F3" s="181"/>
      <c r="G3" s="181"/>
      <c r="H3" s="181"/>
      <c r="I3" s="182"/>
      <c r="J3" s="81"/>
      <c r="K3" s="81"/>
      <c r="L3" s="81"/>
      <c r="M3" s="81"/>
      <c r="N3" s="81"/>
      <c r="O3" s="82"/>
      <c r="Q3" s="83"/>
      <c r="R3" s="83"/>
    </row>
    <row r="4" spans="1:19" ht="12.75">
      <c r="A4" s="192" t="s">
        <v>162</v>
      </c>
      <c r="B4" s="189"/>
      <c r="C4" s="189"/>
      <c r="D4" s="189"/>
      <c r="E4" s="189"/>
      <c r="F4" s="189"/>
      <c r="G4" s="189"/>
      <c r="H4" s="189"/>
      <c r="I4" s="190"/>
      <c r="J4" s="81"/>
      <c r="K4" s="81"/>
      <c r="L4" s="81"/>
      <c r="M4" s="81"/>
      <c r="N4" s="81"/>
      <c r="O4" s="82"/>
      <c r="Q4" s="83"/>
      <c r="R4" s="83"/>
    </row>
    <row r="5" spans="1:19" ht="12.75">
      <c r="A5" s="192" t="s">
        <v>163</v>
      </c>
      <c r="B5" s="189"/>
      <c r="C5" s="189"/>
      <c r="D5" s="189"/>
      <c r="E5" s="189"/>
      <c r="F5" s="189"/>
      <c r="G5" s="189"/>
      <c r="H5" s="189"/>
      <c r="I5" s="190"/>
      <c r="J5" s="81"/>
      <c r="K5" s="81"/>
      <c r="L5" s="81"/>
      <c r="M5" s="81"/>
      <c r="N5" s="81"/>
      <c r="O5" s="82"/>
      <c r="Q5" s="83"/>
      <c r="R5" s="83"/>
    </row>
    <row r="6" spans="1:19" ht="12.75">
      <c r="A6" s="202" t="s">
        <v>164</v>
      </c>
      <c r="B6" s="189"/>
      <c r="C6" s="189"/>
      <c r="D6" s="189"/>
      <c r="E6" s="189"/>
      <c r="F6" s="189"/>
      <c r="G6" s="189"/>
      <c r="H6" s="189"/>
      <c r="I6" s="190"/>
      <c r="J6" s="81"/>
      <c r="K6" s="81"/>
      <c r="L6" s="81"/>
      <c r="M6" s="81"/>
      <c r="N6" s="81"/>
      <c r="O6" s="82"/>
      <c r="Q6" s="83"/>
      <c r="R6" s="83"/>
    </row>
    <row r="7" spans="1:19" ht="12.75">
      <c r="A7" s="218" t="s">
        <v>165</v>
      </c>
      <c r="B7" s="186"/>
      <c r="C7" s="186"/>
      <c r="D7" s="186"/>
      <c r="E7" s="186"/>
      <c r="F7" s="186"/>
      <c r="G7" s="186"/>
      <c r="H7" s="186"/>
      <c r="I7" s="187"/>
      <c r="J7" s="84"/>
      <c r="K7" s="84"/>
      <c r="L7" s="84"/>
      <c r="M7" s="84"/>
      <c r="N7" s="84"/>
      <c r="O7" s="82"/>
      <c r="Q7" s="83"/>
      <c r="R7" s="83"/>
    </row>
    <row r="8" spans="1:19" ht="12.75">
      <c r="A8" s="223" t="s">
        <v>166</v>
      </c>
      <c r="B8" s="197"/>
      <c r="C8" s="197"/>
      <c r="D8" s="197"/>
      <c r="E8" s="197"/>
      <c r="F8" s="197"/>
      <c r="G8" s="197"/>
      <c r="H8" s="197"/>
      <c r="I8" s="198"/>
      <c r="J8" s="84"/>
      <c r="K8" s="84"/>
      <c r="L8" s="84"/>
      <c r="M8" s="84"/>
      <c r="N8" s="84"/>
      <c r="O8" s="82"/>
      <c r="Q8" s="83"/>
      <c r="R8" s="83"/>
    </row>
    <row r="9" spans="1:19" ht="12.75">
      <c r="A9" s="223" t="s">
        <v>167</v>
      </c>
      <c r="B9" s="197"/>
      <c r="C9" s="197"/>
      <c r="D9" s="197"/>
      <c r="E9" s="197"/>
      <c r="F9" s="197"/>
      <c r="G9" s="197"/>
      <c r="H9" s="197"/>
      <c r="I9" s="198"/>
      <c r="J9" s="84"/>
      <c r="K9" s="84"/>
      <c r="L9" s="84"/>
      <c r="M9" s="84"/>
      <c r="N9" s="84"/>
      <c r="O9" s="82"/>
      <c r="Q9" s="83"/>
      <c r="R9" s="83"/>
    </row>
    <row r="10" spans="1:19" ht="12.75">
      <c r="A10" s="223" t="s">
        <v>168</v>
      </c>
      <c r="B10" s="197"/>
      <c r="C10" s="197"/>
      <c r="D10" s="197"/>
      <c r="E10" s="197"/>
      <c r="F10" s="197"/>
      <c r="G10" s="197"/>
      <c r="H10" s="197"/>
      <c r="I10" s="198"/>
      <c r="J10" s="84"/>
      <c r="K10" s="84"/>
      <c r="L10" s="84"/>
      <c r="M10" s="84"/>
      <c r="N10" s="84"/>
      <c r="O10" s="82"/>
      <c r="Q10" s="83"/>
      <c r="R10" s="83"/>
    </row>
    <row r="11" spans="1:19" ht="12.75">
      <c r="A11" s="224" t="s">
        <v>169</v>
      </c>
      <c r="B11" s="189"/>
      <c r="C11" s="189"/>
      <c r="D11" s="189"/>
      <c r="E11" s="189"/>
      <c r="F11" s="189"/>
      <c r="G11" s="189"/>
      <c r="H11" s="189"/>
      <c r="I11" s="190"/>
      <c r="J11" s="84"/>
      <c r="K11" s="84"/>
      <c r="L11" s="84"/>
      <c r="M11" s="84"/>
      <c r="N11" s="84"/>
      <c r="O11" s="82"/>
      <c r="Q11" s="83"/>
      <c r="R11" s="83"/>
    </row>
    <row r="12" spans="1:19" ht="12.75">
      <c r="A12" s="225" t="s">
        <v>37</v>
      </c>
      <c r="B12" s="197"/>
      <c r="C12" s="197"/>
      <c r="D12" s="197"/>
      <c r="E12" s="197"/>
      <c r="F12" s="197"/>
      <c r="G12" s="197"/>
      <c r="H12" s="197"/>
      <c r="I12" s="197"/>
      <c r="J12" s="84"/>
      <c r="K12" s="84"/>
      <c r="L12" s="84"/>
      <c r="M12" s="84"/>
      <c r="N12" s="84"/>
      <c r="O12" s="82"/>
      <c r="Q12" s="83"/>
      <c r="R12" s="83"/>
    </row>
    <row r="13" spans="1:19" ht="12.75">
      <c r="A13" s="85"/>
      <c r="B13" s="85"/>
      <c r="C13" s="85"/>
      <c r="D13" s="85"/>
      <c r="E13" s="85"/>
      <c r="F13" s="85"/>
      <c r="G13" s="85"/>
      <c r="H13" s="85"/>
      <c r="I13" s="85"/>
      <c r="J13" s="85"/>
      <c r="K13" s="85"/>
      <c r="L13" s="85"/>
      <c r="M13" s="86"/>
      <c r="N13" s="86"/>
      <c r="O13" s="86"/>
      <c r="P13" s="87"/>
      <c r="Q13" s="88"/>
      <c r="R13" s="88"/>
      <c r="S13" s="87"/>
    </row>
    <row r="14" spans="1:19" ht="12.75">
      <c r="A14" s="222" t="s">
        <v>170</v>
      </c>
      <c r="B14" s="226"/>
      <c r="C14" s="226"/>
      <c r="D14" s="226"/>
      <c r="E14" s="226"/>
      <c r="F14" s="227"/>
      <c r="G14" s="89"/>
      <c r="H14" s="231"/>
      <c r="I14" s="186"/>
      <c r="J14" s="186"/>
      <c r="K14" s="187"/>
      <c r="L14" s="89"/>
      <c r="M14" s="82"/>
      <c r="N14" s="82"/>
      <c r="O14" s="82"/>
      <c r="Q14" s="83"/>
      <c r="R14" s="83"/>
    </row>
    <row r="15" spans="1:19" ht="12.75">
      <c r="A15" s="228" t="s">
        <v>171</v>
      </c>
      <c r="B15" s="229"/>
      <c r="C15" s="229"/>
      <c r="D15" s="229"/>
      <c r="E15" s="229"/>
      <c r="F15" s="230"/>
      <c r="G15" s="89"/>
      <c r="H15" s="232"/>
      <c r="I15" s="197"/>
      <c r="J15" s="197"/>
      <c r="K15" s="198"/>
      <c r="L15" s="89"/>
      <c r="M15" s="233" t="s">
        <v>400</v>
      </c>
      <c r="N15" s="186"/>
      <c r="O15" s="187"/>
      <c r="Q15" s="234" t="s">
        <v>172</v>
      </c>
      <c r="R15" s="187"/>
      <c r="S15" s="235" t="s">
        <v>87</v>
      </c>
    </row>
    <row r="16" spans="1:19" ht="12.75">
      <c r="A16" s="90" t="s">
        <v>173</v>
      </c>
      <c r="B16" s="219" t="s">
        <v>174</v>
      </c>
      <c r="C16" s="220"/>
      <c r="D16" s="220"/>
      <c r="E16" s="220"/>
      <c r="F16" s="221"/>
      <c r="G16" s="91"/>
      <c r="H16" s="232"/>
      <c r="I16" s="197"/>
      <c r="J16" s="197"/>
      <c r="K16" s="198"/>
      <c r="L16" s="91"/>
      <c r="M16" s="232"/>
      <c r="N16" s="197"/>
      <c r="O16" s="198"/>
      <c r="Q16" s="232"/>
      <c r="R16" s="198"/>
      <c r="S16" s="236"/>
    </row>
    <row r="17" spans="1:19" ht="38.25">
      <c r="A17" s="92" t="s">
        <v>175</v>
      </c>
      <c r="B17" s="93" t="s">
        <v>176</v>
      </c>
      <c r="C17" s="93" t="s">
        <v>177</v>
      </c>
      <c r="D17" s="93" t="s">
        <v>178</v>
      </c>
      <c r="E17" s="93" t="s">
        <v>179</v>
      </c>
      <c r="F17" s="93" t="s">
        <v>180</v>
      </c>
      <c r="G17" s="91"/>
      <c r="H17" s="232"/>
      <c r="I17" s="197"/>
      <c r="J17" s="197"/>
      <c r="K17" s="198"/>
      <c r="L17" s="91"/>
      <c r="M17" s="232"/>
      <c r="N17" s="197"/>
      <c r="O17" s="198"/>
      <c r="Q17" s="188"/>
      <c r="R17" s="190"/>
      <c r="S17" s="237"/>
    </row>
    <row r="18" spans="1:19" ht="14.25">
      <c r="A18" s="94">
        <v>100</v>
      </c>
      <c r="B18" s="95">
        <f>997-200</f>
        <v>797</v>
      </c>
      <c r="C18" s="95">
        <f>139+0</f>
        <v>139</v>
      </c>
      <c r="D18" s="96">
        <f>358</f>
        <v>358</v>
      </c>
      <c r="E18" s="97">
        <f t="shared" ref="E18:E24" si="0">B18+C18</f>
        <v>936</v>
      </c>
      <c r="F18" s="98">
        <v>0.38</v>
      </c>
      <c r="G18" s="99"/>
      <c r="H18" s="232"/>
      <c r="I18" s="197"/>
      <c r="J18" s="197"/>
      <c r="K18" s="198"/>
      <c r="L18" s="99"/>
      <c r="M18" s="232"/>
      <c r="N18" s="197"/>
      <c r="O18" s="198"/>
      <c r="Q18" s="100"/>
      <c r="R18" s="83"/>
      <c r="S18" s="101"/>
    </row>
    <row r="19" spans="1:19" ht="12.75">
      <c r="A19" s="102">
        <v>500</v>
      </c>
      <c r="B19" s="28">
        <f>620-200</f>
        <v>420</v>
      </c>
      <c r="C19" s="28">
        <v>146</v>
      </c>
      <c r="D19" s="28">
        <v>282</v>
      </c>
      <c r="E19" s="103">
        <f t="shared" si="0"/>
        <v>566</v>
      </c>
      <c r="F19" s="104">
        <f>D19/E19</f>
        <v>0.49823321554770317</v>
      </c>
      <c r="G19" s="105"/>
      <c r="H19" s="232"/>
      <c r="I19" s="197"/>
      <c r="J19" s="197"/>
      <c r="K19" s="198"/>
      <c r="L19" s="105"/>
      <c r="M19" s="232"/>
      <c r="N19" s="197"/>
      <c r="O19" s="198"/>
      <c r="Q19" s="245" t="s">
        <v>181</v>
      </c>
      <c r="R19" s="238" t="s">
        <v>402</v>
      </c>
      <c r="S19" s="239"/>
    </row>
    <row r="20" spans="1:19" ht="12.75">
      <c r="A20" s="94">
        <v>1000</v>
      </c>
      <c r="B20" s="95">
        <f>565-200</f>
        <v>365</v>
      </c>
      <c r="C20" s="95">
        <v>158</v>
      </c>
      <c r="D20" s="95">
        <v>249</v>
      </c>
      <c r="E20" s="97">
        <f t="shared" si="0"/>
        <v>523</v>
      </c>
      <c r="F20" s="104">
        <f t="shared" ref="F20:F24" si="1">D20/E20</f>
        <v>0.47609942638623326</v>
      </c>
      <c r="G20" s="105"/>
      <c r="H20" s="232"/>
      <c r="I20" s="197"/>
      <c r="J20" s="197"/>
      <c r="K20" s="198"/>
      <c r="L20" s="105"/>
      <c r="M20" s="232"/>
      <c r="N20" s="197"/>
      <c r="O20" s="198"/>
      <c r="Q20" s="236"/>
      <c r="R20" s="240"/>
      <c r="S20" s="241"/>
    </row>
    <row r="21" spans="1:19" ht="12.75">
      <c r="A21" s="102">
        <v>2000</v>
      </c>
      <c r="B21" s="28">
        <f>432-200</f>
        <v>232</v>
      </c>
      <c r="C21" s="28">
        <v>171</v>
      </c>
      <c r="D21" s="28">
        <v>222</v>
      </c>
      <c r="E21" s="103">
        <f t="shared" si="0"/>
        <v>403</v>
      </c>
      <c r="F21" s="104">
        <f t="shared" si="1"/>
        <v>0.5508684863523573</v>
      </c>
      <c r="G21" s="105"/>
      <c r="H21" s="232"/>
      <c r="I21" s="197"/>
      <c r="J21" s="197"/>
      <c r="K21" s="198"/>
      <c r="L21" s="105"/>
      <c r="M21" s="232"/>
      <c r="N21" s="197"/>
      <c r="O21" s="198"/>
      <c r="Q21" s="236"/>
      <c r="R21" s="240"/>
      <c r="S21" s="241"/>
    </row>
    <row r="22" spans="1:19" ht="12.75">
      <c r="A22" s="94">
        <v>5000</v>
      </c>
      <c r="B22" s="106">
        <v>185</v>
      </c>
      <c r="C22" s="106">
        <v>190</v>
      </c>
      <c r="D22" s="106">
        <v>210</v>
      </c>
      <c r="E22" s="97">
        <f t="shared" si="0"/>
        <v>375</v>
      </c>
      <c r="F22" s="104">
        <f t="shared" si="1"/>
        <v>0.56000000000000005</v>
      </c>
      <c r="G22" s="105"/>
      <c r="H22" s="232"/>
      <c r="I22" s="197"/>
      <c r="J22" s="197"/>
      <c r="K22" s="198"/>
      <c r="L22" s="105"/>
      <c r="M22" s="232"/>
      <c r="N22" s="197"/>
      <c r="O22" s="198"/>
      <c r="P22" s="107"/>
      <c r="Q22" s="236"/>
      <c r="R22" s="240"/>
      <c r="S22" s="241"/>
    </row>
    <row r="23" spans="1:19" ht="12.75">
      <c r="A23" s="102">
        <v>10000</v>
      </c>
      <c r="B23" s="108">
        <v>150</v>
      </c>
      <c r="C23" s="108">
        <v>200</v>
      </c>
      <c r="D23" s="108">
        <v>200</v>
      </c>
      <c r="E23" s="103">
        <f t="shared" si="0"/>
        <v>350</v>
      </c>
      <c r="F23" s="104">
        <f t="shared" si="1"/>
        <v>0.5714285714285714</v>
      </c>
      <c r="G23" s="105"/>
      <c r="H23" s="232"/>
      <c r="I23" s="197"/>
      <c r="J23" s="197"/>
      <c r="K23" s="198"/>
      <c r="L23" s="105"/>
      <c r="M23" s="232"/>
      <c r="N23" s="197"/>
      <c r="O23" s="198"/>
      <c r="P23" s="107"/>
      <c r="Q23" s="236"/>
      <c r="R23" s="240"/>
      <c r="S23" s="241"/>
    </row>
    <row r="24" spans="1:19" ht="12.75">
      <c r="A24" s="94">
        <v>20000</v>
      </c>
      <c r="B24" s="106">
        <v>120</v>
      </c>
      <c r="C24" s="106">
        <v>210</v>
      </c>
      <c r="D24" s="106">
        <v>190</v>
      </c>
      <c r="E24" s="97">
        <f t="shared" si="0"/>
        <v>330</v>
      </c>
      <c r="F24" s="104">
        <f t="shared" si="1"/>
        <v>0.5757575757575758</v>
      </c>
      <c r="G24" s="105"/>
      <c r="H24" s="188"/>
      <c r="I24" s="189"/>
      <c r="J24" s="189"/>
      <c r="K24" s="190"/>
      <c r="L24" s="105"/>
      <c r="M24" s="188"/>
      <c r="N24" s="189"/>
      <c r="O24" s="190"/>
      <c r="P24" s="107"/>
      <c r="Q24" s="237"/>
      <c r="R24" s="242"/>
      <c r="S24" s="243"/>
    </row>
    <row r="25" spans="1:19" ht="12.75">
      <c r="A25" s="85"/>
      <c r="B25" s="85"/>
      <c r="C25" s="85"/>
      <c r="D25" s="85"/>
      <c r="E25" s="85"/>
      <c r="F25" s="85"/>
      <c r="G25" s="85"/>
      <c r="H25" s="85"/>
      <c r="I25" s="85"/>
      <c r="J25" s="85"/>
      <c r="K25" s="85"/>
      <c r="L25" s="85"/>
      <c r="M25" s="86"/>
      <c r="N25" s="86"/>
      <c r="O25" s="86"/>
      <c r="P25" s="87"/>
      <c r="Q25" s="88"/>
      <c r="R25" s="88"/>
      <c r="S25" s="87"/>
    </row>
    <row r="26" spans="1:19" ht="12.75">
      <c r="A26" s="222" t="s">
        <v>182</v>
      </c>
      <c r="B26" s="181"/>
      <c r="C26" s="181"/>
      <c r="D26" s="181"/>
      <c r="E26" s="181"/>
      <c r="F26" s="182"/>
      <c r="H26" s="231"/>
      <c r="I26" s="186"/>
      <c r="J26" s="186"/>
      <c r="K26" s="187"/>
      <c r="M26" s="82"/>
      <c r="N26" s="82"/>
      <c r="O26" s="82"/>
      <c r="Q26" s="83"/>
      <c r="R26" s="83"/>
      <c r="S26" s="83"/>
    </row>
    <row r="27" spans="1:19" ht="12.75">
      <c r="A27" s="222" t="s">
        <v>183</v>
      </c>
      <c r="B27" s="181"/>
      <c r="C27" s="181"/>
      <c r="D27" s="181"/>
      <c r="E27" s="181"/>
      <c r="F27" s="182"/>
      <c r="H27" s="232"/>
      <c r="I27" s="197"/>
      <c r="J27" s="197"/>
      <c r="K27" s="198"/>
      <c r="M27" s="233" t="s">
        <v>399</v>
      </c>
      <c r="N27" s="186"/>
      <c r="O27" s="187"/>
      <c r="Q27" s="234" t="s">
        <v>172</v>
      </c>
      <c r="R27" s="187"/>
      <c r="S27" s="235" t="s">
        <v>87</v>
      </c>
    </row>
    <row r="28" spans="1:19" ht="12.75">
      <c r="A28" s="8" t="s">
        <v>184</v>
      </c>
      <c r="B28" s="222" t="s">
        <v>174</v>
      </c>
      <c r="C28" s="181"/>
      <c r="D28" s="181"/>
      <c r="E28" s="181"/>
      <c r="F28" s="182"/>
      <c r="G28" s="91"/>
      <c r="H28" s="232"/>
      <c r="I28" s="197"/>
      <c r="J28" s="197"/>
      <c r="K28" s="198"/>
      <c r="L28" s="91"/>
      <c r="M28" s="232"/>
      <c r="N28" s="197"/>
      <c r="O28" s="198"/>
      <c r="Q28" s="232"/>
      <c r="R28" s="198"/>
      <c r="S28" s="236"/>
    </row>
    <row r="29" spans="1:19" ht="38.25">
      <c r="A29" s="109" t="s">
        <v>185</v>
      </c>
      <c r="B29" s="110" t="s">
        <v>176</v>
      </c>
      <c r="C29" s="110" t="s">
        <v>177</v>
      </c>
      <c r="D29" s="110" t="s">
        <v>178</v>
      </c>
      <c r="E29" s="110" t="s">
        <v>179</v>
      </c>
      <c r="F29" s="110" t="s">
        <v>180</v>
      </c>
      <c r="H29" s="232"/>
      <c r="I29" s="197"/>
      <c r="J29" s="197"/>
      <c r="K29" s="198"/>
      <c r="M29" s="232"/>
      <c r="N29" s="197"/>
      <c r="O29" s="198"/>
      <c r="Q29" s="188"/>
      <c r="R29" s="190"/>
      <c r="S29" s="237"/>
    </row>
    <row r="30" spans="1:19" ht="14.25">
      <c r="A30" s="111" t="s">
        <v>186</v>
      </c>
      <c r="B30" s="38">
        <f>954+150</f>
        <v>1104</v>
      </c>
      <c r="C30" s="38">
        <f>192</f>
        <v>192</v>
      </c>
      <c r="D30" s="112">
        <f>303+150</f>
        <v>453</v>
      </c>
      <c r="E30" s="113">
        <f t="shared" ref="E30:E36" si="2">B30+C30</f>
        <v>1296</v>
      </c>
      <c r="F30" s="104">
        <f>D30/E30</f>
        <v>0.34953703703703703</v>
      </c>
      <c r="H30" s="232"/>
      <c r="I30" s="197"/>
      <c r="J30" s="197"/>
      <c r="K30" s="198"/>
      <c r="M30" s="232"/>
      <c r="N30" s="197"/>
      <c r="O30" s="198"/>
      <c r="Q30" s="100"/>
      <c r="R30" s="83"/>
      <c r="S30" s="101"/>
    </row>
    <row r="31" spans="1:19" ht="12.75">
      <c r="A31" s="111" t="s">
        <v>187</v>
      </c>
      <c r="B31" s="38">
        <f>540+150</f>
        <v>690</v>
      </c>
      <c r="C31" s="38">
        <f>223+150</f>
        <v>373</v>
      </c>
      <c r="D31" s="38">
        <f>277+150</f>
        <v>427</v>
      </c>
      <c r="E31" s="113">
        <f t="shared" si="2"/>
        <v>1063</v>
      </c>
      <c r="F31" s="104">
        <f t="shared" ref="F31:F36" si="3">D31/E31</f>
        <v>0.40169332079021636</v>
      </c>
      <c r="H31" s="232"/>
      <c r="I31" s="197"/>
      <c r="J31" s="197"/>
      <c r="K31" s="198"/>
      <c r="M31" s="232"/>
      <c r="N31" s="197"/>
      <c r="O31" s="198"/>
      <c r="Q31" s="245" t="s">
        <v>181</v>
      </c>
      <c r="R31" s="238" t="s">
        <v>403</v>
      </c>
      <c r="S31" s="239"/>
    </row>
    <row r="32" spans="1:19" ht="12.75">
      <c r="A32" s="111" t="s">
        <v>188</v>
      </c>
      <c r="B32" s="38">
        <f>402+150</f>
        <v>552</v>
      </c>
      <c r="C32" s="38">
        <f>238+120</f>
        <v>358</v>
      </c>
      <c r="D32" s="38">
        <f>262+150</f>
        <v>412</v>
      </c>
      <c r="E32" s="113">
        <f t="shared" si="2"/>
        <v>910</v>
      </c>
      <c r="F32" s="104">
        <f t="shared" si="3"/>
        <v>0.45274725274725275</v>
      </c>
      <c r="H32" s="232"/>
      <c r="I32" s="197"/>
      <c r="J32" s="197"/>
      <c r="K32" s="198"/>
      <c r="M32" s="232"/>
      <c r="N32" s="197"/>
      <c r="O32" s="198"/>
      <c r="Q32" s="236"/>
      <c r="R32" s="240"/>
      <c r="S32" s="241"/>
    </row>
    <row r="33" spans="1:19" ht="12.75">
      <c r="A33" s="111" t="s">
        <v>189</v>
      </c>
      <c r="B33" s="38">
        <f>310+150</f>
        <v>460</v>
      </c>
      <c r="C33" s="38">
        <f>272+100</f>
        <v>372</v>
      </c>
      <c r="D33" s="38">
        <f>228+150</f>
        <v>378</v>
      </c>
      <c r="E33" s="113">
        <f t="shared" si="2"/>
        <v>832</v>
      </c>
      <c r="F33" s="104">
        <f t="shared" si="3"/>
        <v>0.45432692307692307</v>
      </c>
      <c r="H33" s="232"/>
      <c r="I33" s="197"/>
      <c r="J33" s="197"/>
      <c r="K33" s="198"/>
      <c r="M33" s="232"/>
      <c r="N33" s="197"/>
      <c r="O33" s="198"/>
      <c r="Q33" s="236"/>
      <c r="R33" s="240"/>
      <c r="S33" s="241"/>
    </row>
    <row r="34" spans="1:19" ht="12.75">
      <c r="A34" s="111" t="s">
        <v>190</v>
      </c>
      <c r="B34" s="38">
        <f>278+150</f>
        <v>428</v>
      </c>
      <c r="C34" s="38">
        <f>291+100</f>
        <v>391</v>
      </c>
      <c r="D34" s="38">
        <f>209+150</f>
        <v>359</v>
      </c>
      <c r="E34" s="113">
        <f t="shared" si="2"/>
        <v>819</v>
      </c>
      <c r="F34" s="104">
        <f t="shared" si="3"/>
        <v>0.43833943833943834</v>
      </c>
      <c r="H34" s="232"/>
      <c r="I34" s="197"/>
      <c r="J34" s="197"/>
      <c r="K34" s="198"/>
      <c r="M34" s="232"/>
      <c r="N34" s="197"/>
      <c r="O34" s="198"/>
      <c r="P34" s="107"/>
      <c r="Q34" s="236"/>
      <c r="R34" s="240"/>
      <c r="S34" s="241"/>
    </row>
    <row r="35" spans="1:19" ht="12.75">
      <c r="A35" s="111" t="s">
        <v>191</v>
      </c>
      <c r="B35" s="38">
        <f>202+150</f>
        <v>352</v>
      </c>
      <c r="C35" s="38">
        <f>334</f>
        <v>334</v>
      </c>
      <c r="D35" s="38">
        <f>156+150</f>
        <v>306</v>
      </c>
      <c r="E35" s="113">
        <f t="shared" si="2"/>
        <v>686</v>
      </c>
      <c r="F35" s="104">
        <f t="shared" si="3"/>
        <v>0.44606413994169097</v>
      </c>
      <c r="H35" s="232"/>
      <c r="I35" s="197"/>
      <c r="J35" s="197"/>
      <c r="K35" s="198"/>
      <c r="M35" s="232"/>
      <c r="N35" s="197"/>
      <c r="O35" s="198"/>
      <c r="P35" s="107"/>
      <c r="Q35" s="236"/>
      <c r="R35" s="240"/>
      <c r="S35" s="241"/>
    </row>
    <row r="36" spans="1:19" ht="12.75">
      <c r="A36" s="111" t="s">
        <v>192</v>
      </c>
      <c r="B36" s="38">
        <f>160+150</f>
        <v>310</v>
      </c>
      <c r="C36" s="38">
        <f>363</f>
        <v>363</v>
      </c>
      <c r="D36" s="38">
        <f>137+150</f>
        <v>287</v>
      </c>
      <c r="E36" s="113">
        <f t="shared" si="2"/>
        <v>673</v>
      </c>
      <c r="F36" s="104">
        <f t="shared" si="3"/>
        <v>0.4264487369985141</v>
      </c>
      <c r="H36" s="188"/>
      <c r="I36" s="189"/>
      <c r="J36" s="189"/>
      <c r="K36" s="190"/>
      <c r="M36" s="188"/>
      <c r="N36" s="189"/>
      <c r="O36" s="190"/>
      <c r="P36" s="107"/>
      <c r="Q36" s="237"/>
      <c r="R36" s="242"/>
      <c r="S36" s="243"/>
    </row>
    <row r="37" spans="1:19" ht="12.75">
      <c r="A37" s="85"/>
      <c r="B37" s="85"/>
      <c r="C37" s="85"/>
      <c r="D37" s="85"/>
      <c r="E37" s="85"/>
      <c r="F37" s="85"/>
      <c r="G37" s="85"/>
      <c r="H37" s="85"/>
      <c r="I37" s="85"/>
      <c r="J37" s="85"/>
      <c r="K37" s="85"/>
      <c r="L37" s="85"/>
      <c r="M37" s="86"/>
      <c r="N37" s="86"/>
      <c r="O37" s="86"/>
      <c r="P37" s="87"/>
      <c r="Q37" s="88"/>
      <c r="R37" s="88"/>
      <c r="S37" s="87"/>
    </row>
    <row r="38" spans="1:19" ht="12.75">
      <c r="A38" s="222" t="s">
        <v>193</v>
      </c>
      <c r="B38" s="181"/>
      <c r="C38" s="181"/>
      <c r="D38" s="181"/>
      <c r="E38" s="181"/>
      <c r="F38" s="182"/>
      <c r="H38" s="231"/>
      <c r="I38" s="186"/>
      <c r="J38" s="186"/>
      <c r="K38" s="187"/>
      <c r="M38" s="82"/>
      <c r="N38" s="82"/>
      <c r="O38" s="82"/>
      <c r="Q38" s="83"/>
      <c r="R38" s="83"/>
      <c r="S38" s="83"/>
    </row>
    <row r="39" spans="1:19" ht="12.75">
      <c r="A39" s="222" t="s">
        <v>194</v>
      </c>
      <c r="B39" s="181"/>
      <c r="C39" s="181"/>
      <c r="D39" s="181"/>
      <c r="E39" s="181"/>
      <c r="F39" s="182"/>
      <c r="H39" s="232"/>
      <c r="I39" s="197"/>
      <c r="J39" s="197"/>
      <c r="K39" s="198"/>
      <c r="M39" s="233" t="s">
        <v>401</v>
      </c>
      <c r="N39" s="186"/>
      <c r="O39" s="187"/>
      <c r="Q39" s="234" t="s">
        <v>172</v>
      </c>
      <c r="R39" s="187"/>
      <c r="S39" s="235" t="s">
        <v>87</v>
      </c>
    </row>
    <row r="40" spans="1:19" ht="12.75">
      <c r="A40" s="8" t="s">
        <v>173</v>
      </c>
      <c r="B40" s="222" t="s">
        <v>174</v>
      </c>
      <c r="C40" s="181"/>
      <c r="D40" s="181"/>
      <c r="E40" s="181"/>
      <c r="F40" s="182"/>
      <c r="G40" s="91"/>
      <c r="H40" s="232"/>
      <c r="I40" s="197"/>
      <c r="J40" s="197"/>
      <c r="K40" s="198"/>
      <c r="L40" s="91"/>
      <c r="M40" s="232"/>
      <c r="N40" s="197"/>
      <c r="O40" s="198"/>
      <c r="Q40" s="232"/>
      <c r="R40" s="198"/>
      <c r="S40" s="236"/>
    </row>
    <row r="41" spans="1:19" ht="38.25">
      <c r="A41" s="109" t="s">
        <v>195</v>
      </c>
      <c r="B41" s="110" t="s">
        <v>176</v>
      </c>
      <c r="C41" s="110" t="s">
        <v>177</v>
      </c>
      <c r="D41" s="110" t="s">
        <v>178</v>
      </c>
      <c r="E41" s="110" t="s">
        <v>179</v>
      </c>
      <c r="F41" s="110" t="s">
        <v>180</v>
      </c>
      <c r="H41" s="232"/>
      <c r="I41" s="197"/>
      <c r="J41" s="197"/>
      <c r="K41" s="198"/>
      <c r="M41" s="232"/>
      <c r="N41" s="197"/>
      <c r="O41" s="198"/>
      <c r="Q41" s="188"/>
      <c r="R41" s="190"/>
      <c r="S41" s="237"/>
    </row>
    <row r="42" spans="1:19" ht="14.25">
      <c r="A42" s="111" t="s">
        <v>186</v>
      </c>
      <c r="B42" s="38">
        <f>997-600</f>
        <v>397</v>
      </c>
      <c r="C42" s="38">
        <v>139</v>
      </c>
      <c r="D42" s="114">
        <v>250</v>
      </c>
      <c r="E42" s="113">
        <f t="shared" ref="E42:E48" si="4">B42+C42</f>
        <v>536</v>
      </c>
      <c r="F42" s="104">
        <f>D42/E42</f>
        <v>0.46641791044776121</v>
      </c>
      <c r="H42" s="232"/>
      <c r="I42" s="197"/>
      <c r="J42" s="197"/>
      <c r="K42" s="198"/>
      <c r="M42" s="232"/>
      <c r="N42" s="197"/>
      <c r="O42" s="198"/>
      <c r="Q42" s="100"/>
      <c r="R42" s="83"/>
      <c r="S42" s="101"/>
    </row>
    <row r="43" spans="1:19" ht="12.75">
      <c r="A43" s="111" t="s">
        <v>187</v>
      </c>
      <c r="B43" s="38">
        <f>620-350</f>
        <v>270</v>
      </c>
      <c r="C43" s="38">
        <v>146</v>
      </c>
      <c r="D43" s="115">
        <v>190</v>
      </c>
      <c r="E43" s="113">
        <f t="shared" si="4"/>
        <v>416</v>
      </c>
      <c r="F43" s="104">
        <f t="shared" ref="F43:F48" si="5">D43/E43</f>
        <v>0.45673076923076922</v>
      </c>
      <c r="H43" s="232"/>
      <c r="I43" s="197"/>
      <c r="J43" s="197"/>
      <c r="K43" s="198"/>
      <c r="M43" s="232"/>
      <c r="N43" s="197"/>
      <c r="O43" s="198"/>
      <c r="Q43" s="245" t="s">
        <v>181</v>
      </c>
      <c r="R43" s="246" t="s">
        <v>404</v>
      </c>
      <c r="S43" s="247"/>
    </row>
    <row r="44" spans="1:19" ht="12.75">
      <c r="A44" s="111" t="s">
        <v>188</v>
      </c>
      <c r="B44" s="38">
        <f>565-350</f>
        <v>215</v>
      </c>
      <c r="C44" s="38">
        <v>158</v>
      </c>
      <c r="D44" s="115">
        <v>170</v>
      </c>
      <c r="E44" s="113">
        <f t="shared" si="4"/>
        <v>373</v>
      </c>
      <c r="F44" s="104">
        <f t="shared" si="5"/>
        <v>0.45576407506702415</v>
      </c>
      <c r="H44" s="232"/>
      <c r="I44" s="197"/>
      <c r="J44" s="197"/>
      <c r="K44" s="198"/>
      <c r="M44" s="232"/>
      <c r="N44" s="197"/>
      <c r="O44" s="198"/>
      <c r="Q44" s="236"/>
      <c r="R44" s="248"/>
      <c r="S44" s="249"/>
    </row>
    <row r="45" spans="1:19" ht="12.75">
      <c r="A45" s="111" t="s">
        <v>189</v>
      </c>
      <c r="B45" s="38">
        <f>432-280</f>
        <v>152</v>
      </c>
      <c r="C45" s="38">
        <v>171</v>
      </c>
      <c r="D45" s="115">
        <v>145</v>
      </c>
      <c r="E45" s="113">
        <f t="shared" si="4"/>
        <v>323</v>
      </c>
      <c r="F45" s="104">
        <f t="shared" si="5"/>
        <v>0.44891640866873067</v>
      </c>
      <c r="H45" s="232"/>
      <c r="I45" s="197"/>
      <c r="J45" s="197"/>
      <c r="K45" s="198"/>
      <c r="M45" s="232"/>
      <c r="N45" s="197"/>
      <c r="O45" s="198"/>
      <c r="Q45" s="236"/>
      <c r="R45" s="248"/>
      <c r="S45" s="249"/>
    </row>
    <row r="46" spans="1:19" ht="12.75">
      <c r="A46" s="111" t="s">
        <v>190</v>
      </c>
      <c r="B46" s="38">
        <f>294-190</f>
        <v>104</v>
      </c>
      <c r="C46" s="38">
        <v>179</v>
      </c>
      <c r="D46" s="115">
        <v>122</v>
      </c>
      <c r="E46" s="113">
        <f t="shared" si="4"/>
        <v>283</v>
      </c>
      <c r="F46" s="104">
        <f t="shared" si="5"/>
        <v>0.43109540636042404</v>
      </c>
      <c r="H46" s="232"/>
      <c r="I46" s="197"/>
      <c r="J46" s="197"/>
      <c r="K46" s="198"/>
      <c r="M46" s="232"/>
      <c r="N46" s="197"/>
      <c r="O46" s="198"/>
      <c r="P46" s="107"/>
      <c r="Q46" s="236"/>
      <c r="R46" s="248"/>
      <c r="S46" s="249"/>
    </row>
    <row r="47" spans="1:19" ht="12.75">
      <c r="A47" s="111" t="s">
        <v>191</v>
      </c>
      <c r="B47" s="38">
        <f>209-150</f>
        <v>59</v>
      </c>
      <c r="C47" s="38">
        <v>192</v>
      </c>
      <c r="D47" s="115">
        <v>109</v>
      </c>
      <c r="E47" s="113">
        <f t="shared" si="4"/>
        <v>251</v>
      </c>
      <c r="F47" s="104">
        <f t="shared" si="5"/>
        <v>0.43426294820717132</v>
      </c>
      <c r="H47" s="232"/>
      <c r="I47" s="197"/>
      <c r="J47" s="197"/>
      <c r="K47" s="198"/>
      <c r="M47" s="232"/>
      <c r="N47" s="197"/>
      <c r="O47" s="198"/>
      <c r="P47" s="107"/>
      <c r="Q47" s="236"/>
      <c r="R47" s="248"/>
      <c r="S47" s="249"/>
    </row>
    <row r="48" spans="1:19" ht="12.75">
      <c r="A48" s="111" t="s">
        <v>192</v>
      </c>
      <c r="B48" s="38">
        <f>144-120</f>
        <v>24</v>
      </c>
      <c r="C48" s="38">
        <v>214</v>
      </c>
      <c r="D48" s="115">
        <v>102</v>
      </c>
      <c r="E48" s="113">
        <f t="shared" si="4"/>
        <v>238</v>
      </c>
      <c r="F48" s="104">
        <f t="shared" si="5"/>
        <v>0.42857142857142855</v>
      </c>
      <c r="H48" s="188"/>
      <c r="I48" s="189"/>
      <c r="J48" s="189"/>
      <c r="K48" s="190"/>
      <c r="M48" s="188"/>
      <c r="N48" s="189"/>
      <c r="O48" s="190"/>
      <c r="P48" s="107"/>
      <c r="Q48" s="237"/>
      <c r="R48" s="250"/>
      <c r="S48" s="251"/>
    </row>
    <row r="49" spans="1:19" ht="12.75">
      <c r="A49" s="85"/>
      <c r="B49" s="85"/>
      <c r="C49" s="85"/>
      <c r="D49" s="85"/>
      <c r="E49" s="85"/>
      <c r="F49" s="85"/>
      <c r="G49" s="85"/>
      <c r="H49" s="85"/>
      <c r="I49" s="85"/>
      <c r="J49" s="85"/>
      <c r="K49" s="85"/>
      <c r="L49" s="85"/>
      <c r="M49" s="86"/>
      <c r="N49" s="86"/>
      <c r="O49" s="86"/>
      <c r="P49" s="87"/>
      <c r="Q49" s="88"/>
      <c r="R49" s="88"/>
      <c r="S49" s="87"/>
    </row>
    <row r="50" spans="1:19" ht="14.25">
      <c r="D50" s="99"/>
      <c r="P50" s="107"/>
      <c r="Q50" s="116"/>
      <c r="R50" s="117" t="s">
        <v>196</v>
      </c>
      <c r="S50" s="117" t="s">
        <v>197</v>
      </c>
    </row>
    <row r="51" spans="1:19" ht="12.75">
      <c r="D51" s="105"/>
      <c r="P51" s="234" t="s">
        <v>198</v>
      </c>
      <c r="Q51" s="187"/>
      <c r="R51" s="244">
        <v>1</v>
      </c>
      <c r="S51" s="244">
        <v>2</v>
      </c>
    </row>
    <row r="52" spans="1:19" ht="12.75">
      <c r="D52" s="105"/>
      <c r="P52" s="232"/>
      <c r="Q52" s="198"/>
      <c r="R52" s="236"/>
      <c r="S52" s="236"/>
    </row>
    <row r="53" spans="1:19" ht="12.75">
      <c r="D53" s="105"/>
      <c r="P53" s="232"/>
      <c r="Q53" s="198"/>
      <c r="R53" s="236"/>
      <c r="S53" s="236"/>
    </row>
    <row r="54" spans="1:19" ht="12.75">
      <c r="D54" s="105"/>
      <c r="P54" s="232"/>
      <c r="Q54" s="198"/>
      <c r="R54" s="236"/>
      <c r="S54" s="236"/>
    </row>
    <row r="55" spans="1:19" ht="12.75">
      <c r="D55" s="105"/>
      <c r="P55" s="232"/>
      <c r="Q55" s="198"/>
      <c r="R55" s="236"/>
      <c r="S55" s="236"/>
    </row>
    <row r="56" spans="1:19" ht="12.75">
      <c r="D56" s="105"/>
      <c r="P56" s="188"/>
      <c r="Q56" s="190"/>
      <c r="R56" s="237"/>
      <c r="S56" s="237"/>
    </row>
    <row r="57" spans="1:19" ht="12.75">
      <c r="D57" s="105"/>
      <c r="Q57" s="83"/>
      <c r="R57" s="83"/>
      <c r="S57" s="83"/>
    </row>
    <row r="58" spans="1:19" ht="12.75">
      <c r="D58" s="105"/>
      <c r="Q58" s="83"/>
      <c r="R58" s="83"/>
      <c r="S58" s="83"/>
    </row>
    <row r="59" spans="1:19" ht="12.75">
      <c r="D59" s="105"/>
      <c r="Q59" s="245" t="s">
        <v>199</v>
      </c>
      <c r="R59" s="246" t="s">
        <v>405</v>
      </c>
      <c r="S59" s="247"/>
    </row>
    <row r="60" spans="1:19" ht="12.75">
      <c r="D60" s="105"/>
      <c r="Q60" s="236"/>
      <c r="R60" s="248"/>
      <c r="S60" s="249"/>
    </row>
    <row r="61" spans="1:19" ht="12.75">
      <c r="Q61" s="236"/>
      <c r="R61" s="248"/>
      <c r="S61" s="249"/>
    </row>
    <row r="62" spans="1:19" ht="12.75">
      <c r="Q62" s="236"/>
      <c r="R62" s="248"/>
      <c r="S62" s="249"/>
    </row>
    <row r="63" spans="1:19" ht="12.75">
      <c r="Q63" s="236"/>
      <c r="R63" s="248"/>
      <c r="S63" s="249"/>
    </row>
    <row r="64" spans="1:19" ht="12.75">
      <c r="Q64" s="237"/>
      <c r="R64" s="250"/>
      <c r="S64" s="251"/>
    </row>
    <row r="65" spans="1:19" ht="12.75">
      <c r="A65" s="85"/>
      <c r="B65" s="85"/>
      <c r="C65" s="85"/>
      <c r="D65" s="85"/>
      <c r="E65" s="85"/>
      <c r="F65" s="85"/>
      <c r="G65" s="85"/>
      <c r="H65" s="85"/>
      <c r="I65" s="85"/>
      <c r="J65" s="85"/>
      <c r="K65" s="85"/>
      <c r="L65" s="85"/>
      <c r="M65" s="86"/>
      <c r="N65" s="86"/>
      <c r="O65" s="86"/>
      <c r="P65" s="87"/>
      <c r="Q65" s="88"/>
      <c r="R65" s="88"/>
      <c r="S65" s="87"/>
    </row>
  </sheetData>
  <mergeCells count="44">
    <mergeCell ref="Q59:Q64"/>
    <mergeCell ref="R59:S64"/>
    <mergeCell ref="M27:O36"/>
    <mergeCell ref="Q31:Q36"/>
    <mergeCell ref="M39:O48"/>
    <mergeCell ref="Q39:R41"/>
    <mergeCell ref="S39:S41"/>
    <mergeCell ref="Q43:Q48"/>
    <mergeCell ref="R43:S48"/>
    <mergeCell ref="R31:S36"/>
    <mergeCell ref="P51:Q56"/>
    <mergeCell ref="R51:R56"/>
    <mergeCell ref="S51:S56"/>
    <mergeCell ref="Q19:Q24"/>
    <mergeCell ref="Q27:R29"/>
    <mergeCell ref="M15:O24"/>
    <mergeCell ref="Q15:R17"/>
    <mergeCell ref="S15:S17"/>
    <mergeCell ref="R19:S24"/>
    <mergeCell ref="S27:S29"/>
    <mergeCell ref="B28:F28"/>
    <mergeCell ref="A38:F38"/>
    <mergeCell ref="A39:F39"/>
    <mergeCell ref="B40:F40"/>
    <mergeCell ref="A8:I8"/>
    <mergeCell ref="A9:I9"/>
    <mergeCell ref="A10:I10"/>
    <mergeCell ref="A11:I11"/>
    <mergeCell ref="A12:I12"/>
    <mergeCell ref="A14:F14"/>
    <mergeCell ref="A15:F15"/>
    <mergeCell ref="H26:K36"/>
    <mergeCell ref="H38:K48"/>
    <mergeCell ref="H14:K24"/>
    <mergeCell ref="A6:I6"/>
    <mergeCell ref="A7:I7"/>
    <mergeCell ref="B16:F16"/>
    <mergeCell ref="A26:F26"/>
    <mergeCell ref="A27:F27"/>
    <mergeCell ref="A1:S1"/>
    <mergeCell ref="A2:I2"/>
    <mergeCell ref="A3:I3"/>
    <mergeCell ref="A4:I4"/>
    <mergeCell ref="A5:I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63"/>
  <sheetViews>
    <sheetView showGridLines="0" topLeftCell="A17" workbookViewId="0">
      <selection activeCell="I54" sqref="I54"/>
    </sheetView>
  </sheetViews>
  <sheetFormatPr defaultColWidth="12.5703125" defaultRowHeight="15.75" customHeight="1"/>
  <cols>
    <col min="2" max="2" width="10.140625" customWidth="1"/>
    <col min="3" max="3" width="15.28515625" customWidth="1"/>
    <col min="4" max="4" width="15.7109375" customWidth="1"/>
    <col min="5" max="5" width="7.85546875" customWidth="1"/>
    <col min="6" max="6" width="10" customWidth="1"/>
  </cols>
  <sheetData>
    <row r="1" spans="1:19" ht="15.75" customHeight="1">
      <c r="A1" s="217" t="s">
        <v>18</v>
      </c>
      <c r="B1" s="181"/>
      <c r="C1" s="181"/>
      <c r="D1" s="181"/>
      <c r="E1" s="181"/>
      <c r="F1" s="181"/>
      <c r="G1" s="181"/>
      <c r="H1" s="181"/>
      <c r="I1" s="181"/>
      <c r="J1" s="181"/>
      <c r="K1" s="181"/>
      <c r="L1" s="181"/>
      <c r="M1" s="181"/>
      <c r="N1" s="181"/>
      <c r="O1" s="181"/>
      <c r="P1" s="181"/>
      <c r="Q1" s="181"/>
      <c r="R1" s="181"/>
      <c r="S1" s="182"/>
    </row>
    <row r="2" spans="1:19" ht="12.75">
      <c r="A2" s="209" t="s">
        <v>200</v>
      </c>
      <c r="B2" s="181"/>
      <c r="C2" s="181"/>
      <c r="D2" s="181"/>
      <c r="E2" s="181"/>
      <c r="F2" s="181"/>
      <c r="G2" s="181"/>
      <c r="H2" s="181"/>
      <c r="I2" s="182"/>
      <c r="O2" s="118"/>
      <c r="P2" s="82"/>
      <c r="R2" s="83"/>
      <c r="S2" s="83"/>
    </row>
    <row r="3" spans="1:19" ht="12.75">
      <c r="A3" s="210" t="s">
        <v>201</v>
      </c>
      <c r="B3" s="181"/>
      <c r="C3" s="181"/>
      <c r="D3" s="181"/>
      <c r="E3" s="181"/>
      <c r="F3" s="181"/>
      <c r="G3" s="181"/>
      <c r="H3" s="181"/>
      <c r="I3" s="182"/>
      <c r="O3" s="118"/>
      <c r="P3" s="82"/>
      <c r="R3" s="83"/>
      <c r="S3" s="83"/>
    </row>
    <row r="4" spans="1:19" ht="12.75">
      <c r="A4" s="192" t="s">
        <v>202</v>
      </c>
      <c r="B4" s="189"/>
      <c r="C4" s="189"/>
      <c r="D4" s="189"/>
      <c r="E4" s="189"/>
      <c r="F4" s="189"/>
      <c r="G4" s="189"/>
      <c r="H4" s="189"/>
      <c r="I4" s="190"/>
      <c r="O4" s="118"/>
      <c r="P4" s="82"/>
      <c r="R4" s="83"/>
      <c r="S4" s="83"/>
    </row>
    <row r="5" spans="1:19" ht="12.75">
      <c r="A5" s="209" t="s">
        <v>203</v>
      </c>
      <c r="B5" s="181"/>
      <c r="C5" s="181"/>
      <c r="D5" s="181"/>
      <c r="E5" s="181"/>
      <c r="F5" s="181"/>
      <c r="G5" s="181"/>
      <c r="H5" s="181"/>
      <c r="I5" s="182"/>
      <c r="O5" s="118"/>
      <c r="P5" s="82"/>
      <c r="R5" s="83"/>
      <c r="S5" s="83"/>
    </row>
    <row r="6" spans="1:19" ht="12.75">
      <c r="A6" s="253" t="s">
        <v>204</v>
      </c>
      <c r="B6" s="181"/>
      <c r="C6" s="181"/>
      <c r="D6" s="181"/>
      <c r="E6" s="181"/>
      <c r="F6" s="181"/>
      <c r="G6" s="181"/>
      <c r="H6" s="181"/>
      <c r="I6" s="182"/>
      <c r="O6" s="118"/>
      <c r="P6" s="82"/>
      <c r="R6" s="83"/>
      <c r="S6" s="83"/>
    </row>
    <row r="7" spans="1:19" ht="12.75">
      <c r="A7" s="253" t="s">
        <v>205</v>
      </c>
      <c r="B7" s="181"/>
      <c r="C7" s="181"/>
      <c r="D7" s="181"/>
      <c r="E7" s="181"/>
      <c r="F7" s="181"/>
      <c r="G7" s="181"/>
      <c r="H7" s="181"/>
      <c r="I7" s="182"/>
      <c r="O7" s="118"/>
      <c r="P7" s="82"/>
      <c r="R7" s="83"/>
      <c r="S7" s="83"/>
    </row>
    <row r="8" spans="1:19" ht="12.75">
      <c r="A8" s="253" t="s">
        <v>206</v>
      </c>
      <c r="B8" s="181"/>
      <c r="C8" s="181"/>
      <c r="D8" s="181"/>
      <c r="E8" s="181"/>
      <c r="F8" s="181"/>
      <c r="G8" s="181"/>
      <c r="H8" s="181"/>
      <c r="I8" s="182"/>
      <c r="O8" s="118"/>
      <c r="P8" s="82"/>
      <c r="R8" s="83"/>
      <c r="S8" s="83"/>
    </row>
    <row r="9" spans="1:19" ht="12.75">
      <c r="A9" s="253" t="s">
        <v>207</v>
      </c>
      <c r="B9" s="181"/>
      <c r="C9" s="181"/>
      <c r="D9" s="181"/>
      <c r="E9" s="181"/>
      <c r="F9" s="181"/>
      <c r="G9" s="181"/>
      <c r="H9" s="181"/>
      <c r="I9" s="182"/>
      <c r="O9" s="118"/>
      <c r="P9" s="82"/>
      <c r="R9" s="83"/>
      <c r="S9" s="83"/>
    </row>
    <row r="10" spans="1:19" ht="12.75">
      <c r="A10" s="253" t="s">
        <v>208</v>
      </c>
      <c r="B10" s="181"/>
      <c r="C10" s="181"/>
      <c r="D10" s="181"/>
      <c r="E10" s="181"/>
      <c r="F10" s="181"/>
      <c r="G10" s="181"/>
      <c r="H10" s="181"/>
      <c r="I10" s="182"/>
      <c r="O10" s="118"/>
      <c r="P10" s="82"/>
      <c r="R10" s="83"/>
      <c r="S10" s="83"/>
    </row>
    <row r="11" spans="1:19" ht="12.75">
      <c r="A11" s="225" t="s">
        <v>37</v>
      </c>
      <c r="B11" s="197"/>
      <c r="C11" s="197"/>
      <c r="D11" s="197"/>
      <c r="E11" s="197"/>
      <c r="F11" s="197"/>
      <c r="G11" s="197"/>
      <c r="H11" s="197"/>
      <c r="I11" s="197"/>
      <c r="J11" s="89"/>
      <c r="K11" s="89"/>
      <c r="L11" s="89"/>
      <c r="M11" s="89"/>
      <c r="N11" s="89"/>
      <c r="O11" s="89"/>
      <c r="P11" s="82"/>
      <c r="R11" s="83"/>
      <c r="S11" s="83"/>
    </row>
    <row r="12" spans="1:19" ht="12.75">
      <c r="A12" s="89"/>
      <c r="B12" s="89"/>
      <c r="C12" s="89"/>
      <c r="D12" s="89"/>
      <c r="E12" s="89"/>
      <c r="F12" s="89"/>
      <c r="G12" s="89"/>
      <c r="H12" s="89"/>
      <c r="I12" s="89"/>
      <c r="J12" s="89"/>
      <c r="K12" s="89"/>
      <c r="L12" s="89"/>
      <c r="M12" s="89"/>
      <c r="N12" s="89"/>
      <c r="O12" s="89"/>
      <c r="P12" s="82"/>
      <c r="R12" s="83"/>
      <c r="S12" s="83"/>
    </row>
    <row r="13" spans="1:19" ht="12.75">
      <c r="A13" s="222" t="s">
        <v>209</v>
      </c>
      <c r="B13" s="181"/>
      <c r="C13" s="181"/>
      <c r="D13" s="181"/>
      <c r="E13" s="181"/>
      <c r="F13" s="182"/>
      <c r="H13" s="231"/>
      <c r="I13" s="186"/>
      <c r="J13" s="186"/>
      <c r="K13" s="187"/>
      <c r="L13" s="82"/>
      <c r="M13" s="82"/>
      <c r="N13" s="82"/>
      <c r="O13" s="82"/>
    </row>
    <row r="14" spans="1:19" ht="12.75">
      <c r="A14" s="222" t="s">
        <v>210</v>
      </c>
      <c r="B14" s="181"/>
      <c r="C14" s="181"/>
      <c r="D14" s="181"/>
      <c r="E14" s="181"/>
      <c r="F14" s="182"/>
      <c r="H14" s="232"/>
      <c r="I14" s="197"/>
      <c r="J14" s="197"/>
      <c r="K14" s="198"/>
      <c r="L14" s="82"/>
      <c r="M14" s="233" t="s">
        <v>406</v>
      </c>
      <c r="N14" s="186"/>
      <c r="O14" s="187"/>
      <c r="Q14" s="234" t="s">
        <v>211</v>
      </c>
      <c r="R14" s="186"/>
      <c r="S14" s="235" t="s">
        <v>87</v>
      </c>
    </row>
    <row r="15" spans="1:19" ht="12.75">
      <c r="A15" s="8" t="s">
        <v>212</v>
      </c>
      <c r="B15" s="222" t="s">
        <v>174</v>
      </c>
      <c r="C15" s="181"/>
      <c r="D15" s="181"/>
      <c r="E15" s="181"/>
      <c r="F15" s="182"/>
      <c r="H15" s="232"/>
      <c r="I15" s="197"/>
      <c r="J15" s="197"/>
      <c r="K15" s="198"/>
      <c r="L15" s="82"/>
      <c r="M15" s="232"/>
      <c r="N15" s="197"/>
      <c r="O15" s="198"/>
      <c r="Q15" s="232"/>
      <c r="R15" s="197"/>
      <c r="S15" s="236"/>
    </row>
    <row r="16" spans="1:19" ht="38.25">
      <c r="A16" s="109" t="s">
        <v>213</v>
      </c>
      <c r="B16" s="110" t="s">
        <v>176</v>
      </c>
      <c r="C16" s="110" t="s">
        <v>177</v>
      </c>
      <c r="D16" s="110" t="s">
        <v>178</v>
      </c>
      <c r="E16" s="110" t="s">
        <v>179</v>
      </c>
      <c r="F16" s="110" t="s">
        <v>180</v>
      </c>
      <c r="G16" s="119"/>
      <c r="H16" s="232"/>
      <c r="I16" s="197"/>
      <c r="J16" s="197"/>
      <c r="K16" s="198"/>
      <c r="L16" s="82"/>
      <c r="M16" s="232"/>
      <c r="N16" s="197"/>
      <c r="O16" s="198"/>
      <c r="Q16" s="232"/>
      <c r="R16" s="197"/>
      <c r="S16" s="237"/>
    </row>
    <row r="17" spans="1:19" ht="14.25">
      <c r="A17" s="111" t="s">
        <v>186</v>
      </c>
      <c r="B17" s="38">
        <f>954-750</f>
        <v>204</v>
      </c>
      <c r="C17" s="38">
        <f>192+150</f>
        <v>342</v>
      </c>
      <c r="D17" s="112">
        <f>303+150</f>
        <v>453</v>
      </c>
      <c r="E17" s="113">
        <f t="shared" ref="E17:E23" si="0">B17+C17</f>
        <v>546</v>
      </c>
      <c r="F17" s="120">
        <v>0.83</v>
      </c>
      <c r="H17" s="232"/>
      <c r="I17" s="197"/>
      <c r="J17" s="197"/>
      <c r="K17" s="198"/>
      <c r="L17" s="82"/>
      <c r="M17" s="232"/>
      <c r="N17" s="197"/>
      <c r="O17" s="198"/>
      <c r="Q17" s="100"/>
      <c r="R17" s="83"/>
      <c r="S17" s="101"/>
    </row>
    <row r="18" spans="1:19" ht="12.75">
      <c r="A18" s="111" t="s">
        <v>187</v>
      </c>
      <c r="B18" s="38">
        <f>540-370</f>
        <v>170</v>
      </c>
      <c r="C18" s="115">
        <v>360</v>
      </c>
      <c r="D18" s="38">
        <f>277+150</f>
        <v>427</v>
      </c>
      <c r="E18" s="113">
        <f t="shared" si="0"/>
        <v>530</v>
      </c>
      <c r="F18" s="104">
        <f>D18/E18</f>
        <v>0.80566037735849061</v>
      </c>
      <c r="H18" s="232"/>
      <c r="I18" s="197"/>
      <c r="J18" s="197"/>
      <c r="K18" s="198"/>
      <c r="L18" s="82"/>
      <c r="M18" s="232"/>
      <c r="N18" s="197"/>
      <c r="O18" s="198"/>
      <c r="Q18" s="245" t="s">
        <v>181</v>
      </c>
      <c r="R18" s="246" t="s">
        <v>409</v>
      </c>
      <c r="S18" s="247"/>
    </row>
    <row r="19" spans="1:19" ht="12.75">
      <c r="A19" s="111" t="s">
        <v>188</v>
      </c>
      <c r="B19" s="38">
        <f>402-250</f>
        <v>152</v>
      </c>
      <c r="C19" s="115">
        <v>370</v>
      </c>
      <c r="D19" s="38">
        <f>262+150</f>
        <v>412</v>
      </c>
      <c r="E19" s="113">
        <f t="shared" si="0"/>
        <v>522</v>
      </c>
      <c r="F19" s="104">
        <f t="shared" ref="F19:F23" si="1">D19/E19</f>
        <v>0.78927203065134099</v>
      </c>
      <c r="H19" s="232"/>
      <c r="I19" s="197"/>
      <c r="J19" s="197"/>
      <c r="K19" s="198"/>
      <c r="L19" s="82"/>
      <c r="M19" s="232"/>
      <c r="N19" s="197"/>
      <c r="O19" s="198"/>
      <c r="Q19" s="236"/>
      <c r="R19" s="248"/>
      <c r="S19" s="249"/>
    </row>
    <row r="20" spans="1:19" ht="12.75">
      <c r="A20" s="111" t="s">
        <v>189</v>
      </c>
      <c r="B20" s="38">
        <f>310-200</f>
        <v>110</v>
      </c>
      <c r="C20" s="115">
        <v>380</v>
      </c>
      <c r="D20" s="38">
        <f>228+150</f>
        <v>378</v>
      </c>
      <c r="E20" s="113">
        <f t="shared" si="0"/>
        <v>490</v>
      </c>
      <c r="F20" s="104">
        <f t="shared" si="1"/>
        <v>0.77142857142857146</v>
      </c>
      <c r="H20" s="232"/>
      <c r="I20" s="197"/>
      <c r="J20" s="197"/>
      <c r="K20" s="198"/>
      <c r="L20" s="82"/>
      <c r="M20" s="232"/>
      <c r="N20" s="197"/>
      <c r="O20" s="198"/>
      <c r="Q20" s="236"/>
      <c r="R20" s="248"/>
      <c r="S20" s="249"/>
    </row>
    <row r="21" spans="1:19" ht="12.75">
      <c r="A21" s="111" t="s">
        <v>190</v>
      </c>
      <c r="B21" s="115">
        <v>90</v>
      </c>
      <c r="C21" s="115">
        <v>520</v>
      </c>
      <c r="D21" s="38">
        <f>209+150</f>
        <v>359</v>
      </c>
      <c r="E21" s="113">
        <f t="shared" si="0"/>
        <v>610</v>
      </c>
      <c r="F21" s="104">
        <f t="shared" si="1"/>
        <v>0.58852459016393444</v>
      </c>
      <c r="H21" s="232"/>
      <c r="I21" s="197"/>
      <c r="J21" s="197"/>
      <c r="K21" s="198"/>
      <c r="L21" s="82"/>
      <c r="M21" s="232"/>
      <c r="N21" s="197"/>
      <c r="O21" s="198"/>
      <c r="P21" s="107"/>
      <c r="Q21" s="236"/>
      <c r="R21" s="248"/>
      <c r="S21" s="249"/>
    </row>
    <row r="22" spans="1:19" ht="12.75">
      <c r="A22" s="111" t="s">
        <v>191</v>
      </c>
      <c r="B22" s="115">
        <v>65</v>
      </c>
      <c r="C22" s="115">
        <v>650</v>
      </c>
      <c r="D22" s="38">
        <f>156+150</f>
        <v>306</v>
      </c>
      <c r="E22" s="113">
        <f t="shared" si="0"/>
        <v>715</v>
      </c>
      <c r="F22" s="104">
        <f t="shared" si="1"/>
        <v>0.42797202797202799</v>
      </c>
      <c r="H22" s="232"/>
      <c r="I22" s="197"/>
      <c r="J22" s="197"/>
      <c r="K22" s="198"/>
      <c r="L22" s="82"/>
      <c r="M22" s="232"/>
      <c r="N22" s="197"/>
      <c r="O22" s="198"/>
      <c r="P22" s="107"/>
      <c r="Q22" s="236"/>
      <c r="R22" s="248"/>
      <c r="S22" s="249"/>
    </row>
    <row r="23" spans="1:19" ht="12.75">
      <c r="A23" s="111" t="s">
        <v>192</v>
      </c>
      <c r="B23" s="115">
        <v>30</v>
      </c>
      <c r="C23" s="115">
        <v>874</v>
      </c>
      <c r="D23" s="38">
        <f>137+150</f>
        <v>287</v>
      </c>
      <c r="E23" s="113">
        <f t="shared" si="0"/>
        <v>904</v>
      </c>
      <c r="F23" s="104">
        <f t="shared" si="1"/>
        <v>0.31747787610619471</v>
      </c>
      <c r="H23" s="188"/>
      <c r="I23" s="189"/>
      <c r="J23" s="189"/>
      <c r="K23" s="190"/>
      <c r="L23" s="82"/>
      <c r="M23" s="188"/>
      <c r="N23" s="189"/>
      <c r="O23" s="190"/>
      <c r="P23" s="107"/>
      <c r="Q23" s="237"/>
      <c r="R23" s="250"/>
      <c r="S23" s="251"/>
    </row>
    <row r="24" spans="1:19" ht="12.75">
      <c r="A24" s="119"/>
      <c r="C24" s="105"/>
    </row>
    <row r="25" spans="1:19" ht="12.75">
      <c r="A25" s="222" t="s">
        <v>214</v>
      </c>
      <c r="B25" s="181"/>
      <c r="C25" s="181"/>
      <c r="D25" s="181"/>
      <c r="E25" s="181"/>
      <c r="F25" s="182"/>
      <c r="H25" s="231"/>
      <c r="I25" s="186"/>
      <c r="J25" s="186"/>
      <c r="K25" s="187"/>
      <c r="L25" s="82"/>
      <c r="M25" s="82"/>
      <c r="N25" s="82"/>
      <c r="O25" s="82"/>
    </row>
    <row r="26" spans="1:19" ht="12.75">
      <c r="A26" s="222" t="s">
        <v>215</v>
      </c>
      <c r="B26" s="181"/>
      <c r="C26" s="181"/>
      <c r="D26" s="181"/>
      <c r="E26" s="181"/>
      <c r="F26" s="182"/>
      <c r="H26" s="232"/>
      <c r="I26" s="197"/>
      <c r="J26" s="197"/>
      <c r="K26" s="198"/>
      <c r="L26" s="82"/>
      <c r="M26" s="233" t="s">
        <v>407</v>
      </c>
      <c r="N26" s="186"/>
      <c r="O26" s="187"/>
      <c r="Q26" s="234" t="s">
        <v>211</v>
      </c>
      <c r="R26" s="187"/>
      <c r="S26" s="235" t="s">
        <v>87</v>
      </c>
    </row>
    <row r="27" spans="1:19" ht="12.75">
      <c r="A27" s="8" t="s">
        <v>212</v>
      </c>
      <c r="B27" s="222" t="s">
        <v>174</v>
      </c>
      <c r="C27" s="181"/>
      <c r="D27" s="181"/>
      <c r="E27" s="181"/>
      <c r="F27" s="182"/>
      <c r="H27" s="232"/>
      <c r="I27" s="197"/>
      <c r="J27" s="197"/>
      <c r="K27" s="198"/>
      <c r="L27" s="82"/>
      <c r="M27" s="232"/>
      <c r="N27" s="197"/>
      <c r="O27" s="198"/>
      <c r="Q27" s="232"/>
      <c r="R27" s="198"/>
      <c r="S27" s="236"/>
    </row>
    <row r="28" spans="1:19" ht="38.25">
      <c r="A28" s="109" t="s">
        <v>213</v>
      </c>
      <c r="B28" s="110" t="s">
        <v>176</v>
      </c>
      <c r="C28" s="110" t="s">
        <v>177</v>
      </c>
      <c r="D28" s="110" t="s">
        <v>178</v>
      </c>
      <c r="E28" s="110" t="s">
        <v>179</v>
      </c>
      <c r="F28" s="110" t="s">
        <v>180</v>
      </c>
      <c r="G28" s="119"/>
      <c r="H28" s="232"/>
      <c r="I28" s="197"/>
      <c r="J28" s="197"/>
      <c r="K28" s="198"/>
      <c r="L28" s="82"/>
      <c r="M28" s="232"/>
      <c r="N28" s="197"/>
      <c r="O28" s="198"/>
      <c r="Q28" s="188"/>
      <c r="R28" s="190"/>
      <c r="S28" s="237"/>
    </row>
    <row r="29" spans="1:19" ht="14.25">
      <c r="A29" s="111" t="s">
        <v>186</v>
      </c>
      <c r="B29" s="38">
        <f>954+150</f>
        <v>1104</v>
      </c>
      <c r="C29" s="115">
        <v>200</v>
      </c>
      <c r="D29" s="114">
        <v>800</v>
      </c>
      <c r="E29" s="113">
        <f t="shared" ref="E29:E35" si="2">B29+C29</f>
        <v>1304</v>
      </c>
      <c r="F29" s="104">
        <f>D29/E29</f>
        <v>0.61349693251533743</v>
      </c>
      <c r="H29" s="232"/>
      <c r="I29" s="197"/>
      <c r="J29" s="197"/>
      <c r="K29" s="198"/>
      <c r="L29" s="82"/>
      <c r="M29" s="232"/>
      <c r="N29" s="197"/>
      <c r="O29" s="198"/>
      <c r="Q29" s="100"/>
      <c r="R29" s="83"/>
      <c r="S29" s="101"/>
    </row>
    <row r="30" spans="1:19" ht="12.75">
      <c r="A30" s="111" t="s">
        <v>187</v>
      </c>
      <c r="B30" s="38">
        <f>540+150</f>
        <v>690</v>
      </c>
      <c r="C30" s="38">
        <f>223+150</f>
        <v>373</v>
      </c>
      <c r="D30" s="38">
        <f>277+150+200</f>
        <v>627</v>
      </c>
      <c r="E30" s="113">
        <f t="shared" si="2"/>
        <v>1063</v>
      </c>
      <c r="F30" s="104">
        <f t="shared" ref="F30:F35" si="3">D30/E30</f>
        <v>0.58984007525870175</v>
      </c>
      <c r="H30" s="232"/>
      <c r="I30" s="197"/>
      <c r="J30" s="197"/>
      <c r="K30" s="198"/>
      <c r="L30" s="82"/>
      <c r="M30" s="232"/>
      <c r="N30" s="197"/>
      <c r="O30" s="198"/>
      <c r="Q30" s="245" t="s">
        <v>181</v>
      </c>
      <c r="R30" s="246" t="s">
        <v>410</v>
      </c>
      <c r="S30" s="247"/>
    </row>
    <row r="31" spans="1:19" ht="12.75">
      <c r="A31" s="111" t="s">
        <v>188</v>
      </c>
      <c r="B31" s="38">
        <f>402+150</f>
        <v>552</v>
      </c>
      <c r="C31" s="38">
        <f>238+150</f>
        <v>388</v>
      </c>
      <c r="D31" s="38">
        <f>262+150+120</f>
        <v>532</v>
      </c>
      <c r="E31" s="113">
        <f t="shared" si="2"/>
        <v>940</v>
      </c>
      <c r="F31" s="104">
        <f t="shared" si="3"/>
        <v>0.56595744680851068</v>
      </c>
      <c r="H31" s="232"/>
      <c r="I31" s="197"/>
      <c r="J31" s="197"/>
      <c r="K31" s="198"/>
      <c r="L31" s="82"/>
      <c r="M31" s="232"/>
      <c r="N31" s="197"/>
      <c r="O31" s="198"/>
      <c r="Q31" s="236"/>
      <c r="R31" s="248"/>
      <c r="S31" s="249"/>
    </row>
    <row r="32" spans="1:19" ht="12.75">
      <c r="A32" s="111" t="s">
        <v>189</v>
      </c>
      <c r="B32" s="38">
        <f>310+150</f>
        <v>460</v>
      </c>
      <c r="C32" s="38">
        <f>272+150-50</f>
        <v>372</v>
      </c>
      <c r="D32" s="38">
        <f>228+150+80</f>
        <v>458</v>
      </c>
      <c r="E32" s="113">
        <f t="shared" si="2"/>
        <v>832</v>
      </c>
      <c r="F32" s="104">
        <f t="shared" si="3"/>
        <v>0.55048076923076927</v>
      </c>
      <c r="H32" s="232"/>
      <c r="I32" s="197"/>
      <c r="J32" s="197"/>
      <c r="K32" s="198"/>
      <c r="L32" s="82"/>
      <c r="M32" s="232"/>
      <c r="N32" s="197"/>
      <c r="O32" s="198"/>
      <c r="Q32" s="236"/>
      <c r="R32" s="248"/>
      <c r="S32" s="249"/>
    </row>
    <row r="33" spans="1:19" ht="12.75">
      <c r="A33" s="111" t="s">
        <v>190</v>
      </c>
      <c r="B33" s="38">
        <f>278+150</f>
        <v>428</v>
      </c>
      <c r="C33" s="38">
        <f>291+150</f>
        <v>441</v>
      </c>
      <c r="D33" s="38">
        <f>209+150</f>
        <v>359</v>
      </c>
      <c r="E33" s="113">
        <f t="shared" si="2"/>
        <v>869</v>
      </c>
      <c r="F33" s="104">
        <f t="shared" si="3"/>
        <v>0.41311852704257768</v>
      </c>
      <c r="H33" s="232"/>
      <c r="I33" s="197"/>
      <c r="J33" s="197"/>
      <c r="K33" s="198"/>
      <c r="L33" s="82"/>
      <c r="M33" s="232"/>
      <c r="N33" s="197"/>
      <c r="O33" s="198"/>
      <c r="P33" s="107"/>
      <c r="Q33" s="236"/>
      <c r="R33" s="248"/>
      <c r="S33" s="249"/>
    </row>
    <row r="34" spans="1:19" ht="12.75">
      <c r="A34" s="111" t="s">
        <v>191</v>
      </c>
      <c r="B34" s="38">
        <f>202+150</f>
        <v>352</v>
      </c>
      <c r="C34" s="38">
        <f>334+150</f>
        <v>484</v>
      </c>
      <c r="D34" s="38">
        <f>156+150</f>
        <v>306</v>
      </c>
      <c r="E34" s="113">
        <f t="shared" si="2"/>
        <v>836</v>
      </c>
      <c r="F34" s="104">
        <f t="shared" si="3"/>
        <v>0.36602870813397131</v>
      </c>
      <c r="H34" s="232"/>
      <c r="I34" s="197"/>
      <c r="J34" s="197"/>
      <c r="K34" s="198"/>
      <c r="L34" s="82"/>
      <c r="M34" s="232"/>
      <c r="N34" s="197"/>
      <c r="O34" s="198"/>
      <c r="P34" s="107"/>
      <c r="Q34" s="236"/>
      <c r="R34" s="248"/>
      <c r="S34" s="249"/>
    </row>
    <row r="35" spans="1:19" ht="12.75">
      <c r="A35" s="111" t="s">
        <v>192</v>
      </c>
      <c r="B35" s="38">
        <f>160+150</f>
        <v>310</v>
      </c>
      <c r="C35" s="38">
        <f>363+150</f>
        <v>513</v>
      </c>
      <c r="D35" s="38">
        <f>137+150-100</f>
        <v>187</v>
      </c>
      <c r="E35" s="113">
        <f t="shared" si="2"/>
        <v>823</v>
      </c>
      <c r="F35" s="104">
        <f t="shared" si="3"/>
        <v>0.22721749696233293</v>
      </c>
      <c r="H35" s="188"/>
      <c r="I35" s="189"/>
      <c r="J35" s="189"/>
      <c r="K35" s="190"/>
      <c r="L35" s="82"/>
      <c r="M35" s="188"/>
      <c r="N35" s="189"/>
      <c r="O35" s="190"/>
      <c r="P35" s="107"/>
      <c r="Q35" s="237"/>
      <c r="R35" s="250"/>
      <c r="S35" s="251"/>
    </row>
    <row r="36" spans="1:19" ht="12.75">
      <c r="A36" s="119"/>
    </row>
    <row r="37" spans="1:19" ht="12.75">
      <c r="A37" s="222" t="s">
        <v>216</v>
      </c>
      <c r="B37" s="181"/>
      <c r="C37" s="181"/>
      <c r="D37" s="181"/>
      <c r="E37" s="181"/>
      <c r="F37" s="182"/>
      <c r="H37" s="231"/>
      <c r="I37" s="186"/>
      <c r="J37" s="186"/>
      <c r="K37" s="187"/>
      <c r="L37" s="82"/>
      <c r="M37" s="82"/>
      <c r="N37" s="82"/>
      <c r="O37" s="82"/>
    </row>
    <row r="38" spans="1:19" ht="12.75">
      <c r="A38" s="222" t="s">
        <v>217</v>
      </c>
      <c r="B38" s="181"/>
      <c r="C38" s="181"/>
      <c r="D38" s="181"/>
      <c r="E38" s="181"/>
      <c r="F38" s="182"/>
      <c r="H38" s="232"/>
      <c r="I38" s="197"/>
      <c r="J38" s="197"/>
      <c r="K38" s="198"/>
      <c r="L38" s="82"/>
      <c r="M38" s="233" t="s">
        <v>408</v>
      </c>
      <c r="N38" s="186"/>
      <c r="O38" s="187"/>
      <c r="Q38" s="234" t="s">
        <v>211</v>
      </c>
      <c r="R38" s="186"/>
      <c r="S38" s="235" t="s">
        <v>411</v>
      </c>
    </row>
    <row r="39" spans="1:19" ht="12.75">
      <c r="A39" s="8" t="s">
        <v>212</v>
      </c>
      <c r="B39" s="222" t="s">
        <v>174</v>
      </c>
      <c r="C39" s="181"/>
      <c r="D39" s="181"/>
      <c r="E39" s="181"/>
      <c r="F39" s="182"/>
      <c r="H39" s="232"/>
      <c r="I39" s="197"/>
      <c r="J39" s="197"/>
      <c r="K39" s="198"/>
      <c r="L39" s="82"/>
      <c r="M39" s="232"/>
      <c r="N39" s="197"/>
      <c r="O39" s="198"/>
      <c r="Q39" s="232"/>
      <c r="R39" s="197"/>
      <c r="S39" s="236"/>
    </row>
    <row r="40" spans="1:19" ht="38.25">
      <c r="A40" s="109" t="s">
        <v>213</v>
      </c>
      <c r="B40" s="110" t="s">
        <v>176</v>
      </c>
      <c r="C40" s="110" t="s">
        <v>177</v>
      </c>
      <c r="D40" s="110" t="s">
        <v>178</v>
      </c>
      <c r="E40" s="110" t="s">
        <v>179</v>
      </c>
      <c r="F40" s="110" t="s">
        <v>180</v>
      </c>
      <c r="G40" s="119"/>
      <c r="H40" s="232"/>
      <c r="I40" s="197"/>
      <c r="J40" s="197"/>
      <c r="K40" s="198"/>
      <c r="L40" s="82"/>
      <c r="M40" s="232"/>
      <c r="N40" s="197"/>
      <c r="O40" s="198"/>
      <c r="Q40" s="232"/>
      <c r="R40" s="197"/>
      <c r="S40" s="237"/>
    </row>
    <row r="41" spans="1:19" ht="14.25">
      <c r="A41" s="111" t="s">
        <v>186</v>
      </c>
      <c r="B41" s="38">
        <f>954+150</f>
        <v>1104</v>
      </c>
      <c r="C41" s="38">
        <f>192+150</f>
        <v>342</v>
      </c>
      <c r="D41" s="112">
        <f>303+300</f>
        <v>603</v>
      </c>
      <c r="E41" s="113">
        <f t="shared" ref="E41:E47" si="4">B41+C41</f>
        <v>1446</v>
      </c>
      <c r="F41" s="104">
        <f>D41/E41</f>
        <v>0.4170124481327801</v>
      </c>
      <c r="H41" s="232"/>
      <c r="I41" s="197"/>
      <c r="J41" s="197"/>
      <c r="K41" s="198"/>
      <c r="L41" s="82"/>
      <c r="M41" s="232"/>
      <c r="N41" s="197"/>
      <c r="O41" s="198"/>
      <c r="Q41" s="100"/>
      <c r="R41" s="83"/>
      <c r="S41" s="101"/>
    </row>
    <row r="42" spans="1:19" ht="12.75">
      <c r="A42" s="111" t="s">
        <v>187</v>
      </c>
      <c r="B42" s="38">
        <f>540+150</f>
        <v>690</v>
      </c>
      <c r="C42" s="38">
        <f>223+150</f>
        <v>373</v>
      </c>
      <c r="D42" s="38">
        <f>277+150</f>
        <v>427</v>
      </c>
      <c r="E42" s="113">
        <f t="shared" si="4"/>
        <v>1063</v>
      </c>
      <c r="F42" s="104">
        <f t="shared" ref="F42:F47" si="5">D42/E42</f>
        <v>0.40169332079021636</v>
      </c>
      <c r="H42" s="232"/>
      <c r="I42" s="197"/>
      <c r="J42" s="197"/>
      <c r="K42" s="198"/>
      <c r="L42" s="82"/>
      <c r="M42" s="232"/>
      <c r="N42" s="197"/>
      <c r="O42" s="198"/>
      <c r="Q42" s="245" t="s">
        <v>181</v>
      </c>
      <c r="R42" s="252" t="s">
        <v>412</v>
      </c>
      <c r="S42" s="187"/>
    </row>
    <row r="43" spans="1:19" ht="12.75">
      <c r="A43" s="111" t="s">
        <v>188</v>
      </c>
      <c r="B43" s="38">
        <f>402+150</f>
        <v>552</v>
      </c>
      <c r="C43" s="38">
        <f>238+150</f>
        <v>388</v>
      </c>
      <c r="D43" s="38">
        <f>262+150</f>
        <v>412</v>
      </c>
      <c r="E43" s="113">
        <f t="shared" si="4"/>
        <v>940</v>
      </c>
      <c r="F43" s="104">
        <f t="shared" si="5"/>
        <v>0.43829787234042555</v>
      </c>
      <c r="H43" s="232"/>
      <c r="I43" s="197"/>
      <c r="J43" s="197"/>
      <c r="K43" s="198"/>
      <c r="L43" s="82"/>
      <c r="M43" s="232"/>
      <c r="N43" s="197"/>
      <c r="O43" s="198"/>
      <c r="Q43" s="236"/>
      <c r="R43" s="232"/>
      <c r="S43" s="198"/>
    </row>
    <row r="44" spans="1:19" ht="12.75">
      <c r="A44" s="111" t="s">
        <v>189</v>
      </c>
      <c r="B44" s="38">
        <f>310+150</f>
        <v>460</v>
      </c>
      <c r="C44" s="38">
        <f>272+150</f>
        <v>422</v>
      </c>
      <c r="D44" s="38">
        <f>228+150</f>
        <v>378</v>
      </c>
      <c r="E44" s="113">
        <f t="shared" si="4"/>
        <v>882</v>
      </c>
      <c r="F44" s="104">
        <f t="shared" si="5"/>
        <v>0.42857142857142855</v>
      </c>
      <c r="H44" s="232"/>
      <c r="I44" s="197"/>
      <c r="J44" s="197"/>
      <c r="K44" s="198"/>
      <c r="L44" s="82"/>
      <c r="M44" s="232"/>
      <c r="N44" s="197"/>
      <c r="O44" s="198"/>
      <c r="Q44" s="236"/>
      <c r="R44" s="232"/>
      <c r="S44" s="198"/>
    </row>
    <row r="45" spans="1:19" ht="12.75">
      <c r="A45" s="111" t="s">
        <v>190</v>
      </c>
      <c r="B45" s="38">
        <f>278+150</f>
        <v>428</v>
      </c>
      <c r="C45" s="38">
        <f>291+150</f>
        <v>441</v>
      </c>
      <c r="D45" s="38">
        <f>209+150</f>
        <v>359</v>
      </c>
      <c r="E45" s="113">
        <f t="shared" si="4"/>
        <v>869</v>
      </c>
      <c r="F45" s="104">
        <f t="shared" si="5"/>
        <v>0.41311852704257768</v>
      </c>
      <c r="H45" s="232"/>
      <c r="I45" s="197"/>
      <c r="J45" s="197"/>
      <c r="K45" s="198"/>
      <c r="L45" s="82"/>
      <c r="M45" s="232"/>
      <c r="N45" s="197"/>
      <c r="O45" s="198"/>
      <c r="P45" s="107"/>
      <c r="Q45" s="236"/>
      <c r="R45" s="232"/>
      <c r="S45" s="198"/>
    </row>
    <row r="46" spans="1:19" ht="12.75">
      <c r="A46" s="111" t="s">
        <v>191</v>
      </c>
      <c r="B46" s="38">
        <f>202+150</f>
        <v>352</v>
      </c>
      <c r="C46" s="38">
        <f>334+150</f>
        <v>484</v>
      </c>
      <c r="D46" s="38">
        <f>156+150</f>
        <v>306</v>
      </c>
      <c r="E46" s="113">
        <f t="shared" si="4"/>
        <v>836</v>
      </c>
      <c r="F46" s="104">
        <f t="shared" si="5"/>
        <v>0.36602870813397131</v>
      </c>
      <c r="H46" s="232"/>
      <c r="I46" s="197"/>
      <c r="J46" s="197"/>
      <c r="K46" s="198"/>
      <c r="L46" s="82"/>
      <c r="M46" s="232"/>
      <c r="N46" s="197"/>
      <c r="O46" s="198"/>
      <c r="P46" s="107"/>
      <c r="Q46" s="236"/>
      <c r="R46" s="232"/>
      <c r="S46" s="198"/>
    </row>
    <row r="47" spans="1:19" ht="12.75">
      <c r="A47" s="111" t="s">
        <v>192</v>
      </c>
      <c r="B47" s="38">
        <f>160+150</f>
        <v>310</v>
      </c>
      <c r="C47" s="38">
        <f>363+150</f>
        <v>513</v>
      </c>
      <c r="D47" s="38">
        <f>137+150</f>
        <v>287</v>
      </c>
      <c r="E47" s="113">
        <f t="shared" si="4"/>
        <v>823</v>
      </c>
      <c r="F47" s="104">
        <f t="shared" si="5"/>
        <v>0.34872417982989062</v>
      </c>
      <c r="H47" s="188"/>
      <c r="I47" s="189"/>
      <c r="J47" s="189"/>
      <c r="K47" s="190"/>
      <c r="L47" s="82"/>
      <c r="M47" s="188"/>
      <c r="N47" s="189"/>
      <c r="O47" s="190"/>
      <c r="P47" s="107"/>
      <c r="Q47" s="237"/>
      <c r="R47" s="188"/>
      <c r="S47" s="190"/>
    </row>
    <row r="48" spans="1:19" ht="12.75">
      <c r="A48" s="119"/>
    </row>
    <row r="49" spans="1:19" ht="12.75">
      <c r="A49" s="119"/>
      <c r="R49" s="91" t="s">
        <v>196</v>
      </c>
      <c r="S49" s="91" t="s">
        <v>197</v>
      </c>
    </row>
    <row r="50" spans="1:19" ht="12.75">
      <c r="A50" s="119"/>
      <c r="P50" s="234" t="s">
        <v>218</v>
      </c>
      <c r="Q50" s="187"/>
      <c r="R50" s="244">
        <v>1</v>
      </c>
      <c r="S50" s="244">
        <v>1</v>
      </c>
    </row>
    <row r="51" spans="1:19" ht="12.75">
      <c r="A51" s="119"/>
      <c r="P51" s="232"/>
      <c r="Q51" s="198"/>
      <c r="R51" s="236"/>
      <c r="S51" s="236"/>
    </row>
    <row r="52" spans="1:19" ht="12.75">
      <c r="A52" s="119"/>
      <c r="P52" s="232"/>
      <c r="Q52" s="198"/>
      <c r="R52" s="236"/>
      <c r="S52" s="236"/>
    </row>
    <row r="53" spans="1:19" ht="12.75">
      <c r="A53" s="119"/>
      <c r="P53" s="232"/>
      <c r="Q53" s="198"/>
      <c r="R53" s="236"/>
      <c r="S53" s="236"/>
    </row>
    <row r="54" spans="1:19" ht="12.75">
      <c r="A54" s="119"/>
      <c r="P54" s="232"/>
      <c r="Q54" s="198"/>
      <c r="R54" s="236"/>
      <c r="S54" s="236"/>
    </row>
    <row r="55" spans="1:19" ht="12.75">
      <c r="A55" s="119"/>
      <c r="P55" s="188"/>
      <c r="Q55" s="190"/>
      <c r="R55" s="237"/>
      <c r="S55" s="237"/>
    </row>
    <row r="56" spans="1:19" ht="12.75">
      <c r="A56" s="119"/>
      <c r="Q56" s="83"/>
      <c r="R56" s="83"/>
      <c r="S56" s="83"/>
    </row>
    <row r="57" spans="1:19" ht="12.75">
      <c r="A57" s="119"/>
      <c r="Q57" s="83"/>
      <c r="R57" s="83"/>
      <c r="S57" s="83"/>
    </row>
    <row r="58" spans="1:19" ht="12.75">
      <c r="A58" s="119"/>
      <c r="Q58" s="245" t="s">
        <v>219</v>
      </c>
      <c r="R58" s="252" t="s">
        <v>413</v>
      </c>
      <c r="S58" s="187"/>
    </row>
    <row r="59" spans="1:19" ht="12.75">
      <c r="A59" s="119"/>
      <c r="Q59" s="236"/>
      <c r="R59" s="232"/>
      <c r="S59" s="198"/>
    </row>
    <row r="60" spans="1:19" ht="12.75">
      <c r="A60" s="119"/>
      <c r="Q60" s="236"/>
      <c r="R60" s="232"/>
      <c r="S60" s="198"/>
    </row>
    <row r="61" spans="1:19" ht="12.75">
      <c r="A61" s="119"/>
      <c r="Q61" s="236"/>
      <c r="R61" s="232"/>
      <c r="S61" s="198"/>
    </row>
    <row r="62" spans="1:19" ht="12.75">
      <c r="A62" s="119"/>
      <c r="Q62" s="236"/>
      <c r="R62" s="232"/>
      <c r="S62" s="198"/>
    </row>
    <row r="63" spans="1:19" ht="12.75">
      <c r="A63" s="119"/>
      <c r="Q63" s="237"/>
      <c r="R63" s="188"/>
      <c r="S63" s="190"/>
    </row>
  </sheetData>
  <mergeCells count="43">
    <mergeCell ref="A37:F37"/>
    <mergeCell ref="H37:K47"/>
    <mergeCell ref="A38:F38"/>
    <mergeCell ref="M38:O47"/>
    <mergeCell ref="B39:F39"/>
    <mergeCell ref="A26:F26"/>
    <mergeCell ref="M14:O23"/>
    <mergeCell ref="Q14:R16"/>
    <mergeCell ref="S14:S16"/>
    <mergeCell ref="R18:S23"/>
    <mergeCell ref="M26:O35"/>
    <mergeCell ref="Q26:R28"/>
    <mergeCell ref="S26:S28"/>
    <mergeCell ref="R30:S35"/>
    <mergeCell ref="B27:F27"/>
    <mergeCell ref="H13:K23"/>
    <mergeCell ref="H25:K35"/>
    <mergeCell ref="A6:I6"/>
    <mergeCell ref="A7:I7"/>
    <mergeCell ref="B15:F15"/>
    <mergeCell ref="A25:F25"/>
    <mergeCell ref="A14:F14"/>
    <mergeCell ref="A8:I8"/>
    <mergeCell ref="A9:I9"/>
    <mergeCell ref="A10:I10"/>
    <mergeCell ref="A11:I11"/>
    <mergeCell ref="A13:F13"/>
    <mergeCell ref="A1:S1"/>
    <mergeCell ref="A2:I2"/>
    <mergeCell ref="A3:I3"/>
    <mergeCell ref="A4:I4"/>
    <mergeCell ref="A5:I5"/>
    <mergeCell ref="R50:R55"/>
    <mergeCell ref="S50:S55"/>
    <mergeCell ref="Q58:Q63"/>
    <mergeCell ref="R58:S63"/>
    <mergeCell ref="Q18:Q23"/>
    <mergeCell ref="Q30:Q35"/>
    <mergeCell ref="Q38:R40"/>
    <mergeCell ref="S38:S40"/>
    <mergeCell ref="Q42:Q47"/>
    <mergeCell ref="R42:S47"/>
    <mergeCell ref="P50:Q5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62"/>
  <sheetViews>
    <sheetView showGridLines="0" topLeftCell="A27" workbookViewId="0">
      <selection activeCell="R57" sqref="R57:S62"/>
    </sheetView>
  </sheetViews>
  <sheetFormatPr defaultColWidth="12.5703125" defaultRowHeight="15.75" customHeight="1"/>
  <cols>
    <col min="2" max="2" width="10.140625" customWidth="1"/>
    <col min="3" max="3" width="15.28515625" customWidth="1"/>
    <col min="4" max="4" width="15.7109375" customWidth="1"/>
    <col min="5" max="5" width="7.85546875" customWidth="1"/>
    <col min="6" max="6" width="10" customWidth="1"/>
    <col min="19" max="19" width="23.5703125" customWidth="1"/>
  </cols>
  <sheetData>
    <row r="1" spans="1:19" ht="15.75" customHeight="1">
      <c r="A1" s="217" t="s">
        <v>19</v>
      </c>
      <c r="B1" s="181"/>
      <c r="C1" s="181"/>
      <c r="D1" s="181"/>
      <c r="E1" s="181"/>
      <c r="F1" s="181"/>
      <c r="G1" s="181"/>
      <c r="H1" s="181"/>
      <c r="I1" s="181"/>
      <c r="J1" s="181"/>
      <c r="K1" s="181"/>
      <c r="L1" s="181"/>
      <c r="M1" s="181"/>
      <c r="N1" s="181"/>
      <c r="O1" s="181"/>
      <c r="P1" s="181"/>
      <c r="Q1" s="181"/>
      <c r="R1" s="181"/>
      <c r="S1" s="182"/>
    </row>
    <row r="2" spans="1:19" ht="12.75">
      <c r="A2" s="209" t="s">
        <v>220</v>
      </c>
      <c r="B2" s="181"/>
      <c r="C2" s="181"/>
      <c r="D2" s="181"/>
      <c r="E2" s="181"/>
      <c r="F2" s="181"/>
      <c r="G2" s="181"/>
      <c r="H2" s="181"/>
      <c r="I2" s="181"/>
      <c r="J2" s="182"/>
      <c r="K2" s="81"/>
      <c r="L2" s="81"/>
      <c r="M2" s="81"/>
      <c r="N2" s="81"/>
      <c r="O2" s="81"/>
      <c r="P2" s="82"/>
      <c r="R2" s="83"/>
      <c r="S2" s="83"/>
    </row>
    <row r="3" spans="1:19" ht="12.75">
      <c r="A3" s="210" t="s">
        <v>221</v>
      </c>
      <c r="B3" s="181"/>
      <c r="C3" s="181"/>
      <c r="D3" s="181"/>
      <c r="E3" s="181"/>
      <c r="F3" s="181"/>
      <c r="G3" s="181"/>
      <c r="H3" s="181"/>
      <c r="I3" s="181"/>
      <c r="J3" s="182"/>
      <c r="K3" s="81"/>
      <c r="L3" s="81"/>
      <c r="M3" s="81"/>
      <c r="N3" s="81"/>
      <c r="O3" s="81"/>
      <c r="P3" s="82"/>
      <c r="R3" s="83"/>
      <c r="S3" s="83"/>
    </row>
    <row r="4" spans="1:19" ht="12.75">
      <c r="A4" s="192" t="s">
        <v>222</v>
      </c>
      <c r="B4" s="189"/>
      <c r="C4" s="189"/>
      <c r="D4" s="189"/>
      <c r="E4" s="189"/>
      <c r="F4" s="189"/>
      <c r="G4" s="189"/>
      <c r="H4" s="189"/>
      <c r="I4" s="189"/>
      <c r="J4" s="190"/>
      <c r="K4" s="81"/>
      <c r="L4" s="81"/>
      <c r="M4" s="81"/>
      <c r="N4" s="81"/>
      <c r="O4" s="81"/>
      <c r="P4" s="82"/>
      <c r="R4" s="83"/>
      <c r="S4" s="83"/>
    </row>
    <row r="5" spans="1:19" ht="12.75">
      <c r="A5" s="209" t="s">
        <v>223</v>
      </c>
      <c r="B5" s="181"/>
      <c r="C5" s="181"/>
      <c r="D5" s="181"/>
      <c r="E5" s="181"/>
      <c r="F5" s="181"/>
      <c r="G5" s="181"/>
      <c r="H5" s="181"/>
      <c r="I5" s="181"/>
      <c r="J5" s="182"/>
      <c r="K5" s="81"/>
      <c r="L5" s="81"/>
      <c r="M5" s="81"/>
      <c r="N5" s="81"/>
      <c r="O5" s="81"/>
      <c r="P5" s="82"/>
      <c r="R5" s="83"/>
      <c r="S5" s="83"/>
    </row>
    <row r="6" spans="1:19" ht="12.75">
      <c r="A6" s="253" t="s">
        <v>224</v>
      </c>
      <c r="B6" s="181"/>
      <c r="C6" s="181"/>
      <c r="D6" s="181"/>
      <c r="E6" s="181"/>
      <c r="F6" s="181"/>
      <c r="G6" s="181"/>
      <c r="H6" s="181"/>
      <c r="I6" s="181"/>
      <c r="J6" s="182"/>
      <c r="K6" s="84"/>
      <c r="L6" s="84"/>
      <c r="M6" s="84"/>
      <c r="N6" s="84"/>
      <c r="O6" s="84"/>
      <c r="P6" s="82"/>
      <c r="R6" s="83"/>
      <c r="S6" s="83"/>
    </row>
    <row r="7" spans="1:19" ht="12.75">
      <c r="A7" s="253" t="s">
        <v>225</v>
      </c>
      <c r="B7" s="181"/>
      <c r="C7" s="181"/>
      <c r="D7" s="181"/>
      <c r="E7" s="181"/>
      <c r="F7" s="181"/>
      <c r="G7" s="181"/>
      <c r="H7" s="181"/>
      <c r="I7" s="181"/>
      <c r="J7" s="182"/>
      <c r="K7" s="84"/>
      <c r="L7" s="84"/>
      <c r="M7" s="84"/>
      <c r="N7" s="84"/>
      <c r="O7" s="84"/>
      <c r="P7" s="82"/>
      <c r="R7" s="83"/>
      <c r="S7" s="83"/>
    </row>
    <row r="8" spans="1:19" ht="12.75">
      <c r="A8" s="253" t="s">
        <v>226</v>
      </c>
      <c r="B8" s="181"/>
      <c r="C8" s="181"/>
      <c r="D8" s="181"/>
      <c r="E8" s="181"/>
      <c r="F8" s="181"/>
      <c r="G8" s="181"/>
      <c r="H8" s="181"/>
      <c r="I8" s="181"/>
      <c r="J8" s="182"/>
      <c r="K8" s="84"/>
      <c r="L8" s="84"/>
      <c r="M8" s="84"/>
      <c r="N8" s="84"/>
      <c r="O8" s="84"/>
      <c r="P8" s="82"/>
      <c r="R8" s="83"/>
      <c r="S8" s="83"/>
    </row>
    <row r="9" spans="1:19" ht="12.75">
      <c r="A9" s="253" t="s">
        <v>227</v>
      </c>
      <c r="B9" s="181"/>
      <c r="C9" s="181"/>
      <c r="D9" s="181"/>
      <c r="E9" s="181"/>
      <c r="F9" s="181"/>
      <c r="G9" s="181"/>
      <c r="H9" s="181"/>
      <c r="I9" s="181"/>
      <c r="J9" s="182"/>
      <c r="K9" s="84"/>
      <c r="L9" s="84"/>
      <c r="M9" s="84"/>
      <c r="N9" s="84"/>
      <c r="O9" s="84"/>
      <c r="P9" s="82"/>
      <c r="R9" s="83"/>
      <c r="S9" s="83"/>
    </row>
    <row r="10" spans="1:19" ht="12.75">
      <c r="A10" s="253" t="s">
        <v>228</v>
      </c>
      <c r="B10" s="181"/>
      <c r="C10" s="181"/>
      <c r="D10" s="181"/>
      <c r="E10" s="181"/>
      <c r="F10" s="181"/>
      <c r="G10" s="181"/>
      <c r="H10" s="181"/>
      <c r="I10" s="181"/>
      <c r="J10" s="182"/>
      <c r="K10" s="84"/>
      <c r="L10" s="84"/>
      <c r="M10" s="84"/>
      <c r="N10" s="84"/>
      <c r="O10" s="84"/>
      <c r="P10" s="82"/>
    </row>
    <row r="11" spans="1:19" ht="12.75">
      <c r="A11" s="225" t="s">
        <v>37</v>
      </c>
      <c r="B11" s="197"/>
      <c r="C11" s="197"/>
      <c r="D11" s="197"/>
      <c r="E11" s="197"/>
      <c r="F11" s="197"/>
      <c r="G11" s="197"/>
      <c r="H11" s="197"/>
      <c r="I11" s="197"/>
      <c r="J11" s="89"/>
      <c r="K11" s="89"/>
      <c r="L11" s="89"/>
      <c r="M11" s="89"/>
      <c r="N11" s="89"/>
      <c r="O11" s="89"/>
      <c r="P11" s="82"/>
      <c r="R11" s="83"/>
      <c r="S11" s="83"/>
    </row>
    <row r="12" spans="1:19" ht="12.75">
      <c r="A12" s="222" t="s">
        <v>229</v>
      </c>
      <c r="B12" s="181"/>
      <c r="C12" s="181"/>
      <c r="D12" s="181"/>
      <c r="E12" s="181"/>
      <c r="F12" s="182"/>
      <c r="H12" s="254"/>
      <c r="I12" s="186"/>
      <c r="J12" s="186"/>
      <c r="K12" s="187"/>
      <c r="L12" s="82"/>
      <c r="M12" s="82"/>
      <c r="N12" s="82"/>
      <c r="O12" s="82"/>
    </row>
    <row r="13" spans="1:19" ht="12.75">
      <c r="A13" s="222" t="s">
        <v>230</v>
      </c>
      <c r="B13" s="181"/>
      <c r="C13" s="181"/>
      <c r="D13" s="181"/>
      <c r="E13" s="181"/>
      <c r="F13" s="182"/>
      <c r="H13" s="232"/>
      <c r="I13" s="197"/>
      <c r="J13" s="197"/>
      <c r="K13" s="198"/>
      <c r="L13" s="82"/>
      <c r="M13" s="233" t="s">
        <v>414</v>
      </c>
      <c r="N13" s="186"/>
      <c r="O13" s="187"/>
      <c r="Q13" s="234" t="s">
        <v>231</v>
      </c>
      <c r="R13" s="187"/>
      <c r="S13" s="235" t="s">
        <v>87</v>
      </c>
    </row>
    <row r="14" spans="1:19" ht="12.75">
      <c r="A14" s="8" t="s">
        <v>212</v>
      </c>
      <c r="B14" s="222" t="s">
        <v>174</v>
      </c>
      <c r="C14" s="181"/>
      <c r="D14" s="181"/>
      <c r="E14" s="181"/>
      <c r="F14" s="182"/>
      <c r="H14" s="232"/>
      <c r="I14" s="197"/>
      <c r="J14" s="197"/>
      <c r="K14" s="198"/>
      <c r="L14" s="82"/>
      <c r="M14" s="232"/>
      <c r="N14" s="197"/>
      <c r="O14" s="198"/>
      <c r="Q14" s="232"/>
      <c r="R14" s="198"/>
      <c r="S14" s="236"/>
    </row>
    <row r="15" spans="1:19" ht="38.25">
      <c r="A15" s="109" t="s">
        <v>213</v>
      </c>
      <c r="B15" s="110" t="s">
        <v>176</v>
      </c>
      <c r="C15" s="110" t="s">
        <v>177</v>
      </c>
      <c r="D15" s="110" t="s">
        <v>178</v>
      </c>
      <c r="E15" s="110" t="s">
        <v>179</v>
      </c>
      <c r="F15" s="110" t="s">
        <v>180</v>
      </c>
      <c r="G15" s="119"/>
      <c r="H15" s="232"/>
      <c r="I15" s="197"/>
      <c r="J15" s="197"/>
      <c r="K15" s="198"/>
      <c r="L15" s="82"/>
      <c r="M15" s="232"/>
      <c r="N15" s="197"/>
      <c r="O15" s="198"/>
      <c r="Q15" s="188"/>
      <c r="R15" s="190"/>
      <c r="S15" s="237"/>
    </row>
    <row r="16" spans="1:19" ht="14.25">
      <c r="A16" s="111" t="s">
        <v>186</v>
      </c>
      <c r="B16" s="38">
        <f>954+150+100</f>
        <v>1204</v>
      </c>
      <c r="C16" s="38">
        <f>192+150</f>
        <v>342</v>
      </c>
      <c r="D16" s="112">
        <f>303+300</f>
        <v>603</v>
      </c>
      <c r="E16" s="113">
        <f t="shared" ref="E16:E22" si="0">B16+C16</f>
        <v>1546</v>
      </c>
      <c r="F16" s="98">
        <v>0.39</v>
      </c>
      <c r="H16" s="232"/>
      <c r="I16" s="197"/>
      <c r="J16" s="197"/>
      <c r="K16" s="198"/>
      <c r="L16" s="82"/>
      <c r="M16" s="232"/>
      <c r="N16" s="197"/>
      <c r="O16" s="198"/>
      <c r="Q16" s="100"/>
      <c r="R16" s="83"/>
      <c r="S16" s="101"/>
    </row>
    <row r="17" spans="1:19" ht="12.75">
      <c r="A17" s="111" t="s">
        <v>187</v>
      </c>
      <c r="B17" s="38">
        <f>540+150+100</f>
        <v>790</v>
      </c>
      <c r="C17" s="38">
        <f>223+150</f>
        <v>373</v>
      </c>
      <c r="D17" s="38">
        <f>277+150</f>
        <v>427</v>
      </c>
      <c r="E17" s="113">
        <f t="shared" si="0"/>
        <v>1163</v>
      </c>
      <c r="F17" s="104">
        <f>D17/E17</f>
        <v>0.36715391229578676</v>
      </c>
      <c r="H17" s="232"/>
      <c r="I17" s="197"/>
      <c r="J17" s="197"/>
      <c r="K17" s="198"/>
      <c r="L17" s="82"/>
      <c r="M17" s="232"/>
      <c r="N17" s="197"/>
      <c r="O17" s="198"/>
      <c r="Q17" s="245" t="s">
        <v>181</v>
      </c>
      <c r="R17" s="246" t="s">
        <v>415</v>
      </c>
      <c r="S17" s="247"/>
    </row>
    <row r="18" spans="1:19" ht="12.75">
      <c r="A18" s="111" t="s">
        <v>188</v>
      </c>
      <c r="B18" s="38">
        <f>402+150+100</f>
        <v>652</v>
      </c>
      <c r="C18" s="38">
        <f>238+150</f>
        <v>388</v>
      </c>
      <c r="D18" s="38">
        <f>262+150</f>
        <v>412</v>
      </c>
      <c r="E18" s="113">
        <f t="shared" si="0"/>
        <v>1040</v>
      </c>
      <c r="F18" s="104">
        <f t="shared" ref="F18:F22" si="1">D18/E18</f>
        <v>0.39615384615384613</v>
      </c>
      <c r="H18" s="232"/>
      <c r="I18" s="197"/>
      <c r="J18" s="197"/>
      <c r="K18" s="198"/>
      <c r="L18" s="82"/>
      <c r="M18" s="232"/>
      <c r="N18" s="197"/>
      <c r="O18" s="198"/>
      <c r="Q18" s="236"/>
      <c r="R18" s="248"/>
      <c r="S18" s="249"/>
    </row>
    <row r="19" spans="1:19" ht="12.75">
      <c r="A19" s="111" t="s">
        <v>189</v>
      </c>
      <c r="B19" s="38">
        <f>310+150+100</f>
        <v>560</v>
      </c>
      <c r="C19" s="38">
        <f>272+150</f>
        <v>422</v>
      </c>
      <c r="D19" s="38">
        <f>228+150</f>
        <v>378</v>
      </c>
      <c r="E19" s="113">
        <f t="shared" si="0"/>
        <v>982</v>
      </c>
      <c r="F19" s="104">
        <f t="shared" si="1"/>
        <v>0.38492871690427699</v>
      </c>
      <c r="H19" s="232"/>
      <c r="I19" s="197"/>
      <c r="J19" s="197"/>
      <c r="K19" s="198"/>
      <c r="L19" s="82"/>
      <c r="M19" s="232"/>
      <c r="N19" s="197"/>
      <c r="O19" s="198"/>
      <c r="Q19" s="236"/>
      <c r="R19" s="248"/>
      <c r="S19" s="249"/>
    </row>
    <row r="20" spans="1:19" ht="12.75">
      <c r="A20" s="111" t="s">
        <v>190</v>
      </c>
      <c r="B20" s="38">
        <f>278+150+100</f>
        <v>528</v>
      </c>
      <c r="C20" s="38">
        <f>291+150</f>
        <v>441</v>
      </c>
      <c r="D20" s="38">
        <f>209+150</f>
        <v>359</v>
      </c>
      <c r="E20" s="113">
        <f t="shared" si="0"/>
        <v>969</v>
      </c>
      <c r="F20" s="104">
        <f t="shared" si="1"/>
        <v>0.37048503611971106</v>
      </c>
      <c r="H20" s="232"/>
      <c r="I20" s="197"/>
      <c r="J20" s="197"/>
      <c r="K20" s="198"/>
      <c r="L20" s="82"/>
      <c r="M20" s="232"/>
      <c r="N20" s="197"/>
      <c r="O20" s="198"/>
      <c r="P20" s="107"/>
      <c r="Q20" s="236"/>
      <c r="R20" s="248"/>
      <c r="S20" s="249"/>
    </row>
    <row r="21" spans="1:19" ht="12.75">
      <c r="A21" s="111" t="s">
        <v>191</v>
      </c>
      <c r="B21" s="38">
        <f>202+150+100</f>
        <v>452</v>
      </c>
      <c r="C21" s="38">
        <f>334+150</f>
        <v>484</v>
      </c>
      <c r="D21" s="38">
        <f>156+150</f>
        <v>306</v>
      </c>
      <c r="E21" s="113">
        <f t="shared" si="0"/>
        <v>936</v>
      </c>
      <c r="F21" s="104">
        <f t="shared" si="1"/>
        <v>0.32692307692307693</v>
      </c>
      <c r="H21" s="232"/>
      <c r="I21" s="197"/>
      <c r="J21" s="197"/>
      <c r="K21" s="198"/>
      <c r="L21" s="82"/>
      <c r="M21" s="232"/>
      <c r="N21" s="197"/>
      <c r="O21" s="198"/>
      <c r="P21" s="107"/>
      <c r="Q21" s="236"/>
      <c r="R21" s="248"/>
      <c r="S21" s="249"/>
    </row>
    <row r="22" spans="1:19" ht="12.75">
      <c r="A22" s="111" t="s">
        <v>192</v>
      </c>
      <c r="B22" s="38">
        <f>160+150+100</f>
        <v>410</v>
      </c>
      <c r="C22" s="38">
        <f>363+150</f>
        <v>513</v>
      </c>
      <c r="D22" s="38">
        <f>137+150</f>
        <v>287</v>
      </c>
      <c r="E22" s="113">
        <f t="shared" si="0"/>
        <v>923</v>
      </c>
      <c r="F22" s="104">
        <f t="shared" si="1"/>
        <v>0.31094257854821233</v>
      </c>
      <c r="H22" s="188"/>
      <c r="I22" s="189"/>
      <c r="J22" s="189"/>
      <c r="K22" s="190"/>
      <c r="L22" s="82"/>
      <c r="M22" s="188"/>
      <c r="N22" s="189"/>
      <c r="O22" s="190"/>
      <c r="P22" s="107"/>
      <c r="Q22" s="237"/>
      <c r="R22" s="250"/>
      <c r="S22" s="251"/>
    </row>
    <row r="23" spans="1:19" ht="12.75">
      <c r="A23" s="119"/>
      <c r="C23" s="105"/>
    </row>
    <row r="24" spans="1:19" ht="12.75">
      <c r="A24" s="222" t="s">
        <v>232</v>
      </c>
      <c r="B24" s="181"/>
      <c r="C24" s="181"/>
      <c r="D24" s="181"/>
      <c r="E24" s="181"/>
      <c r="F24" s="182"/>
      <c r="H24" s="254"/>
      <c r="I24" s="186"/>
      <c r="J24" s="186"/>
      <c r="K24" s="187"/>
      <c r="L24" s="82"/>
      <c r="M24" s="82"/>
      <c r="N24" s="82"/>
      <c r="O24" s="82"/>
    </row>
    <row r="25" spans="1:19" ht="12.75">
      <c r="A25" s="222" t="s">
        <v>233</v>
      </c>
      <c r="B25" s="181"/>
      <c r="C25" s="181"/>
      <c r="D25" s="181"/>
      <c r="E25" s="181"/>
      <c r="F25" s="182"/>
      <c r="H25" s="232"/>
      <c r="I25" s="197"/>
      <c r="J25" s="197"/>
      <c r="K25" s="198"/>
      <c r="L25" s="82"/>
      <c r="M25" s="233" t="s">
        <v>416</v>
      </c>
      <c r="N25" s="186"/>
      <c r="O25" s="187"/>
      <c r="Q25" s="234" t="s">
        <v>231</v>
      </c>
      <c r="R25" s="187"/>
      <c r="S25" s="235" t="s">
        <v>411</v>
      </c>
    </row>
    <row r="26" spans="1:19" ht="12.75">
      <c r="A26" s="8" t="s">
        <v>212</v>
      </c>
      <c r="B26" s="222" t="s">
        <v>174</v>
      </c>
      <c r="C26" s="181"/>
      <c r="D26" s="181"/>
      <c r="E26" s="181"/>
      <c r="F26" s="182"/>
      <c r="H26" s="232"/>
      <c r="I26" s="197"/>
      <c r="J26" s="197"/>
      <c r="K26" s="198"/>
      <c r="L26" s="82"/>
      <c r="M26" s="232"/>
      <c r="N26" s="197"/>
      <c r="O26" s="198"/>
      <c r="Q26" s="232"/>
      <c r="R26" s="198"/>
      <c r="S26" s="236"/>
    </row>
    <row r="27" spans="1:19" ht="38.25">
      <c r="A27" s="109" t="s">
        <v>213</v>
      </c>
      <c r="B27" s="110" t="s">
        <v>176</v>
      </c>
      <c r="C27" s="110" t="s">
        <v>177</v>
      </c>
      <c r="D27" s="110" t="s">
        <v>178</v>
      </c>
      <c r="E27" s="110" t="s">
        <v>179</v>
      </c>
      <c r="F27" s="110" t="s">
        <v>180</v>
      </c>
      <c r="G27" s="119"/>
      <c r="H27" s="232"/>
      <c r="I27" s="197"/>
      <c r="J27" s="197"/>
      <c r="K27" s="198"/>
      <c r="L27" s="82"/>
      <c r="M27" s="232"/>
      <c r="N27" s="197"/>
      <c r="O27" s="198"/>
      <c r="Q27" s="188"/>
      <c r="R27" s="190"/>
      <c r="S27" s="237"/>
    </row>
    <row r="28" spans="1:19" ht="14.25">
      <c r="A28" s="111" t="s">
        <v>186</v>
      </c>
      <c r="B28" s="38">
        <f>954+150+100</f>
        <v>1204</v>
      </c>
      <c r="C28" s="115">
        <v>200</v>
      </c>
      <c r="D28" s="114">
        <v>800</v>
      </c>
      <c r="E28" s="113">
        <f t="shared" ref="E28:E34" si="2">B28+C28</f>
        <v>1404</v>
      </c>
      <c r="F28" s="104">
        <f>D28/E28</f>
        <v>0.56980056980056981</v>
      </c>
      <c r="H28" s="232"/>
      <c r="I28" s="197"/>
      <c r="J28" s="197"/>
      <c r="K28" s="198"/>
      <c r="L28" s="82"/>
      <c r="M28" s="232"/>
      <c r="N28" s="197"/>
      <c r="O28" s="198"/>
      <c r="Q28" s="100"/>
      <c r="R28" s="83"/>
      <c r="S28" s="101"/>
    </row>
    <row r="29" spans="1:19" ht="12.75">
      <c r="A29" s="111" t="s">
        <v>187</v>
      </c>
      <c r="B29" s="38">
        <f>540+150+100</f>
        <v>790</v>
      </c>
      <c r="C29" s="38">
        <f>223+150</f>
        <v>373</v>
      </c>
      <c r="D29" s="38">
        <f>277+150+200</f>
        <v>627</v>
      </c>
      <c r="E29" s="113">
        <f t="shared" si="2"/>
        <v>1163</v>
      </c>
      <c r="F29" s="104">
        <f t="shared" ref="F29:F34" si="3">D29/E29</f>
        <v>0.5391229578675838</v>
      </c>
      <c r="H29" s="232"/>
      <c r="I29" s="197"/>
      <c r="J29" s="197"/>
      <c r="K29" s="198"/>
      <c r="L29" s="82"/>
      <c r="M29" s="232"/>
      <c r="N29" s="197"/>
      <c r="O29" s="198"/>
      <c r="Q29" s="245" t="s">
        <v>181</v>
      </c>
      <c r="R29" s="246" t="s">
        <v>417</v>
      </c>
      <c r="S29" s="247"/>
    </row>
    <row r="30" spans="1:19" ht="12.75">
      <c r="A30" s="111" t="s">
        <v>188</v>
      </c>
      <c r="B30" s="115">
        <v>620</v>
      </c>
      <c r="C30" s="38">
        <f>238+150</f>
        <v>388</v>
      </c>
      <c r="D30" s="38">
        <f>262+150+120</f>
        <v>532</v>
      </c>
      <c r="E30" s="113">
        <f t="shared" si="2"/>
        <v>1008</v>
      </c>
      <c r="F30" s="104">
        <f t="shared" si="3"/>
        <v>0.52777777777777779</v>
      </c>
      <c r="H30" s="232"/>
      <c r="I30" s="197"/>
      <c r="J30" s="197"/>
      <c r="K30" s="198"/>
      <c r="L30" s="82"/>
      <c r="M30" s="232"/>
      <c r="N30" s="197"/>
      <c r="O30" s="198"/>
      <c r="Q30" s="236"/>
      <c r="R30" s="248"/>
      <c r="S30" s="249"/>
    </row>
    <row r="31" spans="1:19" ht="12.75">
      <c r="A31" s="111" t="s">
        <v>189</v>
      </c>
      <c r="B31" s="115">
        <v>510</v>
      </c>
      <c r="C31" s="38">
        <f>272+150-50</f>
        <v>372</v>
      </c>
      <c r="D31" s="38">
        <f>228+150+80</f>
        <v>458</v>
      </c>
      <c r="E31" s="113">
        <f t="shared" si="2"/>
        <v>882</v>
      </c>
      <c r="F31" s="104">
        <f t="shared" si="3"/>
        <v>0.51927437641723351</v>
      </c>
      <c r="H31" s="232"/>
      <c r="I31" s="197"/>
      <c r="J31" s="197"/>
      <c r="K31" s="198"/>
      <c r="L31" s="82"/>
      <c r="M31" s="232"/>
      <c r="N31" s="197"/>
      <c r="O31" s="198"/>
      <c r="Q31" s="236"/>
      <c r="R31" s="248"/>
      <c r="S31" s="249"/>
    </row>
    <row r="32" spans="1:19" ht="12.75">
      <c r="A32" s="111" t="s">
        <v>190</v>
      </c>
      <c r="B32" s="115">
        <v>272</v>
      </c>
      <c r="C32" s="38">
        <f>291+150</f>
        <v>441</v>
      </c>
      <c r="D32" s="38">
        <f>209+150</f>
        <v>359</v>
      </c>
      <c r="E32" s="113">
        <f t="shared" si="2"/>
        <v>713</v>
      </c>
      <c r="F32" s="104">
        <f t="shared" si="3"/>
        <v>0.50350631136044877</v>
      </c>
      <c r="H32" s="232"/>
      <c r="I32" s="197"/>
      <c r="J32" s="197"/>
      <c r="K32" s="198"/>
      <c r="L32" s="82"/>
      <c r="M32" s="232"/>
      <c r="N32" s="197"/>
      <c r="O32" s="198"/>
      <c r="P32" s="107"/>
      <c r="Q32" s="236"/>
      <c r="R32" s="248"/>
      <c r="S32" s="249"/>
    </row>
    <row r="33" spans="1:19" ht="12.75">
      <c r="A33" s="111" t="s">
        <v>191</v>
      </c>
      <c r="B33" s="115">
        <v>135</v>
      </c>
      <c r="C33" s="38">
        <f>334+150</f>
        <v>484</v>
      </c>
      <c r="D33" s="38">
        <f>156+150</f>
        <v>306</v>
      </c>
      <c r="E33" s="113">
        <f t="shared" si="2"/>
        <v>619</v>
      </c>
      <c r="F33" s="104">
        <f t="shared" si="3"/>
        <v>0.49434571890145396</v>
      </c>
      <c r="H33" s="232"/>
      <c r="I33" s="197"/>
      <c r="J33" s="197"/>
      <c r="K33" s="198"/>
      <c r="L33" s="82"/>
      <c r="M33" s="232"/>
      <c r="N33" s="197"/>
      <c r="O33" s="198"/>
      <c r="P33" s="107"/>
      <c r="Q33" s="236"/>
      <c r="R33" s="248"/>
      <c r="S33" s="249"/>
    </row>
    <row r="34" spans="1:19" ht="12.75">
      <c r="A34" s="111" t="s">
        <v>192</v>
      </c>
      <c r="B34" s="115">
        <v>50</v>
      </c>
      <c r="C34" s="115">
        <v>590</v>
      </c>
      <c r="D34" s="115">
        <v>300</v>
      </c>
      <c r="E34" s="113">
        <f t="shared" si="2"/>
        <v>640</v>
      </c>
      <c r="F34" s="104">
        <f t="shared" si="3"/>
        <v>0.46875</v>
      </c>
      <c r="H34" s="188"/>
      <c r="I34" s="189"/>
      <c r="J34" s="189"/>
      <c r="K34" s="190"/>
      <c r="L34" s="82"/>
      <c r="M34" s="188"/>
      <c r="N34" s="189"/>
      <c r="O34" s="190"/>
      <c r="P34" s="107"/>
      <c r="Q34" s="237"/>
      <c r="R34" s="250"/>
      <c r="S34" s="251"/>
    </row>
    <row r="35" spans="1:19" ht="12.75">
      <c r="A35" s="119"/>
    </row>
    <row r="36" spans="1:19" ht="12.75">
      <c r="A36" s="222" t="s">
        <v>234</v>
      </c>
      <c r="B36" s="181"/>
      <c r="C36" s="181"/>
      <c r="D36" s="181"/>
      <c r="E36" s="181"/>
      <c r="F36" s="182"/>
      <c r="H36" s="254"/>
      <c r="I36" s="186"/>
      <c r="J36" s="186"/>
      <c r="K36" s="187"/>
      <c r="L36" s="82"/>
      <c r="M36" s="82"/>
      <c r="N36" s="82"/>
      <c r="O36" s="82"/>
    </row>
    <row r="37" spans="1:19" ht="12.75">
      <c r="A37" s="222" t="s">
        <v>235</v>
      </c>
      <c r="B37" s="181"/>
      <c r="C37" s="181"/>
      <c r="D37" s="181"/>
      <c r="E37" s="181"/>
      <c r="F37" s="182"/>
      <c r="H37" s="232"/>
      <c r="I37" s="197"/>
      <c r="J37" s="197"/>
      <c r="K37" s="198"/>
      <c r="L37" s="82"/>
      <c r="M37" s="233" t="s">
        <v>418</v>
      </c>
      <c r="N37" s="186"/>
      <c r="O37" s="187"/>
      <c r="Q37" s="234" t="s">
        <v>231</v>
      </c>
      <c r="R37" s="187"/>
      <c r="S37" s="235" t="s">
        <v>87</v>
      </c>
    </row>
    <row r="38" spans="1:19" ht="12.75">
      <c r="A38" s="8" t="s">
        <v>212</v>
      </c>
      <c r="B38" s="222" t="s">
        <v>174</v>
      </c>
      <c r="C38" s="181"/>
      <c r="D38" s="181"/>
      <c r="E38" s="181"/>
      <c r="F38" s="182"/>
      <c r="H38" s="232"/>
      <c r="I38" s="197"/>
      <c r="J38" s="197"/>
      <c r="K38" s="198"/>
      <c r="L38" s="82"/>
      <c r="M38" s="232"/>
      <c r="N38" s="197"/>
      <c r="O38" s="198"/>
      <c r="Q38" s="232"/>
      <c r="R38" s="198"/>
      <c r="S38" s="236"/>
    </row>
    <row r="39" spans="1:19" ht="38.25">
      <c r="A39" s="109" t="s">
        <v>236</v>
      </c>
      <c r="B39" s="110" t="s">
        <v>176</v>
      </c>
      <c r="C39" s="110" t="s">
        <v>177</v>
      </c>
      <c r="D39" s="110" t="s">
        <v>178</v>
      </c>
      <c r="E39" s="110" t="s">
        <v>179</v>
      </c>
      <c r="F39" s="110" t="s">
        <v>180</v>
      </c>
      <c r="G39" s="119"/>
      <c r="H39" s="232"/>
      <c r="I39" s="197"/>
      <c r="J39" s="197"/>
      <c r="K39" s="198"/>
      <c r="L39" s="82"/>
      <c r="M39" s="232"/>
      <c r="N39" s="197"/>
      <c r="O39" s="198"/>
      <c r="Q39" s="188"/>
      <c r="R39" s="190"/>
      <c r="S39" s="237"/>
    </row>
    <row r="40" spans="1:19" ht="14.25">
      <c r="A40" s="111" t="s">
        <v>186</v>
      </c>
      <c r="B40" s="38">
        <f>954-750+100</f>
        <v>304</v>
      </c>
      <c r="C40" s="38">
        <f>192+150</f>
        <v>342</v>
      </c>
      <c r="D40" s="112">
        <f>303+150</f>
        <v>453</v>
      </c>
      <c r="E40" s="113">
        <f t="shared" ref="E40:E46" si="4">B40+C40</f>
        <v>646</v>
      </c>
      <c r="F40" s="104">
        <f>D40/E40</f>
        <v>0.70123839009287925</v>
      </c>
      <c r="H40" s="232"/>
      <c r="I40" s="197"/>
      <c r="J40" s="197"/>
      <c r="K40" s="198"/>
      <c r="L40" s="82"/>
      <c r="M40" s="232"/>
      <c r="N40" s="197"/>
      <c r="O40" s="198"/>
      <c r="Q40" s="100"/>
      <c r="R40" s="83"/>
      <c r="S40" s="101"/>
    </row>
    <row r="41" spans="1:19" ht="12.75">
      <c r="A41" s="111" t="s">
        <v>187</v>
      </c>
      <c r="B41" s="38">
        <f>540-370+100</f>
        <v>270</v>
      </c>
      <c r="C41" s="115">
        <v>360</v>
      </c>
      <c r="D41" s="38">
        <f>277+150</f>
        <v>427</v>
      </c>
      <c r="E41" s="113">
        <f t="shared" si="4"/>
        <v>630</v>
      </c>
      <c r="F41" s="104">
        <f t="shared" ref="F41:F46" si="5">D41/E41</f>
        <v>0.67777777777777781</v>
      </c>
      <c r="H41" s="232"/>
      <c r="I41" s="197"/>
      <c r="J41" s="197"/>
      <c r="K41" s="198"/>
      <c r="L41" s="82"/>
      <c r="M41" s="232"/>
      <c r="N41" s="197"/>
      <c r="O41" s="198"/>
      <c r="Q41" s="245" t="s">
        <v>181</v>
      </c>
      <c r="R41" s="246" t="s">
        <v>419</v>
      </c>
      <c r="S41" s="247"/>
    </row>
    <row r="42" spans="1:19" ht="12.75">
      <c r="A42" s="111" t="s">
        <v>188</v>
      </c>
      <c r="B42" s="38">
        <f>402-250+100</f>
        <v>252</v>
      </c>
      <c r="C42" s="115">
        <v>370</v>
      </c>
      <c r="D42" s="38">
        <f>262+150</f>
        <v>412</v>
      </c>
      <c r="E42" s="113">
        <f t="shared" si="4"/>
        <v>622</v>
      </c>
      <c r="F42" s="104">
        <f t="shared" si="5"/>
        <v>0.66237942122186499</v>
      </c>
      <c r="H42" s="232"/>
      <c r="I42" s="197"/>
      <c r="J42" s="197"/>
      <c r="K42" s="198"/>
      <c r="L42" s="82"/>
      <c r="M42" s="232"/>
      <c r="N42" s="197"/>
      <c r="O42" s="198"/>
      <c r="Q42" s="236"/>
      <c r="R42" s="248"/>
      <c r="S42" s="249"/>
    </row>
    <row r="43" spans="1:19" ht="12.75">
      <c r="A43" s="111" t="s">
        <v>189</v>
      </c>
      <c r="B43" s="38">
        <f>310-200+100</f>
        <v>210</v>
      </c>
      <c r="C43" s="115">
        <v>380</v>
      </c>
      <c r="D43" s="38">
        <f>228+150</f>
        <v>378</v>
      </c>
      <c r="E43" s="113">
        <f t="shared" si="4"/>
        <v>590</v>
      </c>
      <c r="F43" s="104">
        <f t="shared" si="5"/>
        <v>0.64067796610169492</v>
      </c>
      <c r="H43" s="232"/>
      <c r="I43" s="197"/>
      <c r="J43" s="197"/>
      <c r="K43" s="198"/>
      <c r="L43" s="82"/>
      <c r="M43" s="232"/>
      <c r="N43" s="197"/>
      <c r="O43" s="198"/>
      <c r="Q43" s="236"/>
      <c r="R43" s="248"/>
      <c r="S43" s="249"/>
    </row>
    <row r="44" spans="1:19" ht="12.75">
      <c r="A44" s="111" t="s">
        <v>190</v>
      </c>
      <c r="B44" s="115">
        <f>90+100</f>
        <v>190</v>
      </c>
      <c r="C44" s="115">
        <v>520</v>
      </c>
      <c r="D44" s="38">
        <f>209+150</f>
        <v>359</v>
      </c>
      <c r="E44" s="113">
        <f t="shared" si="4"/>
        <v>710</v>
      </c>
      <c r="F44" s="104">
        <f t="shared" si="5"/>
        <v>0.5056338028169014</v>
      </c>
      <c r="H44" s="232"/>
      <c r="I44" s="197"/>
      <c r="J44" s="197"/>
      <c r="K44" s="198"/>
      <c r="L44" s="82"/>
      <c r="M44" s="232"/>
      <c r="N44" s="197"/>
      <c r="O44" s="198"/>
      <c r="P44" s="107"/>
      <c r="Q44" s="236"/>
      <c r="R44" s="248"/>
      <c r="S44" s="249"/>
    </row>
    <row r="45" spans="1:19" ht="12.75">
      <c r="A45" s="111" t="s">
        <v>191</v>
      </c>
      <c r="B45" s="115">
        <f>65+100</f>
        <v>165</v>
      </c>
      <c r="C45" s="115">
        <v>650</v>
      </c>
      <c r="D45" s="38">
        <f>156+150</f>
        <v>306</v>
      </c>
      <c r="E45" s="113">
        <f t="shared" si="4"/>
        <v>815</v>
      </c>
      <c r="F45" s="104">
        <f t="shared" si="5"/>
        <v>0.3754601226993865</v>
      </c>
      <c r="H45" s="232"/>
      <c r="I45" s="197"/>
      <c r="J45" s="197"/>
      <c r="K45" s="198"/>
      <c r="L45" s="82"/>
      <c r="M45" s="232"/>
      <c r="N45" s="197"/>
      <c r="O45" s="198"/>
      <c r="P45" s="107"/>
      <c r="Q45" s="236"/>
      <c r="R45" s="248"/>
      <c r="S45" s="249"/>
    </row>
    <row r="46" spans="1:19" ht="12.75">
      <c r="A46" s="111" t="s">
        <v>192</v>
      </c>
      <c r="B46" s="115">
        <f>30+100</f>
        <v>130</v>
      </c>
      <c r="C46" s="115">
        <v>874</v>
      </c>
      <c r="D46" s="38">
        <f>137+150</f>
        <v>287</v>
      </c>
      <c r="E46" s="113">
        <f t="shared" si="4"/>
        <v>1004</v>
      </c>
      <c r="F46" s="104">
        <f t="shared" si="5"/>
        <v>0.28585657370517931</v>
      </c>
      <c r="H46" s="188"/>
      <c r="I46" s="189"/>
      <c r="J46" s="189"/>
      <c r="K46" s="190"/>
      <c r="L46" s="82"/>
      <c r="M46" s="188"/>
      <c r="N46" s="189"/>
      <c r="O46" s="190"/>
      <c r="P46" s="107"/>
      <c r="Q46" s="237"/>
      <c r="R46" s="250"/>
      <c r="S46" s="251"/>
    </row>
    <row r="47" spans="1:19" ht="12.75">
      <c r="A47" s="119"/>
    </row>
    <row r="48" spans="1:19" ht="12.75">
      <c r="A48" s="119"/>
      <c r="R48" s="117" t="s">
        <v>196</v>
      </c>
      <c r="S48" s="117" t="s">
        <v>197</v>
      </c>
    </row>
    <row r="49" spans="1:19" ht="14.25">
      <c r="A49" s="119"/>
      <c r="B49" s="105"/>
      <c r="C49" s="105"/>
      <c r="D49" s="99"/>
      <c r="E49" s="121"/>
      <c r="F49" s="122"/>
      <c r="P49" s="234" t="s">
        <v>237</v>
      </c>
      <c r="Q49" s="187"/>
      <c r="R49" s="244">
        <v>1</v>
      </c>
      <c r="S49" s="244">
        <v>1</v>
      </c>
    </row>
    <row r="50" spans="1:19" ht="12.75">
      <c r="A50" s="119"/>
      <c r="B50" s="105"/>
      <c r="C50" s="123"/>
      <c r="D50" s="105"/>
      <c r="E50" s="121"/>
      <c r="F50" s="122"/>
      <c r="P50" s="232"/>
      <c r="Q50" s="198"/>
      <c r="R50" s="236"/>
      <c r="S50" s="236"/>
    </row>
    <row r="51" spans="1:19" ht="12.75">
      <c r="A51" s="119"/>
      <c r="B51" s="105"/>
      <c r="C51" s="123"/>
      <c r="D51" s="105"/>
      <c r="E51" s="121"/>
      <c r="F51" s="122"/>
      <c r="P51" s="232"/>
      <c r="Q51" s="198"/>
      <c r="R51" s="236"/>
      <c r="S51" s="236"/>
    </row>
    <row r="52" spans="1:19" ht="12.75">
      <c r="A52" s="119"/>
      <c r="B52" s="105"/>
      <c r="C52" s="123"/>
      <c r="D52" s="105"/>
      <c r="E52" s="121"/>
      <c r="F52" s="122"/>
      <c r="P52" s="232"/>
      <c r="Q52" s="198"/>
      <c r="R52" s="236"/>
      <c r="S52" s="236"/>
    </row>
    <row r="53" spans="1:19" ht="12.75">
      <c r="A53" s="119"/>
      <c r="B53" s="123"/>
      <c r="C53" s="123"/>
      <c r="D53" s="105"/>
      <c r="E53" s="121"/>
      <c r="F53" s="122"/>
      <c r="P53" s="232"/>
      <c r="Q53" s="198"/>
      <c r="R53" s="236"/>
      <c r="S53" s="236"/>
    </row>
    <row r="54" spans="1:19" ht="12.75">
      <c r="A54" s="119"/>
      <c r="B54" s="123"/>
      <c r="C54" s="123"/>
      <c r="D54" s="105"/>
      <c r="E54" s="121"/>
      <c r="F54" s="122"/>
      <c r="P54" s="188"/>
      <c r="Q54" s="190"/>
      <c r="R54" s="237"/>
      <c r="S54" s="237"/>
    </row>
    <row r="55" spans="1:19" ht="12.75">
      <c r="A55" s="119"/>
      <c r="B55" s="123"/>
      <c r="C55" s="123"/>
      <c r="D55" s="105"/>
      <c r="E55" s="121"/>
      <c r="F55" s="122"/>
      <c r="Q55" s="83"/>
      <c r="R55" s="83"/>
      <c r="S55" s="83"/>
    </row>
    <row r="56" spans="1:19" ht="12.75">
      <c r="A56" s="119"/>
      <c r="Q56" s="83"/>
      <c r="R56" s="83"/>
      <c r="S56" s="83"/>
    </row>
    <row r="57" spans="1:19" ht="12.75">
      <c r="A57" s="119"/>
      <c r="Q57" s="245" t="s">
        <v>238</v>
      </c>
      <c r="R57" s="246" t="s">
        <v>420</v>
      </c>
      <c r="S57" s="247"/>
    </row>
    <row r="58" spans="1:19" ht="12.75">
      <c r="A58" s="119"/>
      <c r="Q58" s="236"/>
      <c r="R58" s="248"/>
      <c r="S58" s="249"/>
    </row>
    <row r="59" spans="1:19" ht="12.75">
      <c r="A59" s="119"/>
      <c r="Q59" s="236"/>
      <c r="R59" s="248"/>
      <c r="S59" s="249"/>
    </row>
    <row r="60" spans="1:19" ht="12.75">
      <c r="A60" s="119"/>
      <c r="Q60" s="236"/>
      <c r="R60" s="248"/>
      <c r="S60" s="249"/>
    </row>
    <row r="61" spans="1:19" ht="12.75">
      <c r="A61" s="119"/>
      <c r="Q61" s="236"/>
      <c r="R61" s="248"/>
      <c r="S61" s="249"/>
    </row>
    <row r="62" spans="1:19" ht="12.75">
      <c r="A62" s="119"/>
      <c r="Q62" s="237"/>
      <c r="R62" s="250"/>
      <c r="S62" s="251"/>
    </row>
  </sheetData>
  <mergeCells count="43">
    <mergeCell ref="A36:F36"/>
    <mergeCell ref="H36:K46"/>
    <mergeCell ref="A37:F37"/>
    <mergeCell ref="M37:O46"/>
    <mergeCell ref="B38:F38"/>
    <mergeCell ref="A25:F25"/>
    <mergeCell ref="M13:O22"/>
    <mergeCell ref="Q13:R15"/>
    <mergeCell ref="S13:S15"/>
    <mergeCell ref="R17:S22"/>
    <mergeCell ref="M25:O34"/>
    <mergeCell ref="Q25:R27"/>
    <mergeCell ref="S25:S27"/>
    <mergeCell ref="R29:S34"/>
    <mergeCell ref="B26:F26"/>
    <mergeCell ref="H12:K22"/>
    <mergeCell ref="H24:K34"/>
    <mergeCell ref="A6:J6"/>
    <mergeCell ref="A7:J7"/>
    <mergeCell ref="B14:F14"/>
    <mergeCell ref="A24:F24"/>
    <mergeCell ref="A13:F13"/>
    <mergeCell ref="A8:J8"/>
    <mergeCell ref="A9:J9"/>
    <mergeCell ref="A10:J10"/>
    <mergeCell ref="A11:I11"/>
    <mergeCell ref="A12:F12"/>
    <mergeCell ref="A1:S1"/>
    <mergeCell ref="A2:J2"/>
    <mergeCell ref="A3:J3"/>
    <mergeCell ref="A4:J4"/>
    <mergeCell ref="A5:J5"/>
    <mergeCell ref="R49:R54"/>
    <mergeCell ref="S49:S54"/>
    <mergeCell ref="Q57:Q62"/>
    <mergeCell ref="R57:S62"/>
    <mergeCell ref="Q17:Q22"/>
    <mergeCell ref="Q29:Q34"/>
    <mergeCell ref="Q37:R39"/>
    <mergeCell ref="S37:S39"/>
    <mergeCell ref="Q41:Q46"/>
    <mergeCell ref="R41:S46"/>
    <mergeCell ref="P49:Q5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9"/>
  <sheetViews>
    <sheetView workbookViewId="0">
      <selection activeCell="B19" sqref="B19"/>
    </sheetView>
  </sheetViews>
  <sheetFormatPr defaultColWidth="12.5703125" defaultRowHeight="15.75" customHeight="1"/>
  <cols>
    <col min="1" max="1" width="66.42578125" customWidth="1"/>
    <col min="2" max="3" width="49.5703125" customWidth="1"/>
    <col min="4" max="4" width="69.7109375" customWidth="1"/>
  </cols>
  <sheetData>
    <row r="1" spans="1:4" ht="37.5">
      <c r="A1" s="208" t="s">
        <v>20</v>
      </c>
      <c r="B1" s="182"/>
      <c r="C1" s="124"/>
      <c r="D1" s="125" t="s">
        <v>239</v>
      </c>
    </row>
    <row r="2" spans="1:4" ht="12.75">
      <c r="A2" s="209" t="s">
        <v>240</v>
      </c>
      <c r="B2" s="182"/>
      <c r="C2" s="81"/>
      <c r="D2" s="126" t="str">
        <f>'Tab 3 - Activation Hypothesis'!A17</f>
        <v>Moment that lead to Habit:</v>
      </c>
    </row>
    <row r="3" spans="1:4" ht="12.75">
      <c r="A3" s="215" t="s">
        <v>241</v>
      </c>
      <c r="B3" s="198"/>
      <c r="C3" s="80"/>
      <c r="D3" s="127" t="str">
        <f>CONCATENATE('Tab 3 - Activation Hypothesis'!A18," ",'Tab 3 - Activation Hypothesis'!B18)</f>
        <v>1 Only use Slack, not email, for internal messages</v>
      </c>
    </row>
    <row r="4" spans="1:4" ht="12.75">
      <c r="A4" s="81"/>
      <c r="B4" s="81"/>
      <c r="C4" s="81"/>
      <c r="D4" s="127" t="str">
        <f>CONCATENATE('Tab 3 - Activation Hypothesis'!A19," ",'Tab 3 - Activation Hypothesis'!B19)</f>
        <v xml:space="preserve">2 Use Slack for broadcast messaging </v>
      </c>
    </row>
    <row r="5" spans="1:4" ht="12.75">
      <c r="A5" s="202" t="s">
        <v>242</v>
      </c>
      <c r="B5" s="190"/>
      <c r="C5" s="81"/>
      <c r="D5" s="127" t="str">
        <f>CONCATENATE('Tab 3 - Activation Hypothesis'!A20," ",'Tab 3 - Activation Hypothesis'!B20)</f>
        <v xml:space="preserve">3 Only use Slack for meetings and 'workshops', instead of Zoom or Skype </v>
      </c>
    </row>
    <row r="6" spans="1:4" ht="12.75">
      <c r="A6" s="214" t="s">
        <v>243</v>
      </c>
      <c r="B6" s="182"/>
      <c r="C6" s="128"/>
      <c r="D6" s="127" t="str">
        <f>CONCATENATE('Tab 3 - Activation Hypothesis'!A21," ",'Tab 3 - Activation Hypothesis'!B21)</f>
        <v xml:space="preserve">4 Use Slack Chatbots for any special announcements </v>
      </c>
    </row>
    <row r="7" spans="1:4" ht="12.75">
      <c r="A7" s="255" t="s">
        <v>244</v>
      </c>
      <c r="B7" s="182"/>
      <c r="C7" s="84"/>
      <c r="D7" s="127" t="str">
        <f>CONCATENATE('Tab 3 - Activation Hypothesis'!A22," ",'Tab 3 - Activation Hypothesis'!B22)</f>
        <v>5 Create as many channels/groups that are beneficial to the goals</v>
      </c>
    </row>
    <row r="8" spans="1:4" ht="12.75">
      <c r="A8" s="255" t="s">
        <v>245</v>
      </c>
      <c r="B8" s="182"/>
      <c r="C8" s="84"/>
      <c r="D8" s="126" t="str">
        <f>'Tab 3 - Activation Hypothesis'!A23</f>
        <v>Moment that lead to Aha:</v>
      </c>
    </row>
    <row r="9" spans="1:4" ht="12.75">
      <c r="A9" s="255" t="s">
        <v>246</v>
      </c>
      <c r="B9" s="182"/>
      <c r="C9" s="84"/>
      <c r="D9" s="127" t="str">
        <f>CONCATENATE('Tab 3 - Activation Hypothesis'!A24," ",'Tab 3 - Activation Hypothesis'!B24)</f>
        <v>1 Getting notifications from team on a group channel</v>
      </c>
    </row>
    <row r="10" spans="1:4" ht="12.75">
      <c r="A10" s="256" t="s">
        <v>247</v>
      </c>
      <c r="B10" s="197"/>
      <c r="C10" s="89"/>
      <c r="D10" s="127" t="str">
        <f>CONCATENATE('Tab 3 - Activation Hypothesis'!A25," ",'Tab 3 - Activation Hypothesis'!B25)</f>
        <v xml:space="preserve">2 Having a very active participation on slack workshops and meetings </v>
      </c>
    </row>
    <row r="11" spans="1:4" ht="12.75">
      <c r="A11" s="129" t="s">
        <v>154</v>
      </c>
      <c r="B11" s="129" t="s">
        <v>248</v>
      </c>
      <c r="C11" s="129" t="s">
        <v>249</v>
      </c>
      <c r="D11" s="127" t="str">
        <f>CONCATENATE('Tab 3 - Activation Hypothesis'!A26," ",'Tab 3 - Activation Hypothesis'!B26)</f>
        <v>3 Having very active staff members use the platform</v>
      </c>
    </row>
    <row r="12" spans="1:4" ht="63.75">
      <c r="A12" s="130">
        <f>'Tab 4 - Habit Moment and Metric'!R51</f>
        <v>1</v>
      </c>
      <c r="B12" s="130">
        <f>'Tab 4 - Habit Moment and Metric'!S51</f>
        <v>2</v>
      </c>
      <c r="C12" s="179" t="s">
        <v>421</v>
      </c>
      <c r="D12" s="127" t="str">
        <f>CONCATENATE('Tab 3 - Activation Hypothesis'!A27," ",'Tab 3 - Activation Hypothesis'!B27)</f>
        <v xml:space="preserve">4 Getting automated responses via email and mobile phone </v>
      </c>
    </row>
    <row r="13" spans="1:4" ht="12.75">
      <c r="A13" s="129" t="s">
        <v>156</v>
      </c>
      <c r="B13" s="129" t="s">
        <v>250</v>
      </c>
      <c r="C13" s="129"/>
      <c r="D13" s="127" t="str">
        <f>CONCATENATE('Tab 3 - Activation Hypothesis'!A28," ",'Tab 3 - Activation Hypothesis'!B28)</f>
        <v>5 Receiving an email or mobile notification regarding a response from a thread</v>
      </c>
    </row>
    <row r="14" spans="1:4" ht="72" customHeight="1">
      <c r="A14" s="130">
        <f>'Tab 5 - Aha Moment and Metric A'!R50</f>
        <v>1</v>
      </c>
      <c r="B14" s="130">
        <f>'Tab 5 - Aha Moment and Metric A'!S50</f>
        <v>1</v>
      </c>
      <c r="C14" s="179" t="s">
        <v>422</v>
      </c>
      <c r="D14" s="131" t="str">
        <f>'Tab 3 - Activation Hypothesis'!A29</f>
        <v>Moment that lead to Setup:</v>
      </c>
    </row>
    <row r="15" spans="1:4" ht="12.75">
      <c r="A15" s="129" t="s">
        <v>251</v>
      </c>
      <c r="B15" s="129" t="s">
        <v>252</v>
      </c>
      <c r="C15" s="129"/>
      <c r="D15" s="127" t="str">
        <f>CONCATENATE('Tab 3 - Activation Hypothesis'!A30," ",'Tab 3 - Activation Hypothesis'!B30)</f>
        <v>1 Engage in a frequency faster than email while being mobile</v>
      </c>
    </row>
    <row r="16" spans="1:4" ht="75" customHeight="1">
      <c r="A16" s="132">
        <f>'Tab 6 - Setup Moment and Metric'!R49</f>
        <v>1</v>
      </c>
      <c r="B16" s="132">
        <f>'Tab 6 - Setup Moment and Metric'!S49</f>
        <v>1</v>
      </c>
      <c r="C16" s="179" t="s">
        <v>423</v>
      </c>
      <c r="D16" s="127" t="str">
        <f>CONCATENATE('Tab 3 - Activation Hypothesis'!A31," ",'Tab 3 - Activation Hypothesis'!B31)</f>
        <v xml:space="preserve">2 Use as a reliable workshop platform for weekly meetings </v>
      </c>
    </row>
    <row r="17" spans="1:4" ht="21.75" customHeight="1">
      <c r="A17" s="133"/>
      <c r="B17" s="133"/>
      <c r="C17" s="133"/>
      <c r="D17" s="127" t="str">
        <f>CONCATENATE('Tab 3 - Activation Hypothesis'!A32," ",'Tab 3 - Activation Hypothesis'!B32)</f>
        <v>3 Constantly engage in collaborations  through mobile or web app</v>
      </c>
    </row>
    <row r="18" spans="1:4" ht="21.75" customHeight="1">
      <c r="A18" s="133"/>
      <c r="B18" s="133"/>
      <c r="C18" s="133"/>
      <c r="D18" s="127" t="str">
        <f>CONCATENATE('Tab 3 - Activation Hypothesis'!A33," ",'Tab 3 - Activation Hypothesis'!B33)</f>
        <v xml:space="preserve">4 Receive fast notifications through email or sms </v>
      </c>
    </row>
    <row r="19" spans="1:4" ht="21.75" customHeight="1">
      <c r="A19" s="133"/>
      <c r="B19" s="133"/>
      <c r="C19" s="133"/>
      <c r="D19" s="127" t="str">
        <f>CONCATENATE('Tab 3 - Activation Hypothesis'!A34," ",'Tab 3 - Activation Hypothesis'!B34)</f>
        <v>5 Switch from instant messaging to group virtural meetings all incorporated on the same platform</v>
      </c>
    </row>
  </sheetData>
  <mergeCells count="9">
    <mergeCell ref="A9:B9"/>
    <mergeCell ref="A10:B10"/>
    <mergeCell ref="A1:B1"/>
    <mergeCell ref="A2:B2"/>
    <mergeCell ref="A3:B3"/>
    <mergeCell ref="A5:B5"/>
    <mergeCell ref="A6:B6"/>
    <mergeCell ref="A7:B7"/>
    <mergeCell ref="A8:B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8"/>
  <sheetViews>
    <sheetView showGridLines="0" topLeftCell="A13" workbookViewId="0">
      <selection activeCell="G99" sqref="G99"/>
    </sheetView>
  </sheetViews>
  <sheetFormatPr defaultColWidth="12.5703125" defaultRowHeight="15.75" customHeight="1"/>
  <cols>
    <col min="1" max="1" width="16.28515625" customWidth="1"/>
    <col min="2" max="2" width="9.5703125" customWidth="1"/>
    <col min="3" max="3" width="13.140625" customWidth="1"/>
    <col min="4" max="4" width="17.28515625" customWidth="1"/>
    <col min="5" max="5" width="11.42578125" customWidth="1"/>
    <col min="6" max="6" width="17" customWidth="1"/>
    <col min="7" max="7" width="12.7109375" customWidth="1"/>
  </cols>
  <sheetData>
    <row r="1" spans="1:14" ht="37.5">
      <c r="A1" s="208" t="s">
        <v>22</v>
      </c>
      <c r="B1" s="181"/>
      <c r="C1" s="181"/>
      <c r="D1" s="181"/>
      <c r="E1" s="181"/>
      <c r="F1" s="181"/>
      <c r="G1" s="181"/>
      <c r="H1" s="181"/>
      <c r="I1" s="181"/>
      <c r="J1" s="181"/>
      <c r="K1" s="181"/>
      <c r="L1" s="181"/>
      <c r="M1" s="181"/>
      <c r="N1" s="182"/>
    </row>
    <row r="2" spans="1:14" ht="12.75">
      <c r="A2" s="209" t="s">
        <v>253</v>
      </c>
      <c r="B2" s="181"/>
      <c r="C2" s="181"/>
      <c r="D2" s="181"/>
      <c r="E2" s="181"/>
      <c r="F2" s="181"/>
      <c r="G2" s="181"/>
      <c r="H2" s="181"/>
      <c r="I2" s="181"/>
      <c r="J2" s="182"/>
      <c r="M2" s="134"/>
      <c r="N2" s="134"/>
    </row>
    <row r="3" spans="1:14" ht="12.75">
      <c r="A3" s="192" t="s">
        <v>254</v>
      </c>
      <c r="B3" s="189"/>
      <c r="C3" s="189"/>
      <c r="D3" s="189"/>
      <c r="E3" s="189"/>
      <c r="F3" s="189"/>
      <c r="G3" s="189"/>
      <c r="H3" s="189"/>
      <c r="I3" s="189"/>
      <c r="J3" s="190"/>
      <c r="M3" s="134"/>
      <c r="N3" s="134"/>
    </row>
    <row r="4" spans="1:14" ht="12.75">
      <c r="A4" s="192" t="s">
        <v>255</v>
      </c>
      <c r="B4" s="189"/>
      <c r="C4" s="189"/>
      <c r="D4" s="189"/>
      <c r="E4" s="189"/>
      <c r="F4" s="189"/>
      <c r="G4" s="189"/>
      <c r="H4" s="189"/>
      <c r="I4" s="189"/>
      <c r="J4" s="190"/>
      <c r="M4" s="134"/>
      <c r="N4" s="134"/>
    </row>
    <row r="5" spans="1:14" ht="12.75">
      <c r="A5" s="192" t="s">
        <v>256</v>
      </c>
      <c r="B5" s="189"/>
      <c r="C5" s="189"/>
      <c r="D5" s="189"/>
      <c r="E5" s="189"/>
      <c r="F5" s="189"/>
      <c r="G5" s="189"/>
      <c r="H5" s="189"/>
      <c r="I5" s="189"/>
      <c r="J5" s="190"/>
      <c r="M5" s="134"/>
      <c r="N5" s="134"/>
    </row>
    <row r="6" spans="1:14" ht="12.75">
      <c r="A6" s="209" t="s">
        <v>257</v>
      </c>
      <c r="B6" s="181"/>
      <c r="C6" s="181"/>
      <c r="D6" s="181"/>
      <c r="E6" s="181"/>
      <c r="F6" s="181"/>
      <c r="G6" s="181"/>
      <c r="H6" s="181"/>
      <c r="I6" s="181"/>
      <c r="J6" s="182"/>
      <c r="M6" s="134"/>
      <c r="N6" s="134"/>
    </row>
    <row r="7" spans="1:14" ht="12.75">
      <c r="A7" s="214" t="s">
        <v>258</v>
      </c>
      <c r="B7" s="181"/>
      <c r="C7" s="181"/>
      <c r="D7" s="181"/>
      <c r="E7" s="181"/>
      <c r="F7" s="181"/>
      <c r="G7" s="181"/>
      <c r="H7" s="181"/>
      <c r="I7" s="181"/>
      <c r="J7" s="182"/>
      <c r="M7" s="134"/>
      <c r="N7" s="134"/>
    </row>
    <row r="8" spans="1:14" ht="12.75">
      <c r="A8" s="210" t="s">
        <v>259</v>
      </c>
      <c r="B8" s="181"/>
      <c r="C8" s="181"/>
      <c r="D8" s="181"/>
      <c r="E8" s="181"/>
      <c r="F8" s="181"/>
      <c r="G8" s="181"/>
      <c r="H8" s="181"/>
      <c r="I8" s="181"/>
      <c r="J8" s="182"/>
      <c r="M8" s="134"/>
      <c r="N8" s="134"/>
    </row>
    <row r="9" spans="1:14" ht="12.75">
      <c r="A9" s="210" t="s">
        <v>260</v>
      </c>
      <c r="B9" s="181"/>
      <c r="C9" s="181"/>
      <c r="D9" s="181"/>
      <c r="E9" s="181"/>
      <c r="F9" s="181"/>
      <c r="G9" s="181"/>
      <c r="H9" s="181"/>
      <c r="I9" s="181"/>
      <c r="J9" s="182"/>
      <c r="M9" s="134"/>
      <c r="N9" s="134"/>
    </row>
    <row r="10" spans="1:14" ht="12.75">
      <c r="A10" s="253" t="s">
        <v>261</v>
      </c>
      <c r="B10" s="181"/>
      <c r="C10" s="181"/>
      <c r="D10" s="181"/>
      <c r="E10" s="181"/>
      <c r="F10" s="181"/>
      <c r="G10" s="181"/>
      <c r="H10" s="181"/>
      <c r="I10" s="181"/>
      <c r="J10" s="182"/>
      <c r="M10" s="134"/>
      <c r="N10" s="134"/>
    </row>
    <row r="11" spans="1:14" ht="12.75">
      <c r="A11" s="253" t="s">
        <v>262</v>
      </c>
      <c r="B11" s="181"/>
      <c r="C11" s="181"/>
      <c r="D11" s="181"/>
      <c r="E11" s="181"/>
      <c r="F11" s="181"/>
      <c r="G11" s="181"/>
      <c r="H11" s="181"/>
      <c r="I11" s="181"/>
      <c r="J11" s="182"/>
      <c r="M11" s="134"/>
      <c r="N11" s="134"/>
    </row>
    <row r="12" spans="1:14" ht="12.75">
      <c r="A12" s="253" t="s">
        <v>263</v>
      </c>
      <c r="B12" s="181"/>
      <c r="C12" s="181"/>
      <c r="D12" s="181"/>
      <c r="E12" s="181"/>
      <c r="F12" s="181"/>
      <c r="G12" s="181"/>
      <c r="H12" s="181"/>
      <c r="I12" s="181"/>
      <c r="J12" s="182"/>
      <c r="M12" s="134"/>
      <c r="N12" s="134"/>
    </row>
    <row r="13" spans="1:14" ht="12.75">
      <c r="A13" s="253" t="s">
        <v>264</v>
      </c>
      <c r="B13" s="181"/>
      <c r="C13" s="181"/>
      <c r="D13" s="181"/>
      <c r="E13" s="181"/>
      <c r="F13" s="181"/>
      <c r="G13" s="181"/>
      <c r="H13" s="181"/>
      <c r="I13" s="181"/>
      <c r="J13" s="182"/>
      <c r="M13" s="134"/>
      <c r="N13" s="134"/>
    </row>
    <row r="14" spans="1:14" ht="12.75">
      <c r="A14" s="253" t="s">
        <v>265</v>
      </c>
      <c r="B14" s="181"/>
      <c r="C14" s="181"/>
      <c r="D14" s="181"/>
      <c r="E14" s="181"/>
      <c r="F14" s="181"/>
      <c r="G14" s="181"/>
      <c r="H14" s="181"/>
      <c r="I14" s="181"/>
      <c r="J14" s="182"/>
      <c r="M14" s="134"/>
      <c r="N14" s="134"/>
    </row>
    <row r="15" spans="1:14" ht="12.75">
      <c r="A15" s="264" t="s">
        <v>266</v>
      </c>
      <c r="B15" s="197"/>
      <c r="C15" s="197"/>
      <c r="D15" s="197"/>
      <c r="E15" s="197"/>
      <c r="F15" s="197"/>
      <c r="G15" s="197"/>
      <c r="H15" s="197"/>
      <c r="I15" s="197"/>
      <c r="J15" s="197"/>
      <c r="K15" s="89"/>
      <c r="L15" s="134"/>
      <c r="M15" s="134"/>
      <c r="N15" s="134"/>
    </row>
    <row r="16" spans="1:14" ht="12.75">
      <c r="A16" s="258" t="s">
        <v>267</v>
      </c>
      <c r="B16" s="181"/>
      <c r="C16" s="181"/>
      <c r="D16" s="181"/>
      <c r="E16" s="181"/>
      <c r="F16" s="181"/>
      <c r="G16" s="181"/>
      <c r="H16" s="181"/>
      <c r="I16" s="182"/>
      <c r="J16" s="135"/>
      <c r="K16" s="259" t="s">
        <v>69</v>
      </c>
      <c r="L16" s="197"/>
      <c r="M16" s="197"/>
      <c r="N16" s="197"/>
    </row>
    <row r="17" spans="1:14" ht="38.25">
      <c r="A17" s="136" t="s">
        <v>268</v>
      </c>
      <c r="B17" s="136" t="s">
        <v>269</v>
      </c>
      <c r="C17" s="258" t="s">
        <v>20</v>
      </c>
      <c r="D17" s="181"/>
      <c r="E17" s="181"/>
      <c r="F17" s="181"/>
      <c r="G17" s="182"/>
      <c r="H17" s="260" t="s">
        <v>270</v>
      </c>
      <c r="I17" s="261" t="s">
        <v>271</v>
      </c>
      <c r="J17" s="135"/>
      <c r="K17" s="197"/>
      <c r="L17" s="197"/>
      <c r="M17" s="197"/>
      <c r="N17" s="197"/>
    </row>
    <row r="18" spans="1:14" ht="12.75">
      <c r="A18" s="137" t="s">
        <v>272</v>
      </c>
      <c r="B18" s="138">
        <f>SUM(B19:B26)</f>
        <v>920.6</v>
      </c>
      <c r="C18" s="139" t="s">
        <v>273</v>
      </c>
      <c r="D18" s="139" t="s">
        <v>274</v>
      </c>
      <c r="E18" s="139" t="s">
        <v>275</v>
      </c>
      <c r="F18" s="139" t="s">
        <v>276</v>
      </c>
      <c r="G18" s="139" t="s">
        <v>277</v>
      </c>
      <c r="H18" s="237"/>
      <c r="I18" s="237"/>
      <c r="J18" s="135"/>
      <c r="K18" s="262"/>
      <c r="L18" s="186"/>
      <c r="M18" s="186"/>
      <c r="N18" s="187"/>
    </row>
    <row r="19" spans="1:14" ht="12.75">
      <c r="A19" s="140" t="s">
        <v>278</v>
      </c>
      <c r="B19" s="141">
        <f>310*0.9</f>
        <v>279</v>
      </c>
      <c r="C19" s="142">
        <v>0.85</v>
      </c>
      <c r="D19" s="143">
        <v>0.92</v>
      </c>
      <c r="E19" s="144">
        <v>0.78</v>
      </c>
      <c r="F19" s="143">
        <v>0.87</v>
      </c>
      <c r="G19" s="145">
        <v>0.68</v>
      </c>
      <c r="H19" s="146">
        <v>126</v>
      </c>
      <c r="I19" s="147">
        <v>0.45</v>
      </c>
      <c r="J19" s="135"/>
      <c r="K19" s="232"/>
      <c r="L19" s="197"/>
      <c r="M19" s="197"/>
      <c r="N19" s="198"/>
    </row>
    <row r="20" spans="1:14" ht="12.75">
      <c r="A20" s="140" t="s">
        <v>279</v>
      </c>
      <c r="B20" s="141">
        <f>206*0.8</f>
        <v>164.8</v>
      </c>
      <c r="C20" s="148">
        <v>0.76</v>
      </c>
      <c r="D20" s="177">
        <f>E20/C20</f>
        <v>0.9078947368421052</v>
      </c>
      <c r="E20" s="150">
        <v>0.69</v>
      </c>
      <c r="F20" s="177">
        <f>G20/E20</f>
        <v>0.91304347826086962</v>
      </c>
      <c r="G20" s="151">
        <v>0.63</v>
      </c>
      <c r="H20" s="149">
        <f>B20*C20*E20*G20</f>
        <v>54.445305600000005</v>
      </c>
      <c r="I20" s="152">
        <f>H20/B20</f>
        <v>0.330372</v>
      </c>
      <c r="J20" s="135"/>
      <c r="K20" s="232"/>
      <c r="L20" s="197"/>
      <c r="M20" s="197"/>
      <c r="N20" s="198"/>
    </row>
    <row r="21" spans="1:14" ht="12.75">
      <c r="A21" s="140" t="s">
        <v>280</v>
      </c>
      <c r="B21" s="141">
        <f>172*0.8</f>
        <v>137.6</v>
      </c>
      <c r="C21" s="153">
        <v>0.8</v>
      </c>
      <c r="D21" s="177">
        <f t="shared" ref="D21:D27" si="0">E21/C21</f>
        <v>0.95</v>
      </c>
      <c r="E21" s="148">
        <v>0.76</v>
      </c>
      <c r="F21" s="177">
        <f t="shared" ref="F21:F27" si="1">G21/E21</f>
        <v>0.92105263157894735</v>
      </c>
      <c r="G21" s="154">
        <v>0.7</v>
      </c>
      <c r="H21" s="149">
        <f t="shared" ref="H21:H27" si="2">B21*C21*E21*G21</f>
        <v>58.562559999999991</v>
      </c>
      <c r="I21" s="152">
        <f t="shared" ref="I21:I27" si="3">H21/B21</f>
        <v>0.42559999999999992</v>
      </c>
      <c r="J21" s="135"/>
      <c r="K21" s="232"/>
      <c r="L21" s="197"/>
      <c r="M21" s="197"/>
      <c r="N21" s="198"/>
    </row>
    <row r="22" spans="1:14" ht="15">
      <c r="A22" s="140" t="s">
        <v>281</v>
      </c>
      <c r="B22" s="141">
        <f>138*0.8</f>
        <v>110.4</v>
      </c>
      <c r="C22" s="148">
        <v>0.76</v>
      </c>
      <c r="D22" s="177">
        <f t="shared" si="0"/>
        <v>0.9078947368421052</v>
      </c>
      <c r="E22" s="150">
        <v>0.69</v>
      </c>
      <c r="F22" s="177">
        <f t="shared" si="1"/>
        <v>0.86956521739130443</v>
      </c>
      <c r="G22" s="155">
        <v>0.6</v>
      </c>
      <c r="H22" s="149">
        <f t="shared" si="2"/>
        <v>34.736255999999997</v>
      </c>
      <c r="I22" s="152">
        <f t="shared" si="3"/>
        <v>0.31463999999999998</v>
      </c>
      <c r="J22" s="135"/>
      <c r="K22" s="232"/>
      <c r="L22" s="197"/>
      <c r="M22" s="197"/>
      <c r="N22" s="198"/>
    </row>
    <row r="23" spans="1:14" ht="15">
      <c r="A23" s="140" t="s">
        <v>282</v>
      </c>
      <c r="B23" s="141">
        <f>112*0.8</f>
        <v>89.600000000000009</v>
      </c>
      <c r="C23" s="153">
        <v>0.8</v>
      </c>
      <c r="D23" s="177">
        <f t="shared" si="0"/>
        <v>0.9375</v>
      </c>
      <c r="E23" s="156">
        <v>0.75</v>
      </c>
      <c r="F23" s="177">
        <f t="shared" si="1"/>
        <v>0.88</v>
      </c>
      <c r="G23" s="157">
        <v>0.66</v>
      </c>
      <c r="H23" s="149">
        <f t="shared" si="2"/>
        <v>35.481600000000007</v>
      </c>
      <c r="I23" s="152">
        <f t="shared" si="3"/>
        <v>0.39600000000000002</v>
      </c>
      <c r="J23" s="135"/>
      <c r="K23" s="232"/>
      <c r="L23" s="197"/>
      <c r="M23" s="197"/>
      <c r="N23" s="198"/>
    </row>
    <row r="24" spans="1:14" ht="15">
      <c r="A24" s="158" t="s">
        <v>283</v>
      </c>
      <c r="B24" s="141">
        <f>92*0.8</f>
        <v>73.600000000000009</v>
      </c>
      <c r="C24" s="154">
        <v>0.7</v>
      </c>
      <c r="D24" s="177">
        <f t="shared" si="0"/>
        <v>0.932247899159664</v>
      </c>
      <c r="E24" s="159">
        <v>0.65257352941176472</v>
      </c>
      <c r="F24" s="177">
        <f t="shared" si="1"/>
        <v>0.87887323943661966</v>
      </c>
      <c r="G24" s="160">
        <v>0.57352941176470584</v>
      </c>
      <c r="H24" s="149">
        <f t="shared" si="2"/>
        <v>19.282396193771628</v>
      </c>
      <c r="I24" s="152">
        <f t="shared" si="3"/>
        <v>0.26198907871972316</v>
      </c>
      <c r="J24" s="135"/>
      <c r="K24" s="232"/>
      <c r="L24" s="197"/>
      <c r="M24" s="197"/>
      <c r="N24" s="198"/>
    </row>
    <row r="25" spans="1:14" ht="15">
      <c r="A25" s="140" t="s">
        <v>284</v>
      </c>
      <c r="B25" s="141">
        <f>58*0.8</f>
        <v>46.400000000000006</v>
      </c>
      <c r="C25" s="145">
        <v>0.68</v>
      </c>
      <c r="D25" s="177">
        <f t="shared" si="0"/>
        <v>0.88235294117647045</v>
      </c>
      <c r="E25" s="155">
        <v>0.6</v>
      </c>
      <c r="F25" s="177">
        <f t="shared" si="1"/>
        <v>0.91666666666666674</v>
      </c>
      <c r="G25" s="161">
        <v>0.55000000000000004</v>
      </c>
      <c r="H25" s="149">
        <f t="shared" si="2"/>
        <v>10.412160000000004</v>
      </c>
      <c r="I25" s="152">
        <f t="shared" si="3"/>
        <v>0.22440000000000004</v>
      </c>
      <c r="J25" s="135"/>
      <c r="K25" s="232"/>
      <c r="L25" s="197"/>
      <c r="M25" s="197"/>
      <c r="N25" s="198"/>
    </row>
    <row r="26" spans="1:14" ht="15">
      <c r="A26" s="140" t="s">
        <v>285</v>
      </c>
      <c r="B26" s="141">
        <f>24*0.8</f>
        <v>19.200000000000003</v>
      </c>
      <c r="C26" s="150">
        <v>0.69</v>
      </c>
      <c r="D26" s="177">
        <f t="shared" si="0"/>
        <v>0.92753623188405809</v>
      </c>
      <c r="E26" s="162">
        <v>0.64</v>
      </c>
      <c r="F26" s="177">
        <f t="shared" si="1"/>
        <v>0.9375</v>
      </c>
      <c r="G26" s="155">
        <v>0.6</v>
      </c>
      <c r="H26" s="149">
        <f t="shared" si="2"/>
        <v>5.0872320000000002</v>
      </c>
      <c r="I26" s="152">
        <f t="shared" si="3"/>
        <v>0.26495999999999997</v>
      </c>
      <c r="J26" s="135"/>
      <c r="K26" s="232"/>
      <c r="L26" s="197"/>
      <c r="M26" s="197"/>
      <c r="N26" s="198"/>
    </row>
    <row r="27" spans="1:14" ht="12.75">
      <c r="A27" s="163" t="s">
        <v>100</v>
      </c>
      <c r="B27" s="164">
        <f t="shared" ref="B27:C27" si="4">AVERAGE(B19:B26)</f>
        <v>115.075</v>
      </c>
      <c r="C27" s="165">
        <f t="shared" si="4"/>
        <v>0.75499999999999989</v>
      </c>
      <c r="D27" s="177">
        <f t="shared" si="0"/>
        <v>0.92095588235294112</v>
      </c>
      <c r="E27" s="165">
        <f>AVERAGE(E19:E26)</f>
        <v>0.69532169117647047</v>
      </c>
      <c r="F27" s="177">
        <f t="shared" si="1"/>
        <v>0.89770128616938316</v>
      </c>
      <c r="G27" s="165">
        <f>AVERAGE(G19:G26)</f>
        <v>0.62419117647058819</v>
      </c>
      <c r="H27" s="149">
        <f t="shared" si="2"/>
        <v>37.707812438835326</v>
      </c>
      <c r="I27" s="152">
        <f t="shared" si="3"/>
        <v>0.32768031665292485</v>
      </c>
      <c r="J27" s="135"/>
      <c r="K27" s="188"/>
      <c r="L27" s="189"/>
      <c r="M27" s="189"/>
      <c r="N27" s="190"/>
    </row>
    <row r="28" spans="1:14" ht="12.75">
      <c r="A28" s="134"/>
      <c r="B28" s="134"/>
      <c r="C28" s="134"/>
      <c r="D28" s="134"/>
      <c r="E28" s="134"/>
      <c r="F28" s="134"/>
      <c r="G28" s="134"/>
      <c r="H28" s="134"/>
      <c r="I28" s="134"/>
      <c r="J28" s="135"/>
      <c r="K28" s="134"/>
      <c r="L28" s="134"/>
      <c r="M28" s="134"/>
      <c r="N28" s="134"/>
    </row>
    <row r="29" spans="1:14" ht="12.75">
      <c r="A29" s="263" t="s">
        <v>286</v>
      </c>
      <c r="B29" s="187"/>
      <c r="C29" s="263" t="s">
        <v>287</v>
      </c>
      <c r="D29" s="187"/>
      <c r="E29" s="263" t="s">
        <v>288</v>
      </c>
      <c r="F29" s="187"/>
      <c r="G29" s="263" t="s">
        <v>289</v>
      </c>
      <c r="H29" s="186"/>
      <c r="I29" s="186"/>
      <c r="J29" s="186"/>
      <c r="K29" s="186"/>
      <c r="L29" s="186"/>
      <c r="M29" s="186"/>
      <c r="N29" s="187"/>
    </row>
    <row r="30" spans="1:14" ht="12.75">
      <c r="A30" s="188"/>
      <c r="B30" s="190"/>
      <c r="C30" s="188"/>
      <c r="D30" s="190"/>
      <c r="E30" s="188"/>
      <c r="F30" s="190"/>
      <c r="G30" s="188"/>
      <c r="H30" s="189"/>
      <c r="I30" s="189"/>
      <c r="J30" s="189"/>
      <c r="K30" s="189"/>
      <c r="L30" s="189"/>
      <c r="M30" s="189"/>
      <c r="N30" s="190"/>
    </row>
    <row r="31" spans="1:14" ht="12.75">
      <c r="A31" s="257" t="s">
        <v>424</v>
      </c>
      <c r="B31" s="187"/>
      <c r="C31" s="257" t="s">
        <v>433</v>
      </c>
      <c r="D31" s="187"/>
      <c r="E31" s="257" t="s">
        <v>425</v>
      </c>
      <c r="F31" s="187"/>
      <c r="G31" s="257" t="s">
        <v>426</v>
      </c>
      <c r="H31" s="186"/>
      <c r="I31" s="186"/>
      <c r="J31" s="186"/>
      <c r="K31" s="186"/>
      <c r="L31" s="186"/>
      <c r="M31" s="186"/>
      <c r="N31" s="187"/>
    </row>
    <row r="32" spans="1:14" ht="12.75">
      <c r="A32" s="232"/>
      <c r="B32" s="198"/>
      <c r="C32" s="232"/>
      <c r="D32" s="198"/>
      <c r="E32" s="232"/>
      <c r="F32" s="198"/>
      <c r="G32" s="232"/>
      <c r="H32" s="197"/>
      <c r="I32" s="197"/>
      <c r="J32" s="197"/>
      <c r="K32" s="197"/>
      <c r="L32" s="197"/>
      <c r="M32" s="197"/>
      <c r="N32" s="198"/>
    </row>
    <row r="33" spans="1:14" ht="12.75">
      <c r="A33" s="232"/>
      <c r="B33" s="198"/>
      <c r="C33" s="232"/>
      <c r="D33" s="198"/>
      <c r="E33" s="232"/>
      <c r="F33" s="198"/>
      <c r="G33" s="232"/>
      <c r="H33" s="197"/>
      <c r="I33" s="197"/>
      <c r="J33" s="197"/>
      <c r="K33" s="197"/>
      <c r="L33" s="197"/>
      <c r="M33" s="197"/>
      <c r="N33" s="198"/>
    </row>
    <row r="34" spans="1:14" ht="12.75">
      <c r="A34" s="232"/>
      <c r="B34" s="198"/>
      <c r="C34" s="232"/>
      <c r="D34" s="198"/>
      <c r="E34" s="232"/>
      <c r="F34" s="198"/>
      <c r="G34" s="232"/>
      <c r="H34" s="197"/>
      <c r="I34" s="197"/>
      <c r="J34" s="197"/>
      <c r="K34" s="197"/>
      <c r="L34" s="197"/>
      <c r="M34" s="197"/>
      <c r="N34" s="198"/>
    </row>
    <row r="35" spans="1:14" ht="12.75">
      <c r="A35" s="232"/>
      <c r="B35" s="198"/>
      <c r="C35" s="232"/>
      <c r="D35" s="198"/>
      <c r="E35" s="232"/>
      <c r="F35" s="198"/>
      <c r="G35" s="232"/>
      <c r="H35" s="197"/>
      <c r="I35" s="197"/>
      <c r="J35" s="197"/>
      <c r="K35" s="197"/>
      <c r="L35" s="197"/>
      <c r="M35" s="197"/>
      <c r="N35" s="198"/>
    </row>
    <row r="36" spans="1:14" ht="15" customHeight="1">
      <c r="A36" s="188"/>
      <c r="B36" s="190"/>
      <c r="C36" s="188"/>
      <c r="D36" s="190"/>
      <c r="E36" s="188"/>
      <c r="F36" s="190"/>
      <c r="G36" s="188"/>
      <c r="H36" s="189"/>
      <c r="I36" s="189"/>
      <c r="J36" s="189"/>
      <c r="K36" s="189"/>
      <c r="L36" s="189"/>
      <c r="M36" s="189"/>
      <c r="N36" s="190"/>
    </row>
    <row r="37" spans="1:14" ht="12.75">
      <c r="A37" s="134"/>
      <c r="B37" s="134"/>
      <c r="C37" s="134"/>
      <c r="D37" s="134"/>
      <c r="E37" s="134"/>
      <c r="F37" s="134"/>
      <c r="G37" s="134"/>
      <c r="H37" s="134"/>
      <c r="I37" s="134"/>
      <c r="J37" s="134"/>
      <c r="K37" s="134"/>
      <c r="L37" s="134"/>
      <c r="M37" s="134"/>
      <c r="N37" s="134"/>
    </row>
    <row r="38" spans="1:14" ht="12.75">
      <c r="A38" s="258" t="s">
        <v>290</v>
      </c>
      <c r="B38" s="181"/>
      <c r="C38" s="181"/>
      <c r="D38" s="181"/>
      <c r="E38" s="181"/>
      <c r="F38" s="181"/>
      <c r="G38" s="181"/>
      <c r="H38" s="181"/>
      <c r="I38" s="182"/>
      <c r="J38" s="135"/>
      <c r="K38" s="259" t="s">
        <v>69</v>
      </c>
      <c r="L38" s="197"/>
      <c r="M38" s="197"/>
      <c r="N38" s="197"/>
    </row>
    <row r="39" spans="1:14" ht="25.5">
      <c r="A39" s="136" t="s">
        <v>291</v>
      </c>
      <c r="B39" s="167" t="s">
        <v>292</v>
      </c>
      <c r="C39" s="258"/>
      <c r="D39" s="181"/>
      <c r="E39" s="181"/>
      <c r="F39" s="181"/>
      <c r="G39" s="182"/>
      <c r="H39" s="260" t="s">
        <v>270</v>
      </c>
      <c r="I39" s="261" t="s">
        <v>271</v>
      </c>
      <c r="J39" s="135"/>
      <c r="K39" s="197"/>
      <c r="L39" s="197"/>
      <c r="M39" s="197"/>
      <c r="N39" s="197"/>
    </row>
    <row r="40" spans="1:14" ht="12.75">
      <c r="A40" s="137" t="s">
        <v>272</v>
      </c>
      <c r="B40" s="138">
        <f>SUM(B41:B48)</f>
        <v>1450</v>
      </c>
      <c r="C40" s="139" t="s">
        <v>273</v>
      </c>
      <c r="D40" s="139" t="s">
        <v>274</v>
      </c>
      <c r="E40" s="139" t="s">
        <v>275</v>
      </c>
      <c r="F40" s="139" t="s">
        <v>276</v>
      </c>
      <c r="G40" s="139" t="s">
        <v>277</v>
      </c>
      <c r="H40" s="237"/>
      <c r="I40" s="237"/>
      <c r="J40" s="134"/>
      <c r="K40" s="262"/>
      <c r="L40" s="186"/>
      <c r="M40" s="186"/>
      <c r="N40" s="187"/>
    </row>
    <row r="41" spans="1:14" ht="15">
      <c r="A41" s="140" t="s">
        <v>293</v>
      </c>
      <c r="B41" s="168">
        <v>280</v>
      </c>
      <c r="C41" s="142">
        <v>0.64</v>
      </c>
      <c r="D41" s="177">
        <f t="shared" ref="D41:D49" si="5">E41/C41</f>
        <v>0.92187499999999989</v>
      </c>
      <c r="E41" s="144">
        <v>0.59</v>
      </c>
      <c r="F41" s="177">
        <f t="shared" ref="F41:F49" si="6">G41/E41</f>
        <v>0.86440677966101698</v>
      </c>
      <c r="G41" s="145">
        <v>0.51</v>
      </c>
      <c r="H41" s="149">
        <f t="shared" ref="H41:H49" si="7">B41*C41*E41*G41</f>
        <v>53.921280000000003</v>
      </c>
      <c r="I41" s="177">
        <f t="shared" ref="I41:I49" si="8">H41/B41</f>
        <v>0.192576</v>
      </c>
      <c r="J41" s="134"/>
      <c r="K41" s="232"/>
      <c r="L41" s="197"/>
      <c r="M41" s="197"/>
      <c r="N41" s="198"/>
    </row>
    <row r="42" spans="1:14" ht="15">
      <c r="A42" s="140" t="s">
        <v>294</v>
      </c>
      <c r="B42" s="168">
        <v>370</v>
      </c>
      <c r="C42" s="148">
        <v>0.74</v>
      </c>
      <c r="D42" s="177">
        <f t="shared" si="5"/>
        <v>0.93243243243243235</v>
      </c>
      <c r="E42" s="150">
        <v>0.69</v>
      </c>
      <c r="F42" s="177">
        <f t="shared" si="6"/>
        <v>0.89855072463768126</v>
      </c>
      <c r="G42" s="151">
        <v>0.62</v>
      </c>
      <c r="H42" s="149">
        <f t="shared" si="7"/>
        <v>117.13164</v>
      </c>
      <c r="I42" s="177">
        <f t="shared" si="8"/>
        <v>0.31657200000000002</v>
      </c>
      <c r="J42" s="134"/>
      <c r="K42" s="232"/>
      <c r="L42" s="197"/>
      <c r="M42" s="197"/>
      <c r="N42" s="198"/>
    </row>
    <row r="43" spans="1:14" ht="15">
      <c r="A43" s="140" t="s">
        <v>295</v>
      </c>
      <c r="B43" s="168">
        <v>200</v>
      </c>
      <c r="C43" s="153">
        <v>0.78</v>
      </c>
      <c r="D43" s="177">
        <f t="shared" si="5"/>
        <v>0.91025641025641013</v>
      </c>
      <c r="E43" s="148">
        <v>0.71</v>
      </c>
      <c r="F43" s="177">
        <f t="shared" si="6"/>
        <v>0.92957746478873249</v>
      </c>
      <c r="G43" s="154">
        <v>0.66</v>
      </c>
      <c r="H43" s="149">
        <f t="shared" si="7"/>
        <v>73.101599999999991</v>
      </c>
      <c r="I43" s="177">
        <f t="shared" si="8"/>
        <v>0.36550799999999994</v>
      </c>
      <c r="J43" s="134"/>
      <c r="K43" s="232"/>
      <c r="L43" s="197"/>
      <c r="M43" s="197"/>
      <c r="N43" s="198"/>
    </row>
    <row r="44" spans="1:14" ht="15">
      <c r="A44" s="140" t="s">
        <v>296</v>
      </c>
      <c r="B44" s="168">
        <v>175</v>
      </c>
      <c r="C44" s="148">
        <v>0.81</v>
      </c>
      <c r="D44" s="177">
        <f t="shared" si="5"/>
        <v>0.92592592592592582</v>
      </c>
      <c r="E44" s="150">
        <v>0.75</v>
      </c>
      <c r="F44" s="177">
        <f t="shared" si="6"/>
        <v>0.94666666666666666</v>
      </c>
      <c r="G44" s="155">
        <v>0.71</v>
      </c>
      <c r="H44" s="149">
        <f t="shared" si="7"/>
        <v>75.481875000000002</v>
      </c>
      <c r="I44" s="177">
        <f t="shared" si="8"/>
        <v>0.43132500000000001</v>
      </c>
      <c r="J44" s="134"/>
      <c r="K44" s="232"/>
      <c r="L44" s="197"/>
      <c r="M44" s="197"/>
      <c r="N44" s="198"/>
    </row>
    <row r="45" spans="1:14" ht="15">
      <c r="A45" s="140" t="s">
        <v>297</v>
      </c>
      <c r="B45" s="168">
        <v>120</v>
      </c>
      <c r="C45" s="153">
        <v>0.75</v>
      </c>
      <c r="D45" s="177">
        <f t="shared" si="5"/>
        <v>0.93333333333333324</v>
      </c>
      <c r="E45" s="156">
        <v>0.7</v>
      </c>
      <c r="F45" s="177">
        <f t="shared" si="6"/>
        <v>0.88571428571428579</v>
      </c>
      <c r="G45" s="157">
        <v>0.62</v>
      </c>
      <c r="H45" s="149">
        <f t="shared" si="7"/>
        <v>39.059999999999995</v>
      </c>
      <c r="I45" s="177">
        <f t="shared" si="8"/>
        <v>0.32549999999999996</v>
      </c>
      <c r="J45" s="134"/>
      <c r="K45" s="232"/>
      <c r="L45" s="197"/>
      <c r="M45" s="197"/>
      <c r="N45" s="198"/>
    </row>
    <row r="46" spans="1:14" ht="15">
      <c r="A46" s="140" t="s">
        <v>298</v>
      </c>
      <c r="B46" s="168">
        <v>75</v>
      </c>
      <c r="C46" s="154">
        <v>0.68</v>
      </c>
      <c r="D46" s="177">
        <f t="shared" si="5"/>
        <v>0.97058823529411764</v>
      </c>
      <c r="E46" s="159">
        <v>0.66</v>
      </c>
      <c r="F46" s="177">
        <f t="shared" si="6"/>
        <v>0.83333333333333337</v>
      </c>
      <c r="G46" s="160">
        <v>0.55000000000000004</v>
      </c>
      <c r="H46" s="149">
        <f t="shared" si="7"/>
        <v>18.513000000000005</v>
      </c>
      <c r="I46" s="177">
        <f t="shared" si="8"/>
        <v>0.24684000000000006</v>
      </c>
      <c r="J46" s="134"/>
      <c r="K46" s="232"/>
      <c r="L46" s="197"/>
      <c r="M46" s="197"/>
      <c r="N46" s="198"/>
    </row>
    <row r="47" spans="1:14" ht="15">
      <c r="A47" s="140" t="s">
        <v>299</v>
      </c>
      <c r="B47" s="168">
        <v>130</v>
      </c>
      <c r="C47" s="145">
        <v>0.72</v>
      </c>
      <c r="D47" s="177">
        <f t="shared" si="5"/>
        <v>0.93055555555555569</v>
      </c>
      <c r="E47" s="155">
        <v>0.67</v>
      </c>
      <c r="F47" s="177">
        <f t="shared" si="6"/>
        <v>0.9850746268656716</v>
      </c>
      <c r="G47" s="161">
        <v>0.66</v>
      </c>
      <c r="H47" s="149">
        <f t="shared" si="7"/>
        <v>41.389920000000004</v>
      </c>
      <c r="I47" s="177">
        <f t="shared" si="8"/>
        <v>0.318384</v>
      </c>
      <c r="J47" s="134"/>
      <c r="K47" s="232"/>
      <c r="L47" s="197"/>
      <c r="M47" s="197"/>
      <c r="N47" s="198"/>
    </row>
    <row r="48" spans="1:14" ht="15">
      <c r="A48" s="140" t="s">
        <v>300</v>
      </c>
      <c r="B48" s="168">
        <v>100</v>
      </c>
      <c r="C48" s="150">
        <v>0.7</v>
      </c>
      <c r="D48" s="177">
        <f t="shared" si="5"/>
        <v>0.9</v>
      </c>
      <c r="E48" s="162">
        <v>0.63</v>
      </c>
      <c r="F48" s="177">
        <f t="shared" si="6"/>
        <v>0.90476190476190466</v>
      </c>
      <c r="G48" s="155">
        <v>0.56999999999999995</v>
      </c>
      <c r="H48" s="166">
        <f t="shared" si="7"/>
        <v>25.136999999999997</v>
      </c>
      <c r="I48" s="178">
        <f t="shared" si="8"/>
        <v>0.25136999999999998</v>
      </c>
      <c r="J48" s="134"/>
      <c r="K48" s="232"/>
      <c r="L48" s="197"/>
      <c r="M48" s="197"/>
      <c r="N48" s="198"/>
    </row>
    <row r="49" spans="1:14" ht="12.75">
      <c r="A49" s="163" t="s">
        <v>100</v>
      </c>
      <c r="B49" s="164">
        <f t="shared" ref="B49:C49" si="9">AVERAGE(B41:B48)</f>
        <v>181.25</v>
      </c>
      <c r="C49" s="165">
        <f t="shared" si="9"/>
        <v>0.72750000000000004</v>
      </c>
      <c r="D49" s="177">
        <f t="shared" si="5"/>
        <v>0.92783505154639156</v>
      </c>
      <c r="E49" s="165">
        <f>AVERAGE(E41:E48)</f>
        <v>0.67499999999999993</v>
      </c>
      <c r="F49" s="177">
        <f t="shared" si="6"/>
        <v>0.90740740740740755</v>
      </c>
      <c r="G49" s="165">
        <f>AVERAGE(G41:G48)</f>
        <v>0.61250000000000004</v>
      </c>
      <c r="H49" s="166">
        <f t="shared" si="7"/>
        <v>54.515610351562501</v>
      </c>
      <c r="I49" s="178">
        <f t="shared" si="8"/>
        <v>0.30077578124999998</v>
      </c>
      <c r="J49" s="134"/>
      <c r="K49" s="188"/>
      <c r="L49" s="189"/>
      <c r="M49" s="189"/>
      <c r="N49" s="190"/>
    </row>
    <row r="50" spans="1:14" ht="12.75">
      <c r="A50" s="134"/>
      <c r="B50" s="134"/>
      <c r="C50" s="134"/>
      <c r="D50" s="134"/>
      <c r="E50" s="134"/>
      <c r="F50" s="134"/>
      <c r="G50" s="134"/>
      <c r="H50" s="134"/>
      <c r="I50" s="134"/>
      <c r="J50" s="134"/>
      <c r="K50" s="134"/>
      <c r="L50" s="134"/>
      <c r="M50" s="134"/>
      <c r="N50" s="134"/>
    </row>
    <row r="51" spans="1:14" ht="12.75">
      <c r="A51" s="263" t="s">
        <v>301</v>
      </c>
      <c r="B51" s="187"/>
      <c r="C51" s="263" t="s">
        <v>302</v>
      </c>
      <c r="D51" s="187"/>
      <c r="E51" s="263" t="s">
        <v>288</v>
      </c>
      <c r="F51" s="187"/>
      <c r="G51" s="263" t="s">
        <v>289</v>
      </c>
      <c r="H51" s="186"/>
      <c r="I51" s="186"/>
      <c r="J51" s="186"/>
      <c r="K51" s="186"/>
      <c r="L51" s="186"/>
      <c r="M51" s="186"/>
      <c r="N51" s="187"/>
    </row>
    <row r="52" spans="1:14" ht="12.75">
      <c r="A52" s="188"/>
      <c r="B52" s="190"/>
      <c r="C52" s="188"/>
      <c r="D52" s="190"/>
      <c r="E52" s="188"/>
      <c r="F52" s="190"/>
      <c r="G52" s="188"/>
      <c r="H52" s="189"/>
      <c r="I52" s="189"/>
      <c r="J52" s="189"/>
      <c r="K52" s="189"/>
      <c r="L52" s="189"/>
      <c r="M52" s="189"/>
      <c r="N52" s="190"/>
    </row>
    <row r="53" spans="1:14" ht="12.75">
      <c r="A53" s="257" t="s">
        <v>427</v>
      </c>
      <c r="B53" s="187"/>
      <c r="C53" s="257" t="s">
        <v>432</v>
      </c>
      <c r="D53" s="187"/>
      <c r="E53" s="257" t="s">
        <v>428</v>
      </c>
      <c r="F53" s="187"/>
      <c r="G53" s="257" t="s">
        <v>429</v>
      </c>
      <c r="H53" s="186"/>
      <c r="I53" s="186"/>
      <c r="J53" s="186"/>
      <c r="K53" s="186"/>
      <c r="L53" s="186"/>
      <c r="M53" s="186"/>
      <c r="N53" s="187"/>
    </row>
    <row r="54" spans="1:14" ht="12.75">
      <c r="A54" s="232"/>
      <c r="B54" s="198"/>
      <c r="C54" s="232"/>
      <c r="D54" s="198"/>
      <c r="E54" s="232"/>
      <c r="F54" s="198"/>
      <c r="G54" s="232"/>
      <c r="H54" s="197"/>
      <c r="I54" s="197"/>
      <c r="J54" s="197"/>
      <c r="K54" s="197"/>
      <c r="L54" s="197"/>
      <c r="M54" s="197"/>
      <c r="N54" s="198"/>
    </row>
    <row r="55" spans="1:14" ht="12.75">
      <c r="A55" s="232"/>
      <c r="B55" s="198"/>
      <c r="C55" s="232"/>
      <c r="D55" s="198"/>
      <c r="E55" s="232"/>
      <c r="F55" s="198"/>
      <c r="G55" s="232"/>
      <c r="H55" s="197"/>
      <c r="I55" s="197"/>
      <c r="J55" s="197"/>
      <c r="K55" s="197"/>
      <c r="L55" s="197"/>
      <c r="M55" s="197"/>
      <c r="N55" s="198"/>
    </row>
    <row r="56" spans="1:14" ht="12.75">
      <c r="A56" s="232"/>
      <c r="B56" s="198"/>
      <c r="C56" s="232"/>
      <c r="D56" s="198"/>
      <c r="E56" s="232"/>
      <c r="F56" s="198"/>
      <c r="G56" s="232"/>
      <c r="H56" s="197"/>
      <c r="I56" s="197"/>
      <c r="J56" s="197"/>
      <c r="K56" s="197"/>
      <c r="L56" s="197"/>
      <c r="M56" s="197"/>
      <c r="N56" s="198"/>
    </row>
    <row r="57" spans="1:14" ht="12.75">
      <c r="A57" s="232"/>
      <c r="B57" s="198"/>
      <c r="C57" s="232"/>
      <c r="D57" s="198"/>
      <c r="E57" s="232"/>
      <c r="F57" s="198"/>
      <c r="G57" s="232"/>
      <c r="H57" s="197"/>
      <c r="I57" s="197"/>
      <c r="J57" s="197"/>
      <c r="K57" s="197"/>
      <c r="L57" s="197"/>
      <c r="M57" s="197"/>
      <c r="N57" s="198"/>
    </row>
    <row r="58" spans="1:14" ht="27.75" customHeight="1">
      <c r="A58" s="188"/>
      <c r="B58" s="190"/>
      <c r="C58" s="188"/>
      <c r="D58" s="190"/>
      <c r="E58" s="188"/>
      <c r="F58" s="190"/>
      <c r="G58" s="188"/>
      <c r="H58" s="189"/>
      <c r="I58" s="189"/>
      <c r="J58" s="189"/>
      <c r="K58" s="189"/>
      <c r="L58" s="189"/>
      <c r="M58" s="189"/>
      <c r="N58" s="190"/>
    </row>
    <row r="59" spans="1:14" ht="12.75">
      <c r="A59" s="134"/>
      <c r="B59" s="134"/>
      <c r="C59" s="134"/>
      <c r="D59" s="134"/>
      <c r="E59" s="134"/>
      <c r="F59" s="134"/>
      <c r="G59" s="134"/>
      <c r="H59" s="134"/>
      <c r="I59" s="134"/>
      <c r="J59" s="134"/>
      <c r="K59" s="134"/>
      <c r="L59" s="134"/>
      <c r="M59" s="134"/>
      <c r="N59" s="134"/>
    </row>
    <row r="60" spans="1:14" ht="12.75">
      <c r="A60" s="258" t="s">
        <v>303</v>
      </c>
      <c r="B60" s="181"/>
      <c r="C60" s="181"/>
      <c r="D60" s="181"/>
      <c r="E60" s="181"/>
      <c r="F60" s="181"/>
      <c r="G60" s="181"/>
      <c r="H60" s="181"/>
      <c r="I60" s="182"/>
      <c r="J60" s="135"/>
      <c r="K60" s="259" t="s">
        <v>69</v>
      </c>
      <c r="L60" s="197"/>
      <c r="M60" s="197"/>
      <c r="N60" s="197"/>
    </row>
    <row r="61" spans="1:14" ht="25.5">
      <c r="A61" s="136" t="s">
        <v>304</v>
      </c>
      <c r="B61" s="167" t="s">
        <v>292</v>
      </c>
      <c r="C61" s="258"/>
      <c r="D61" s="181"/>
      <c r="E61" s="181"/>
      <c r="F61" s="181"/>
      <c r="G61" s="182"/>
      <c r="H61" s="260" t="s">
        <v>270</v>
      </c>
      <c r="I61" s="261" t="s">
        <v>271</v>
      </c>
      <c r="J61" s="135"/>
      <c r="K61" s="197"/>
      <c r="L61" s="197"/>
      <c r="M61" s="197"/>
      <c r="N61" s="197"/>
    </row>
    <row r="62" spans="1:14" ht="12.75">
      <c r="A62" s="137" t="s">
        <v>272</v>
      </c>
      <c r="B62" s="138">
        <f>SUM(B63:B69)</f>
        <v>1500</v>
      </c>
      <c r="C62" s="139" t="s">
        <v>273</v>
      </c>
      <c r="D62" s="139" t="s">
        <v>274</v>
      </c>
      <c r="E62" s="139" t="s">
        <v>275</v>
      </c>
      <c r="F62" s="139" t="s">
        <v>274</v>
      </c>
      <c r="G62" s="139" t="s">
        <v>277</v>
      </c>
      <c r="H62" s="237"/>
      <c r="I62" s="237"/>
      <c r="J62" s="134"/>
      <c r="K62" s="262"/>
      <c r="L62" s="186"/>
      <c r="M62" s="186"/>
      <c r="N62" s="187"/>
    </row>
    <row r="63" spans="1:14" ht="15">
      <c r="A63" s="158" t="s">
        <v>305</v>
      </c>
      <c r="B63" s="168">
        <v>100</v>
      </c>
      <c r="C63" s="142">
        <v>0.59</v>
      </c>
      <c r="D63" s="177">
        <f t="shared" ref="D63:D70" si="10">E63/C63</f>
        <v>0.93220338983050854</v>
      </c>
      <c r="E63" s="144">
        <v>0.55000000000000004</v>
      </c>
      <c r="F63" s="177">
        <f t="shared" ref="F63:F70" si="11">G63/E63</f>
        <v>0.87272727272727257</v>
      </c>
      <c r="G63" s="145">
        <v>0.48</v>
      </c>
      <c r="H63" s="149">
        <f t="shared" ref="H63:H70" si="12">B63*C63*E63*G63</f>
        <v>15.576000000000001</v>
      </c>
      <c r="I63" s="177">
        <f>Table_7[[#This Row],[Column1]]/B63</f>
        <v>0.15576000000000001</v>
      </c>
      <c r="J63" s="134"/>
      <c r="K63" s="232"/>
      <c r="L63" s="197"/>
      <c r="M63" s="197"/>
      <c r="N63" s="198"/>
    </row>
    <row r="64" spans="1:14" ht="15">
      <c r="A64" s="158" t="s">
        <v>306</v>
      </c>
      <c r="B64" s="168">
        <v>250</v>
      </c>
      <c r="C64" s="148">
        <v>0.62</v>
      </c>
      <c r="D64" s="177">
        <f t="shared" si="10"/>
        <v>0.9838709677419355</v>
      </c>
      <c r="E64" s="150">
        <v>0.61</v>
      </c>
      <c r="F64" s="177">
        <f t="shared" si="11"/>
        <v>0.83606557377049184</v>
      </c>
      <c r="G64" s="151">
        <v>0.51</v>
      </c>
      <c r="H64" s="149">
        <f t="shared" si="12"/>
        <v>48.220500000000001</v>
      </c>
      <c r="I64" s="177">
        <f>Table_7[[#This Row],[Column1]]/B64</f>
        <v>0.192882</v>
      </c>
      <c r="J64" s="134"/>
      <c r="K64" s="232"/>
      <c r="L64" s="197"/>
      <c r="M64" s="197"/>
      <c r="N64" s="198"/>
    </row>
    <row r="65" spans="1:14" ht="15">
      <c r="A65" s="158" t="s">
        <v>307</v>
      </c>
      <c r="B65" s="168">
        <v>210</v>
      </c>
      <c r="C65" s="153">
        <v>0.7</v>
      </c>
      <c r="D65" s="177">
        <f t="shared" si="10"/>
        <v>0.87142857142857144</v>
      </c>
      <c r="E65" s="148">
        <v>0.61</v>
      </c>
      <c r="F65" s="177">
        <f t="shared" si="11"/>
        <v>0.90163934426229519</v>
      </c>
      <c r="G65" s="154">
        <v>0.55000000000000004</v>
      </c>
      <c r="H65" s="149">
        <f t="shared" si="12"/>
        <v>49.318500000000007</v>
      </c>
      <c r="I65" s="177">
        <f>Table_7[[#This Row],[Column1]]/B65</f>
        <v>0.23485000000000003</v>
      </c>
      <c r="J65" s="134"/>
      <c r="K65" s="232"/>
      <c r="L65" s="197"/>
      <c r="M65" s="197"/>
      <c r="N65" s="198"/>
    </row>
    <row r="66" spans="1:14" ht="15">
      <c r="A66" s="158" t="s">
        <v>308</v>
      </c>
      <c r="B66" s="168">
        <v>250</v>
      </c>
      <c r="C66" s="148">
        <v>0.83</v>
      </c>
      <c r="D66" s="177">
        <f t="shared" si="10"/>
        <v>0.9156626506024097</v>
      </c>
      <c r="E66" s="150">
        <v>0.76</v>
      </c>
      <c r="F66" s="177">
        <f t="shared" si="11"/>
        <v>0.92105263157894735</v>
      </c>
      <c r="G66" s="155">
        <v>0.7</v>
      </c>
      <c r="H66" s="149">
        <f t="shared" si="12"/>
        <v>110.38999999999999</v>
      </c>
      <c r="I66" s="177">
        <f>Table_7[[#This Row],[Column1]]/B66</f>
        <v>0.44155999999999995</v>
      </c>
      <c r="J66" s="134"/>
      <c r="K66" s="232"/>
      <c r="L66" s="197"/>
      <c r="M66" s="197"/>
      <c r="N66" s="198"/>
    </row>
    <row r="67" spans="1:14" ht="15">
      <c r="A67" s="158" t="s">
        <v>309</v>
      </c>
      <c r="B67" s="168">
        <v>220</v>
      </c>
      <c r="C67" s="153">
        <v>0.86</v>
      </c>
      <c r="D67" s="177">
        <f t="shared" si="10"/>
        <v>0.90697674418604657</v>
      </c>
      <c r="E67" s="156">
        <v>0.78</v>
      </c>
      <c r="F67" s="177">
        <f t="shared" si="11"/>
        <v>0.93589743589743579</v>
      </c>
      <c r="G67" s="157">
        <v>0.73</v>
      </c>
      <c r="H67" s="149">
        <f t="shared" si="12"/>
        <v>107.73047999999999</v>
      </c>
      <c r="I67" s="177">
        <f>Table_7[[#This Row],[Column1]]/B67</f>
        <v>0.48968399999999995</v>
      </c>
      <c r="J67" s="134"/>
      <c r="K67" s="232"/>
      <c r="L67" s="197"/>
      <c r="M67" s="197"/>
      <c r="N67" s="198"/>
    </row>
    <row r="68" spans="1:14" ht="15">
      <c r="A68" s="158" t="s">
        <v>310</v>
      </c>
      <c r="B68" s="168">
        <v>270</v>
      </c>
      <c r="C68" s="154">
        <v>0.87206396801599195</v>
      </c>
      <c r="D68" s="178">
        <f t="shared" si="10"/>
        <v>0.92883094555873935</v>
      </c>
      <c r="E68" s="159">
        <v>0.81</v>
      </c>
      <c r="F68" s="178">
        <f t="shared" si="11"/>
        <v>0.90123456790123446</v>
      </c>
      <c r="G68" s="160">
        <v>0.73</v>
      </c>
      <c r="H68" s="166">
        <f t="shared" si="12"/>
        <v>139.22588455772114</v>
      </c>
      <c r="I68" s="178">
        <f>Table_7[[#This Row],[Column1]]/B68</f>
        <v>0.51565142428785604</v>
      </c>
      <c r="J68" s="134"/>
      <c r="K68" s="232"/>
      <c r="L68" s="197"/>
      <c r="M68" s="197"/>
      <c r="N68" s="198"/>
    </row>
    <row r="69" spans="1:14" ht="15">
      <c r="A69" s="158" t="s">
        <v>311</v>
      </c>
      <c r="B69" s="168">
        <v>200</v>
      </c>
      <c r="C69" s="145">
        <v>0.88</v>
      </c>
      <c r="D69" s="178">
        <f t="shared" si="10"/>
        <v>0.90909090909090917</v>
      </c>
      <c r="E69" s="155">
        <v>0.8</v>
      </c>
      <c r="F69" s="178">
        <f t="shared" si="11"/>
        <v>0.88749999999999996</v>
      </c>
      <c r="G69" s="161">
        <v>0.71</v>
      </c>
      <c r="H69" s="166">
        <f t="shared" si="12"/>
        <v>99.968000000000004</v>
      </c>
      <c r="I69" s="178">
        <f>Table_7[[#This Row],[Column1]]/B69</f>
        <v>0.49984000000000001</v>
      </c>
      <c r="J69" s="134"/>
      <c r="K69" s="232"/>
      <c r="L69" s="197"/>
      <c r="M69" s="197"/>
      <c r="N69" s="198"/>
    </row>
    <row r="70" spans="1:14" ht="12.75">
      <c r="A70" s="137" t="s">
        <v>100</v>
      </c>
      <c r="B70" s="164">
        <f t="shared" ref="B70:C70" si="13">AVERAGE(B63:B69)</f>
        <v>214.28571428571428</v>
      </c>
      <c r="C70" s="165">
        <f t="shared" si="13"/>
        <v>0.76458056685942732</v>
      </c>
      <c r="D70" s="178">
        <f t="shared" si="10"/>
        <v>0.91927152392086287</v>
      </c>
      <c r="E70" s="165">
        <f>AVERAGE(E63:E69)</f>
        <v>0.70285714285714296</v>
      </c>
      <c r="F70" s="178">
        <f t="shared" si="11"/>
        <v>0.89634146341463405</v>
      </c>
      <c r="G70" s="165">
        <f>AVERAGE(G63:G69)</f>
        <v>0.63</v>
      </c>
      <c r="H70" s="166">
        <f t="shared" si="12"/>
        <v>72.547773215433097</v>
      </c>
      <c r="I70" s="178">
        <f>Table_7[[#This Row],[Column1]]/B70</f>
        <v>0.33855627500535446</v>
      </c>
      <c r="J70" s="134"/>
      <c r="K70" s="188"/>
      <c r="L70" s="189"/>
      <c r="M70" s="189"/>
      <c r="N70" s="190"/>
    </row>
    <row r="71" spans="1:14" ht="12.75">
      <c r="A71" s="134"/>
      <c r="B71" s="134"/>
      <c r="C71" s="134"/>
      <c r="D71" s="134"/>
      <c r="E71" s="134"/>
      <c r="F71" s="134"/>
      <c r="G71" s="134"/>
      <c r="H71" s="134"/>
      <c r="I71" s="134"/>
      <c r="J71" s="134"/>
      <c r="K71" s="134"/>
      <c r="L71" s="134"/>
      <c r="M71" s="134"/>
      <c r="N71" s="134"/>
    </row>
    <row r="72" spans="1:14" ht="12.75">
      <c r="A72" s="263" t="s">
        <v>312</v>
      </c>
      <c r="B72" s="187"/>
      <c r="C72" s="263" t="s">
        <v>313</v>
      </c>
      <c r="D72" s="187"/>
      <c r="E72" s="263" t="s">
        <v>288</v>
      </c>
      <c r="F72" s="187"/>
      <c r="G72" s="263" t="s">
        <v>289</v>
      </c>
      <c r="H72" s="186"/>
      <c r="I72" s="186"/>
      <c r="J72" s="186"/>
      <c r="K72" s="186"/>
      <c r="L72" s="186"/>
      <c r="M72" s="186"/>
      <c r="N72" s="187"/>
    </row>
    <row r="73" spans="1:14" ht="12.75">
      <c r="A73" s="188"/>
      <c r="B73" s="190"/>
      <c r="C73" s="188"/>
      <c r="D73" s="190"/>
      <c r="E73" s="188"/>
      <c r="F73" s="190"/>
      <c r="G73" s="188"/>
      <c r="H73" s="189"/>
      <c r="I73" s="189"/>
      <c r="J73" s="189"/>
      <c r="K73" s="189"/>
      <c r="L73" s="189"/>
      <c r="M73" s="189"/>
      <c r="N73" s="190"/>
    </row>
    <row r="74" spans="1:14" ht="12.75">
      <c r="A74" s="257" t="s">
        <v>430</v>
      </c>
      <c r="B74" s="187"/>
      <c r="C74" s="257" t="s">
        <v>431</v>
      </c>
      <c r="D74" s="187"/>
      <c r="E74" s="257" t="s">
        <v>434</v>
      </c>
      <c r="F74" s="187"/>
      <c r="G74" s="257" t="s">
        <v>435</v>
      </c>
      <c r="H74" s="186"/>
      <c r="I74" s="186"/>
      <c r="J74" s="186"/>
      <c r="K74" s="186"/>
      <c r="L74" s="186"/>
      <c r="M74" s="186"/>
      <c r="N74" s="187"/>
    </row>
    <row r="75" spans="1:14" ht="12.75">
      <c r="A75" s="232"/>
      <c r="B75" s="198"/>
      <c r="C75" s="232"/>
      <c r="D75" s="198"/>
      <c r="E75" s="232"/>
      <c r="F75" s="198"/>
      <c r="G75" s="232"/>
      <c r="H75" s="197"/>
      <c r="I75" s="197"/>
      <c r="J75" s="197"/>
      <c r="K75" s="197"/>
      <c r="L75" s="197"/>
      <c r="M75" s="197"/>
      <c r="N75" s="198"/>
    </row>
    <row r="76" spans="1:14" ht="12.75">
      <c r="A76" s="232"/>
      <c r="B76" s="198"/>
      <c r="C76" s="232"/>
      <c r="D76" s="198"/>
      <c r="E76" s="232"/>
      <c r="F76" s="198"/>
      <c r="G76" s="232"/>
      <c r="H76" s="197"/>
      <c r="I76" s="197"/>
      <c r="J76" s="197"/>
      <c r="K76" s="197"/>
      <c r="L76" s="197"/>
      <c r="M76" s="197"/>
      <c r="N76" s="198"/>
    </row>
    <row r="77" spans="1:14" ht="12.75">
      <c r="A77" s="232"/>
      <c r="B77" s="198"/>
      <c r="C77" s="232"/>
      <c r="D77" s="198"/>
      <c r="E77" s="232"/>
      <c r="F77" s="198"/>
      <c r="G77" s="232"/>
      <c r="H77" s="197"/>
      <c r="I77" s="197"/>
      <c r="J77" s="197"/>
      <c r="K77" s="197"/>
      <c r="L77" s="197"/>
      <c r="M77" s="197"/>
      <c r="N77" s="198"/>
    </row>
    <row r="78" spans="1:14" ht="12.75">
      <c r="A78" s="232"/>
      <c r="B78" s="198"/>
      <c r="C78" s="232"/>
      <c r="D78" s="198"/>
      <c r="E78" s="232"/>
      <c r="F78" s="198"/>
      <c r="G78" s="232"/>
      <c r="H78" s="197"/>
      <c r="I78" s="197"/>
      <c r="J78" s="197"/>
      <c r="K78" s="197"/>
      <c r="L78" s="197"/>
      <c r="M78" s="197"/>
      <c r="N78" s="198"/>
    </row>
    <row r="79" spans="1:14" ht="15" customHeight="1">
      <c r="A79" s="188"/>
      <c r="B79" s="190"/>
      <c r="C79" s="188"/>
      <c r="D79" s="190"/>
      <c r="E79" s="188"/>
      <c r="F79" s="190"/>
      <c r="G79" s="188"/>
      <c r="H79" s="189"/>
      <c r="I79" s="189"/>
      <c r="J79" s="189"/>
      <c r="K79" s="189"/>
      <c r="L79" s="189"/>
      <c r="M79" s="189"/>
      <c r="N79" s="190"/>
    </row>
    <row r="80" spans="1:14" ht="12.75">
      <c r="A80" s="134"/>
      <c r="B80" s="134"/>
      <c r="C80" s="134"/>
      <c r="D80" s="134"/>
      <c r="E80" s="134"/>
      <c r="F80" s="134"/>
      <c r="G80" s="134"/>
      <c r="H80" s="134"/>
      <c r="I80" s="134"/>
      <c r="J80" s="134"/>
      <c r="K80" s="134"/>
      <c r="L80" s="134"/>
      <c r="M80" s="134"/>
      <c r="N80" s="134"/>
    </row>
    <row r="81" spans="1:14" ht="12.75">
      <c r="A81" s="258" t="s">
        <v>314</v>
      </c>
      <c r="B81" s="181"/>
      <c r="C81" s="181"/>
      <c r="D81" s="181"/>
      <c r="E81" s="181"/>
      <c r="F81" s="181"/>
      <c r="G81" s="181"/>
      <c r="H81" s="181"/>
      <c r="I81" s="182"/>
      <c r="J81" s="135"/>
      <c r="K81" s="259" t="s">
        <v>69</v>
      </c>
      <c r="L81" s="197"/>
      <c r="M81" s="197"/>
      <c r="N81" s="197"/>
    </row>
    <row r="82" spans="1:14" ht="25.5">
      <c r="A82" s="136" t="s">
        <v>315</v>
      </c>
      <c r="B82" s="167" t="s">
        <v>292</v>
      </c>
      <c r="C82" s="258"/>
      <c r="D82" s="181"/>
      <c r="E82" s="181"/>
      <c r="F82" s="181"/>
      <c r="G82" s="182"/>
      <c r="H82" s="260" t="s">
        <v>270</v>
      </c>
      <c r="I82" s="261" t="s">
        <v>271</v>
      </c>
      <c r="J82" s="135"/>
      <c r="K82" s="197"/>
      <c r="L82" s="197"/>
      <c r="M82" s="197"/>
      <c r="N82" s="197"/>
    </row>
    <row r="83" spans="1:14" ht="12.75">
      <c r="A83" s="137" t="s">
        <v>272</v>
      </c>
      <c r="B83" s="138">
        <f>SUM(B84:B88)</f>
        <v>1490</v>
      </c>
      <c r="C83" s="139" t="s">
        <v>273</v>
      </c>
      <c r="D83" s="139" t="s">
        <v>274</v>
      </c>
      <c r="E83" s="139" t="s">
        <v>275</v>
      </c>
      <c r="F83" s="139" t="s">
        <v>274</v>
      </c>
      <c r="G83" s="139" t="s">
        <v>277</v>
      </c>
      <c r="H83" s="237"/>
      <c r="I83" s="237"/>
      <c r="J83" s="134"/>
      <c r="K83" s="262"/>
      <c r="L83" s="186"/>
      <c r="M83" s="186"/>
      <c r="N83" s="187"/>
    </row>
    <row r="84" spans="1:14" ht="15">
      <c r="A84" s="158" t="s">
        <v>316</v>
      </c>
      <c r="B84" s="168">
        <v>250</v>
      </c>
      <c r="C84" s="142">
        <v>0.72</v>
      </c>
      <c r="D84" s="177">
        <f t="shared" ref="D84:D89" si="14">E84/C84</f>
        <v>0.94444444444444453</v>
      </c>
      <c r="E84" s="144">
        <v>0.68</v>
      </c>
      <c r="F84" s="177">
        <f t="shared" ref="F84:F89" si="15">G84/E84</f>
        <v>0.88235294117647045</v>
      </c>
      <c r="G84" s="145">
        <v>0.6</v>
      </c>
      <c r="H84" s="149">
        <f t="shared" ref="H84:H89" si="16">B84*C84*E84*G84</f>
        <v>73.44</v>
      </c>
      <c r="I84" s="177">
        <f>Table_11[[#This Row],[Column1]]/B84</f>
        <v>0.29375999999999997</v>
      </c>
      <c r="J84" s="134"/>
      <c r="K84" s="232"/>
      <c r="L84" s="197"/>
      <c r="M84" s="197"/>
      <c r="N84" s="198"/>
    </row>
    <row r="85" spans="1:14" ht="15">
      <c r="A85" s="158" t="s">
        <v>317</v>
      </c>
      <c r="B85" s="168">
        <v>310</v>
      </c>
      <c r="C85" s="148">
        <v>0.76</v>
      </c>
      <c r="D85" s="177">
        <f t="shared" si="14"/>
        <v>0.92105263157894735</v>
      </c>
      <c r="E85" s="150">
        <v>0.7</v>
      </c>
      <c r="F85" s="177">
        <f t="shared" si="15"/>
        <v>0.84285714285714286</v>
      </c>
      <c r="G85" s="151">
        <v>0.59</v>
      </c>
      <c r="H85" s="149">
        <f t="shared" si="16"/>
        <v>97.302799999999991</v>
      </c>
      <c r="I85" s="177">
        <f>Table_11[[#This Row],[Column1]]/B85</f>
        <v>0.31387999999999999</v>
      </c>
      <c r="J85" s="134"/>
      <c r="K85" s="232"/>
      <c r="L85" s="197"/>
      <c r="M85" s="197"/>
      <c r="N85" s="198"/>
    </row>
    <row r="86" spans="1:14" ht="15">
      <c r="A86" s="158" t="s">
        <v>318</v>
      </c>
      <c r="B86" s="168">
        <v>390</v>
      </c>
      <c r="C86" s="153">
        <v>0.8</v>
      </c>
      <c r="D86" s="178">
        <f t="shared" si="14"/>
        <v>0.91249999999999998</v>
      </c>
      <c r="E86" s="148">
        <v>0.73</v>
      </c>
      <c r="F86" s="178">
        <f t="shared" si="15"/>
        <v>0.8904109589041096</v>
      </c>
      <c r="G86" s="154">
        <v>0.65</v>
      </c>
      <c r="H86" s="166">
        <f t="shared" si="16"/>
        <v>148.04400000000001</v>
      </c>
      <c r="I86" s="178">
        <f>Table_11[[#This Row],[Column1]]/B86</f>
        <v>0.37960000000000005</v>
      </c>
      <c r="J86" s="134"/>
      <c r="K86" s="232"/>
      <c r="L86" s="197"/>
      <c r="M86" s="197"/>
      <c r="N86" s="198"/>
    </row>
    <row r="87" spans="1:14" ht="15">
      <c r="A87" s="158" t="s">
        <v>319</v>
      </c>
      <c r="B87" s="168">
        <v>430</v>
      </c>
      <c r="C87" s="148">
        <v>0.83</v>
      </c>
      <c r="D87" s="178">
        <f t="shared" si="14"/>
        <v>0.93975903614457834</v>
      </c>
      <c r="E87" s="150">
        <v>0.78</v>
      </c>
      <c r="F87" s="178">
        <f t="shared" si="15"/>
        <v>0.91025641025641013</v>
      </c>
      <c r="G87" s="155">
        <v>0.71</v>
      </c>
      <c r="H87" s="166">
        <f t="shared" si="16"/>
        <v>197.65122</v>
      </c>
      <c r="I87" s="178">
        <f>Table_11[[#This Row],[Column1]]/B87</f>
        <v>0.45965400000000001</v>
      </c>
      <c r="J87" s="134"/>
      <c r="K87" s="232"/>
      <c r="L87" s="197"/>
      <c r="M87" s="197"/>
      <c r="N87" s="198"/>
    </row>
    <row r="88" spans="1:14" ht="15">
      <c r="A88" s="158" t="s">
        <v>320</v>
      </c>
      <c r="B88" s="168">
        <v>110</v>
      </c>
      <c r="C88" s="153">
        <v>0.7</v>
      </c>
      <c r="D88" s="178">
        <f t="shared" si="14"/>
        <v>0.94285714285714295</v>
      </c>
      <c r="E88" s="156">
        <v>0.66</v>
      </c>
      <c r="F88" s="178">
        <f t="shared" si="15"/>
        <v>0.87878787878787867</v>
      </c>
      <c r="G88" s="157">
        <v>0.57999999999999996</v>
      </c>
      <c r="H88" s="166">
        <f t="shared" si="16"/>
        <v>29.475599999999996</v>
      </c>
      <c r="I88" s="178">
        <f>Table_11[[#This Row],[Column1]]/B88</f>
        <v>0.26795999999999998</v>
      </c>
      <c r="J88" s="134"/>
      <c r="K88" s="232"/>
      <c r="L88" s="197"/>
      <c r="M88" s="197"/>
      <c r="N88" s="198"/>
    </row>
    <row r="89" spans="1:14" ht="12.75">
      <c r="A89" s="169" t="s">
        <v>100</v>
      </c>
      <c r="B89" s="138">
        <f t="shared" ref="B89:C89" si="17">AVERAGE(B84:B88)</f>
        <v>298</v>
      </c>
      <c r="C89" s="165">
        <f t="shared" si="17"/>
        <v>0.76200000000000012</v>
      </c>
      <c r="D89" s="178">
        <f t="shared" si="14"/>
        <v>0.93175853018372679</v>
      </c>
      <c r="E89" s="165">
        <f>AVERAGE(E84:E88)</f>
        <v>0.71</v>
      </c>
      <c r="F89" s="178">
        <f t="shared" si="15"/>
        <v>0.88169014084507047</v>
      </c>
      <c r="G89" s="165">
        <f>AVERAGE(G84:G88)</f>
        <v>0.626</v>
      </c>
      <c r="H89" s="166">
        <f t="shared" si="16"/>
        <v>100.92619896000002</v>
      </c>
      <c r="I89" s="178">
        <f>Table_11[[#This Row],[Column1]]/B89</f>
        <v>0.33867852000000009</v>
      </c>
      <c r="J89" s="134"/>
      <c r="K89" s="188"/>
      <c r="L89" s="189"/>
      <c r="M89" s="189"/>
      <c r="N89" s="190"/>
    </row>
    <row r="90" spans="1:14" ht="12.75">
      <c r="A90" s="134"/>
      <c r="B90" s="134"/>
      <c r="C90" s="134"/>
      <c r="D90" s="134"/>
      <c r="E90" s="134"/>
      <c r="F90" s="134"/>
      <c r="G90" s="134"/>
      <c r="H90" s="134"/>
      <c r="I90" s="134"/>
      <c r="J90" s="134"/>
      <c r="K90" s="134"/>
      <c r="L90" s="134"/>
      <c r="M90" s="134"/>
      <c r="N90" s="134"/>
    </row>
    <row r="91" spans="1:14" ht="12.75">
      <c r="A91" s="263" t="s">
        <v>321</v>
      </c>
      <c r="B91" s="187"/>
      <c r="C91" s="263" t="s">
        <v>322</v>
      </c>
      <c r="D91" s="187"/>
      <c r="E91" s="263" t="s">
        <v>288</v>
      </c>
      <c r="F91" s="187"/>
      <c r="G91" s="263" t="s">
        <v>289</v>
      </c>
      <c r="H91" s="186"/>
      <c r="I91" s="186"/>
      <c r="J91" s="186"/>
      <c r="K91" s="186"/>
      <c r="L91" s="186"/>
      <c r="M91" s="186"/>
      <c r="N91" s="187"/>
    </row>
    <row r="92" spans="1:14" ht="12.75">
      <c r="A92" s="188"/>
      <c r="B92" s="190"/>
      <c r="C92" s="188"/>
      <c r="D92" s="190"/>
      <c r="E92" s="188"/>
      <c r="F92" s="190"/>
      <c r="G92" s="188"/>
      <c r="H92" s="189"/>
      <c r="I92" s="189"/>
      <c r="J92" s="189"/>
      <c r="K92" s="189"/>
      <c r="L92" s="189"/>
      <c r="M92" s="189"/>
      <c r="N92" s="190"/>
    </row>
    <row r="93" spans="1:14" ht="12.75">
      <c r="A93" s="257" t="s">
        <v>436</v>
      </c>
      <c r="B93" s="187"/>
      <c r="C93" s="257" t="s">
        <v>437</v>
      </c>
      <c r="D93" s="187"/>
      <c r="E93" s="257" t="s">
        <v>438</v>
      </c>
      <c r="F93" s="187"/>
      <c r="G93" s="257" t="s">
        <v>439</v>
      </c>
      <c r="H93" s="186"/>
      <c r="I93" s="186"/>
      <c r="J93" s="186"/>
      <c r="K93" s="186"/>
      <c r="L93" s="186"/>
      <c r="M93" s="186"/>
      <c r="N93" s="187"/>
    </row>
    <row r="94" spans="1:14" ht="12.75">
      <c r="A94" s="232"/>
      <c r="B94" s="198"/>
      <c r="C94" s="232"/>
      <c r="D94" s="198"/>
      <c r="E94" s="232"/>
      <c r="F94" s="198"/>
      <c r="G94" s="232"/>
      <c r="H94" s="197"/>
      <c r="I94" s="197"/>
      <c r="J94" s="197"/>
      <c r="K94" s="197"/>
      <c r="L94" s="197"/>
      <c r="M94" s="197"/>
      <c r="N94" s="198"/>
    </row>
    <row r="95" spans="1:14" ht="12.75">
      <c r="A95" s="232"/>
      <c r="B95" s="198"/>
      <c r="C95" s="232"/>
      <c r="D95" s="198"/>
      <c r="E95" s="232"/>
      <c r="F95" s="198"/>
      <c r="G95" s="232"/>
      <c r="H95" s="197"/>
      <c r="I95" s="197"/>
      <c r="J95" s="197"/>
      <c r="K95" s="197"/>
      <c r="L95" s="197"/>
      <c r="M95" s="197"/>
      <c r="N95" s="198"/>
    </row>
    <row r="96" spans="1:14" ht="12.75">
      <c r="A96" s="232"/>
      <c r="B96" s="198"/>
      <c r="C96" s="232"/>
      <c r="D96" s="198"/>
      <c r="E96" s="232"/>
      <c r="F96" s="198"/>
      <c r="G96" s="232"/>
      <c r="H96" s="197"/>
      <c r="I96" s="197"/>
      <c r="J96" s="197"/>
      <c r="K96" s="197"/>
      <c r="L96" s="197"/>
      <c r="M96" s="197"/>
      <c r="N96" s="198"/>
    </row>
    <row r="97" spans="1:14" ht="12.75">
      <c r="A97" s="232"/>
      <c r="B97" s="198"/>
      <c r="C97" s="232"/>
      <c r="D97" s="198"/>
      <c r="E97" s="232"/>
      <c r="F97" s="198"/>
      <c r="G97" s="232"/>
      <c r="H97" s="197"/>
      <c r="I97" s="197"/>
      <c r="J97" s="197"/>
      <c r="K97" s="197"/>
      <c r="L97" s="197"/>
      <c r="M97" s="197"/>
      <c r="N97" s="198"/>
    </row>
    <row r="98" spans="1:14" ht="24" customHeight="1">
      <c r="A98" s="188"/>
      <c r="B98" s="190"/>
      <c r="C98" s="188"/>
      <c r="D98" s="190"/>
      <c r="E98" s="188"/>
      <c r="F98" s="190"/>
      <c r="G98" s="188"/>
      <c r="H98" s="189"/>
      <c r="I98" s="189"/>
      <c r="J98" s="189"/>
      <c r="K98" s="189"/>
      <c r="L98" s="189"/>
      <c r="M98" s="189"/>
      <c r="N98" s="190"/>
    </row>
  </sheetData>
  <mergeCells count="71">
    <mergeCell ref="G51:N52"/>
    <mergeCell ref="A93:B98"/>
    <mergeCell ref="C93:D98"/>
    <mergeCell ref="E93:F98"/>
    <mergeCell ref="G93:N98"/>
    <mergeCell ref="H82:H83"/>
    <mergeCell ref="I82:I83"/>
    <mergeCell ref="K83:N89"/>
    <mergeCell ref="A91:B92"/>
    <mergeCell ref="C91:D92"/>
    <mergeCell ref="E91:F92"/>
    <mergeCell ref="G91:N92"/>
    <mergeCell ref="A81:I81"/>
    <mergeCell ref="K81:N82"/>
    <mergeCell ref="C82:G82"/>
    <mergeCell ref="A74:B79"/>
    <mergeCell ref="E31:F36"/>
    <mergeCell ref="A38:I38"/>
    <mergeCell ref="A29:B30"/>
    <mergeCell ref="C29:D30"/>
    <mergeCell ref="E29:F30"/>
    <mergeCell ref="G29:N30"/>
    <mergeCell ref="A31:B36"/>
    <mergeCell ref="C31:D36"/>
    <mergeCell ref="G31:N36"/>
    <mergeCell ref="A15:J15"/>
    <mergeCell ref="A16:I16"/>
    <mergeCell ref="K16:N17"/>
    <mergeCell ref="C17:G17"/>
    <mergeCell ref="H17:H18"/>
    <mergeCell ref="I17:I18"/>
    <mergeCell ref="K18:N27"/>
    <mergeCell ref="A1:N1"/>
    <mergeCell ref="A2:J2"/>
    <mergeCell ref="A3:J3"/>
    <mergeCell ref="A4:J4"/>
    <mergeCell ref="A5:J5"/>
    <mergeCell ref="A6:J6"/>
    <mergeCell ref="A7:J7"/>
    <mergeCell ref="A8:J8"/>
    <mergeCell ref="A9:J9"/>
    <mergeCell ref="A10:J10"/>
    <mergeCell ref="A11:J11"/>
    <mergeCell ref="A12:J12"/>
    <mergeCell ref="A13:J13"/>
    <mergeCell ref="A72:B73"/>
    <mergeCell ref="C72:D73"/>
    <mergeCell ref="E72:F73"/>
    <mergeCell ref="G72:N73"/>
    <mergeCell ref="A51:B52"/>
    <mergeCell ref="C51:D52"/>
    <mergeCell ref="E51:F52"/>
    <mergeCell ref="K38:N39"/>
    <mergeCell ref="C39:G39"/>
    <mergeCell ref="H39:H40"/>
    <mergeCell ref="I39:I40"/>
    <mergeCell ref="K40:N49"/>
    <mergeCell ref="A14:J14"/>
    <mergeCell ref="C74:D79"/>
    <mergeCell ref="E74:F79"/>
    <mergeCell ref="G74:N79"/>
    <mergeCell ref="G53:N58"/>
    <mergeCell ref="A60:I60"/>
    <mergeCell ref="K60:N61"/>
    <mergeCell ref="C61:G61"/>
    <mergeCell ref="H61:H62"/>
    <mergeCell ref="I61:I62"/>
    <mergeCell ref="K62:N70"/>
    <mergeCell ref="A53:B58"/>
    <mergeCell ref="C53:D58"/>
    <mergeCell ref="E53:F58"/>
  </mergeCells>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Deliverables</vt:lpstr>
      <vt:lpstr>Tab 1 - Measure drop-offs</vt:lpstr>
      <vt:lpstr>Tab 2 - Signup Experiments</vt:lpstr>
      <vt:lpstr>Tab 3 - Activation Hypothesis</vt:lpstr>
      <vt:lpstr>Tab 4 - Habit Moment and Metric</vt:lpstr>
      <vt:lpstr>Tab 5 - Aha Moment and Metric A</vt:lpstr>
      <vt:lpstr>Tab 6 - Setup Moment and Metric</vt:lpstr>
      <vt:lpstr>Tab 7 - Activation Funnel</vt:lpstr>
      <vt:lpstr>Tab 8 - Segment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Jamil Abdulai</cp:lastModifiedBy>
  <dcterms:modified xsi:type="dcterms:W3CDTF">2022-10-07T11:13:35Z</dcterms:modified>
</cp:coreProperties>
</file>