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reart\OneDrive\Documents\UDACITY GPMND\Activiation &amp; Retention Strategy\Project 2 submission\"/>
    </mc:Choice>
  </mc:AlternateContent>
  <xr:revisionPtr revIDLastSave="0" documentId="13_ncr:1_{25E544F9-15B0-4002-B23F-4DF57A4C9156}" xr6:coauthVersionLast="47" xr6:coauthVersionMax="47" xr10:uidLastSave="{00000000-0000-0000-0000-000000000000}"/>
  <bookViews>
    <workbookView xWindow="-120" yWindow="-120" windowWidth="20730" windowHeight="11040" tabRatio="734" firstSheet="3" activeTab="5" xr2:uid="{00000000-000D-0000-FFFF-FFFF00000000}"/>
  </bookViews>
  <sheets>
    <sheet name="Deliverable" sheetId="1" r:id="rId1"/>
    <sheet name="Tab 1 - Engagement Type Analysi" sheetId="2" r:id="rId2"/>
    <sheet name="Tab 2 - Engagement State Analys" sheetId="3" r:id="rId3"/>
    <sheet name="Tab 3 - Retention Cohort Analys" sheetId="4" r:id="rId4"/>
    <sheet name="Tab 4 - Retention Curve " sheetId="5" r:id="rId5"/>
    <sheet name="Tab 5 - Retention Segmentation" sheetId="6" r:id="rId6"/>
    <sheet name="Tab 6 - Lifecycle Chart" sheetId="7" r:id="rId7"/>
    <sheet name="Tab 7 - Churn &amp; LTV Analysis" sheetId="8" r:id="rId8"/>
    <sheet name="Tab 8 - Experment Brief" sheetId="9" r:id="rId9"/>
  </sheets>
  <externalReferences>
    <externalReference r:id="rId10"/>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 i="9" l="1"/>
  <c r="L18" i="9"/>
  <c r="L17" i="9"/>
  <c r="E17" i="8"/>
  <c r="D17" i="8"/>
  <c r="C17" i="8"/>
  <c r="B16" i="8"/>
  <c r="D15" i="8"/>
  <c r="C15" i="8"/>
  <c r="C16" i="8" s="1"/>
  <c r="C14" i="8"/>
  <c r="D14" i="8" s="1"/>
  <c r="C47" i="7"/>
  <c r="F47" i="7" s="1"/>
  <c r="F45" i="7"/>
  <c r="G45" i="7" s="1"/>
  <c r="F44" i="7"/>
  <c r="C40" i="7"/>
  <c r="C39" i="7"/>
  <c r="C38" i="7"/>
  <c r="C37" i="7"/>
  <c r="G36" i="7"/>
  <c r="D36" i="7"/>
  <c r="C36" i="7"/>
  <c r="E35" i="7"/>
  <c r="C35" i="7"/>
  <c r="C34" i="7"/>
  <c r="D33" i="7"/>
  <c r="C33" i="7"/>
  <c r="J32" i="7"/>
  <c r="I32" i="7"/>
  <c r="F32" i="7"/>
  <c r="E32" i="7"/>
  <c r="C32" i="7"/>
  <c r="C31" i="7"/>
  <c r="C30" i="7"/>
  <c r="D44" i="7" s="1"/>
  <c r="D23" i="7"/>
  <c r="C54" i="7" s="1"/>
  <c r="E22" i="7"/>
  <c r="D22" i="7"/>
  <c r="E38" i="7" s="1"/>
  <c r="F21" i="7"/>
  <c r="E21" i="7"/>
  <c r="F37" i="7" s="1"/>
  <c r="D21" i="7"/>
  <c r="E37" i="7" s="1"/>
  <c r="G20" i="7"/>
  <c r="F20" i="7"/>
  <c r="E20" i="7"/>
  <c r="F36" i="7" s="1"/>
  <c r="D20" i="7"/>
  <c r="E36" i="7" s="1"/>
  <c r="H19" i="7"/>
  <c r="G19" i="7"/>
  <c r="H35" i="7" s="1"/>
  <c r="F19" i="7"/>
  <c r="F35" i="7" s="1"/>
  <c r="E19" i="7"/>
  <c r="D19" i="7"/>
  <c r="C50" i="7" s="1"/>
  <c r="I18" i="7"/>
  <c r="H18" i="7"/>
  <c r="I34" i="7" s="1"/>
  <c r="G18" i="7"/>
  <c r="F18" i="7"/>
  <c r="G34" i="7" s="1"/>
  <c r="E18" i="7"/>
  <c r="F34" i="7" s="1"/>
  <c r="D18" i="7"/>
  <c r="C49" i="7" s="1"/>
  <c r="J17" i="7"/>
  <c r="I17" i="7"/>
  <c r="J33" i="7" s="1"/>
  <c r="H17" i="7"/>
  <c r="I33" i="7" s="1"/>
  <c r="G17" i="7"/>
  <c r="H33" i="7" s="1"/>
  <c r="F17" i="7"/>
  <c r="G33" i="7" s="1"/>
  <c r="E17" i="7"/>
  <c r="F33" i="7" s="1"/>
  <c r="D17" i="7"/>
  <c r="C48" i="7" s="1"/>
  <c r="K16" i="7"/>
  <c r="J16" i="7"/>
  <c r="K32" i="7" s="1"/>
  <c r="I16" i="7"/>
  <c r="H16" i="7"/>
  <c r="G16" i="7"/>
  <c r="H32" i="7" s="1"/>
  <c r="F16" i="7"/>
  <c r="G32" i="7" s="1"/>
  <c r="E16" i="7"/>
  <c r="D16" i="7"/>
  <c r="D32" i="7" s="1"/>
  <c r="K15" i="7"/>
  <c r="L31" i="7" s="1"/>
  <c r="J15" i="7"/>
  <c r="I15" i="7"/>
  <c r="J31" i="7" s="1"/>
  <c r="H15" i="7"/>
  <c r="I31" i="7" s="1"/>
  <c r="G15" i="7"/>
  <c r="G31" i="7" s="1"/>
  <c r="F15" i="7"/>
  <c r="E15" i="7"/>
  <c r="F31" i="7" s="1"/>
  <c r="D15" i="7"/>
  <c r="C46" i="7" s="1"/>
  <c r="M14" i="7"/>
  <c r="L14" i="7"/>
  <c r="M30" i="7" s="1"/>
  <c r="K14" i="7"/>
  <c r="L30" i="7" s="1"/>
  <c r="J14" i="7"/>
  <c r="K30" i="7" s="1"/>
  <c r="I14" i="7"/>
  <c r="J30" i="7" s="1"/>
  <c r="H14" i="7"/>
  <c r="I30" i="7" s="1"/>
  <c r="G14" i="7"/>
  <c r="H30" i="7" s="1"/>
  <c r="F14" i="7"/>
  <c r="G30" i="7" s="1"/>
  <c r="E14" i="7"/>
  <c r="F30" i="7" s="1"/>
  <c r="D14" i="7"/>
  <c r="E30" i="7" s="1"/>
  <c r="C190" i="6"/>
  <c r="C189" i="6"/>
  <c r="C188" i="6"/>
  <c r="C187" i="6"/>
  <c r="D186" i="6"/>
  <c r="C186" i="6"/>
  <c r="C185" i="6"/>
  <c r="B185" i="6"/>
  <c r="D178" i="6"/>
  <c r="D190" i="6" s="1"/>
  <c r="D177" i="6"/>
  <c r="D176" i="6"/>
  <c r="D188" i="6" s="1"/>
  <c r="D175" i="6"/>
  <c r="D174" i="6"/>
  <c r="E174" i="6" s="1"/>
  <c r="D173" i="6"/>
  <c r="B173" i="6"/>
  <c r="C143" i="6"/>
  <c r="C142" i="6"/>
  <c r="C141" i="6"/>
  <c r="C140" i="6"/>
  <c r="C139" i="6"/>
  <c r="C138" i="6"/>
  <c r="C137" i="6"/>
  <c r="C136" i="6"/>
  <c r="D135" i="6"/>
  <c r="C135" i="6"/>
  <c r="B135" i="6"/>
  <c r="D128" i="6"/>
  <c r="F127" i="6"/>
  <c r="E127" i="6"/>
  <c r="E141" i="6" s="1"/>
  <c r="D127" i="6"/>
  <c r="D141" i="6" s="1"/>
  <c r="D126" i="6"/>
  <c r="D125" i="6"/>
  <c r="D139" i="6" s="1"/>
  <c r="D124" i="6"/>
  <c r="F123" i="6"/>
  <c r="E123" i="6"/>
  <c r="E137" i="6" s="1"/>
  <c r="D123" i="6"/>
  <c r="D137" i="6" s="1"/>
  <c r="D122" i="6"/>
  <c r="F121" i="6"/>
  <c r="E121" i="6"/>
  <c r="E135" i="6" s="1"/>
  <c r="D121" i="6"/>
  <c r="B121" i="6"/>
  <c r="C91" i="6"/>
  <c r="C90" i="6"/>
  <c r="E89" i="6"/>
  <c r="D89" i="6"/>
  <c r="C89" i="6"/>
  <c r="E88" i="6"/>
  <c r="D88" i="6"/>
  <c r="C88" i="6"/>
  <c r="D87" i="6"/>
  <c r="C87" i="6"/>
  <c r="C86" i="6"/>
  <c r="C85" i="6"/>
  <c r="C84" i="6"/>
  <c r="B83" i="6"/>
  <c r="F76" i="6"/>
  <c r="G76" i="6" s="1"/>
  <c r="D76" i="6"/>
  <c r="E76" i="6" s="1"/>
  <c r="E91" i="6" s="1"/>
  <c r="E75" i="6"/>
  <c r="F75" i="6" s="1"/>
  <c r="G75" i="6" s="1"/>
  <c r="D75" i="6"/>
  <c r="D90" i="6" s="1"/>
  <c r="F74" i="6"/>
  <c r="E74" i="6"/>
  <c r="D74" i="6"/>
  <c r="E73" i="6"/>
  <c r="F73" i="6" s="1"/>
  <c r="D73" i="6"/>
  <c r="F72" i="6"/>
  <c r="E72" i="6"/>
  <c r="E87" i="6" s="1"/>
  <c r="D72" i="6"/>
  <c r="E71" i="6"/>
  <c r="D71" i="6"/>
  <c r="D86" i="6" s="1"/>
  <c r="F70" i="6"/>
  <c r="E70" i="6"/>
  <c r="E85" i="6" s="1"/>
  <c r="D70" i="6"/>
  <c r="D85" i="6" s="1"/>
  <c r="E69" i="6"/>
  <c r="D69" i="6"/>
  <c r="D84" i="6" s="1"/>
  <c r="F68" i="6"/>
  <c r="E68" i="6"/>
  <c r="D68" i="6"/>
  <c r="B68" i="6"/>
  <c r="B37" i="6"/>
  <c r="C36" i="6"/>
  <c r="B36" i="6"/>
  <c r="C35" i="6"/>
  <c r="B35" i="6"/>
  <c r="D34" i="6"/>
  <c r="B34" i="6"/>
  <c r="E33" i="6"/>
  <c r="B33" i="6"/>
  <c r="B32" i="6"/>
  <c r="C31" i="6"/>
  <c r="B31" i="6"/>
  <c r="B30" i="6"/>
  <c r="B29" i="6"/>
  <c r="D22" i="6"/>
  <c r="B22" i="6"/>
  <c r="C37" i="6" s="1"/>
  <c r="E21" i="6"/>
  <c r="E36" i="6" s="1"/>
  <c r="D21" i="6"/>
  <c r="B21" i="6"/>
  <c r="D36" i="6" s="1"/>
  <c r="D20" i="6"/>
  <c r="B20" i="6"/>
  <c r="D19" i="6"/>
  <c r="E19" i="6" s="1"/>
  <c r="B19" i="6"/>
  <c r="C34" i="6" s="1"/>
  <c r="D18" i="6"/>
  <c r="E18" i="6" s="1"/>
  <c r="F18" i="6" s="1"/>
  <c r="B18" i="6"/>
  <c r="C33" i="6" s="1"/>
  <c r="G17" i="6"/>
  <c r="H17" i="6" s="1"/>
  <c r="F17" i="6"/>
  <c r="E17" i="6"/>
  <c r="D17" i="6"/>
  <c r="B17" i="6"/>
  <c r="D16" i="6"/>
  <c r="E16" i="6" s="1"/>
  <c r="B16" i="6"/>
  <c r="D15" i="6"/>
  <c r="E15" i="6" s="1"/>
  <c r="B15" i="6"/>
  <c r="C30" i="6" s="1"/>
  <c r="G14" i="6"/>
  <c r="F14" i="6"/>
  <c r="D14" i="6"/>
  <c r="E14" i="6" s="1"/>
  <c r="D44" i="4"/>
  <c r="E44" i="4"/>
  <c r="F44" i="4"/>
  <c r="G44" i="4"/>
  <c r="H44" i="4"/>
  <c r="I44" i="4"/>
  <c r="J44" i="4"/>
  <c r="K44" i="4"/>
  <c r="L44" i="4"/>
  <c r="M44" i="4"/>
  <c r="C44" i="4"/>
  <c r="M32" i="4"/>
  <c r="L33" i="4"/>
  <c r="L32" i="4"/>
  <c r="K33" i="4"/>
  <c r="K34" i="4"/>
  <c r="K32" i="4"/>
  <c r="J33" i="4"/>
  <c r="J34" i="4"/>
  <c r="J35" i="4"/>
  <c r="J32" i="4"/>
  <c r="I33" i="4"/>
  <c r="I34" i="4"/>
  <c r="I35" i="4"/>
  <c r="I36" i="4"/>
  <c r="I32" i="4"/>
  <c r="H33" i="4"/>
  <c r="H34" i="4"/>
  <c r="H35" i="4"/>
  <c r="H36" i="4"/>
  <c r="H37" i="4"/>
  <c r="H32" i="4"/>
  <c r="G33" i="4"/>
  <c r="G34" i="4"/>
  <c r="G35" i="4"/>
  <c r="G36" i="4"/>
  <c r="G37" i="4"/>
  <c r="G38" i="4"/>
  <c r="G32" i="4"/>
  <c r="F33" i="4"/>
  <c r="F34" i="4"/>
  <c r="F35" i="4"/>
  <c r="F36" i="4"/>
  <c r="F37" i="4"/>
  <c r="F38" i="4"/>
  <c r="F39" i="4"/>
  <c r="F32" i="4"/>
  <c r="E33" i="4"/>
  <c r="E34" i="4"/>
  <c r="E35" i="4"/>
  <c r="E36" i="4"/>
  <c r="E37" i="4"/>
  <c r="E38" i="4"/>
  <c r="E39" i="4"/>
  <c r="E40" i="4"/>
  <c r="E32" i="4"/>
  <c r="D33" i="4"/>
  <c r="D34" i="4"/>
  <c r="D35" i="4"/>
  <c r="D36" i="4"/>
  <c r="D37" i="4"/>
  <c r="D38" i="4"/>
  <c r="D39" i="4"/>
  <c r="D40" i="4"/>
  <c r="D41" i="4"/>
  <c r="D32" i="4"/>
  <c r="C34" i="4"/>
  <c r="C35" i="4"/>
  <c r="C36" i="4"/>
  <c r="C37" i="4"/>
  <c r="C38" i="4"/>
  <c r="C39" i="4"/>
  <c r="C40" i="4"/>
  <c r="C41" i="4"/>
  <c r="C42" i="4"/>
  <c r="C33" i="4"/>
  <c r="D19" i="8" l="1"/>
  <c r="E14" i="8"/>
  <c r="D16" i="8"/>
  <c r="E15" i="8"/>
  <c r="F17" i="8"/>
  <c r="C19" i="8"/>
  <c r="F49" i="7"/>
  <c r="G49" i="7"/>
  <c r="F54" i="7"/>
  <c r="D51" i="7"/>
  <c r="G46" i="7"/>
  <c r="F46" i="7"/>
  <c r="F48" i="7"/>
  <c r="G50" i="7"/>
  <c r="F50" i="7"/>
  <c r="D48" i="7"/>
  <c r="K31" i="7"/>
  <c r="D34" i="7"/>
  <c r="C51" i="7"/>
  <c r="H31" i="7"/>
  <c r="E34" i="7"/>
  <c r="D39" i="7"/>
  <c r="D54" i="7" s="1"/>
  <c r="D30" i="7"/>
  <c r="E31" i="7"/>
  <c r="D47" i="7" s="1"/>
  <c r="E47" i="7" s="1"/>
  <c r="G35" i="7"/>
  <c r="D37" i="7"/>
  <c r="D52" i="7" s="1"/>
  <c r="D38" i="7"/>
  <c r="D53" i="7" s="1"/>
  <c r="C53" i="7"/>
  <c r="H34" i="7"/>
  <c r="G47" i="7"/>
  <c r="D31" i="7"/>
  <c r="D46" i="7" s="1"/>
  <c r="E33" i="7"/>
  <c r="D49" i="7" s="1"/>
  <c r="C52" i="7"/>
  <c r="D35" i="7"/>
  <c r="D50" i="7" s="1"/>
  <c r="C38" i="6"/>
  <c r="H32" i="6"/>
  <c r="I17" i="6"/>
  <c r="E22" i="6"/>
  <c r="D37" i="6"/>
  <c r="D30" i="6"/>
  <c r="G32" i="6"/>
  <c r="F15" i="6"/>
  <c r="E30" i="6"/>
  <c r="F16" i="6"/>
  <c r="E31" i="6"/>
  <c r="F83" i="6"/>
  <c r="G68" i="6"/>
  <c r="F85" i="6"/>
  <c r="G70" i="6"/>
  <c r="F87" i="6"/>
  <c r="G72" i="6"/>
  <c r="F89" i="6"/>
  <c r="G74" i="6"/>
  <c r="D142" i="6"/>
  <c r="E128" i="6"/>
  <c r="H14" i="6"/>
  <c r="E122" i="6"/>
  <c r="D136" i="6"/>
  <c r="E32" i="6"/>
  <c r="D32" i="6"/>
  <c r="C32" i="6"/>
  <c r="B14" i="6"/>
  <c r="F33" i="6"/>
  <c r="G18" i="6"/>
  <c r="F19" i="6"/>
  <c r="E34" i="6"/>
  <c r="D35" i="6"/>
  <c r="E20" i="6"/>
  <c r="H76" i="6"/>
  <c r="G91" i="6"/>
  <c r="D31" i="6"/>
  <c r="D83" i="6"/>
  <c r="C83" i="6"/>
  <c r="C92" i="6" s="1"/>
  <c r="F91" i="6"/>
  <c r="E177" i="6"/>
  <c r="D189" i="6"/>
  <c r="F21" i="6"/>
  <c r="E90" i="6"/>
  <c r="E125" i="6"/>
  <c r="F141" i="6"/>
  <c r="G127" i="6"/>
  <c r="D143" i="6"/>
  <c r="E175" i="6"/>
  <c r="D187" i="6"/>
  <c r="F32" i="6"/>
  <c r="D33" i="6"/>
  <c r="E84" i="6"/>
  <c r="F69" i="6"/>
  <c r="E86" i="6"/>
  <c r="F71" i="6"/>
  <c r="F88" i="6"/>
  <c r="G73" i="6"/>
  <c r="H75" i="6"/>
  <c r="G90" i="6"/>
  <c r="F90" i="6"/>
  <c r="F135" i="6"/>
  <c r="G121" i="6"/>
  <c r="F137" i="6"/>
  <c r="G123" i="6"/>
  <c r="E173" i="6"/>
  <c r="D185" i="6"/>
  <c r="D191" i="6" s="1"/>
  <c r="D138" i="6"/>
  <c r="E124" i="6"/>
  <c r="E83" i="6"/>
  <c r="D91" i="6"/>
  <c r="D140" i="6"/>
  <c r="E126" i="6"/>
  <c r="E186" i="6"/>
  <c r="F174" i="6"/>
  <c r="C191" i="6"/>
  <c r="E176" i="6"/>
  <c r="E178" i="6"/>
  <c r="C21" i="8" l="1"/>
  <c r="C20" i="8"/>
  <c r="G17" i="8"/>
  <c r="E19" i="8"/>
  <c r="F14" i="8"/>
  <c r="E16" i="8"/>
  <c r="F15" i="8"/>
  <c r="D21" i="8"/>
  <c r="D20" i="8"/>
  <c r="F53" i="7"/>
  <c r="G53" i="7"/>
  <c r="E48" i="7"/>
  <c r="F51" i="7"/>
  <c r="G51" i="7"/>
  <c r="G48" i="7"/>
  <c r="E49" i="7"/>
  <c r="F52" i="7"/>
  <c r="E50" i="7"/>
  <c r="E46" i="7"/>
  <c r="G54" i="7"/>
  <c r="E54" i="7" s="1"/>
  <c r="E190" i="6"/>
  <c r="F178" i="6"/>
  <c r="G135" i="6"/>
  <c r="H121" i="6"/>
  <c r="H90" i="6"/>
  <c r="I75" i="6"/>
  <c r="D29" i="6"/>
  <c r="D38" i="6" s="1"/>
  <c r="E29" i="6"/>
  <c r="E142" i="6"/>
  <c r="F128" i="6"/>
  <c r="G87" i="6"/>
  <c r="H72" i="6"/>
  <c r="H68" i="6"/>
  <c r="G83" i="6"/>
  <c r="F176" i="6"/>
  <c r="E188" i="6"/>
  <c r="E140" i="6"/>
  <c r="F126" i="6"/>
  <c r="E92" i="6"/>
  <c r="E185" i="6"/>
  <c r="F173" i="6"/>
  <c r="G88" i="6"/>
  <c r="H73" i="6"/>
  <c r="F84" i="6"/>
  <c r="F92" i="6" s="1"/>
  <c r="G69" i="6"/>
  <c r="F29" i="6"/>
  <c r="H127" i="6"/>
  <c r="G141" i="6"/>
  <c r="F36" i="6"/>
  <c r="G21" i="6"/>
  <c r="I76" i="6"/>
  <c r="H91" i="6"/>
  <c r="F34" i="6"/>
  <c r="G19" i="6"/>
  <c r="E136" i="6"/>
  <c r="F122" i="6"/>
  <c r="F30" i="6"/>
  <c r="G15" i="6"/>
  <c r="E37" i="6"/>
  <c r="F22" i="6"/>
  <c r="E138" i="6"/>
  <c r="F124" i="6"/>
  <c r="G137" i="6"/>
  <c r="H123" i="6"/>
  <c r="D92" i="6"/>
  <c r="E35" i="6"/>
  <c r="F20" i="6"/>
  <c r="G33" i="6"/>
  <c r="H18" i="6"/>
  <c r="I14" i="6"/>
  <c r="H29" i="6"/>
  <c r="G89" i="6"/>
  <c r="H74" i="6"/>
  <c r="G85" i="6"/>
  <c r="H70" i="6"/>
  <c r="I32" i="6"/>
  <c r="J17" i="6"/>
  <c r="G174" i="6"/>
  <c r="F186" i="6"/>
  <c r="F86" i="6"/>
  <c r="G71" i="6"/>
  <c r="E187" i="6"/>
  <c r="F175" i="6"/>
  <c r="E139" i="6"/>
  <c r="F125" i="6"/>
  <c r="E189" i="6"/>
  <c r="F177" i="6"/>
  <c r="G29" i="6"/>
  <c r="F31" i="6"/>
  <c r="G16" i="6"/>
  <c r="F19" i="8" l="1"/>
  <c r="G14" i="8"/>
  <c r="E20" i="8"/>
  <c r="E21" i="8"/>
  <c r="G15" i="8"/>
  <c r="F16" i="8"/>
  <c r="H17" i="8"/>
  <c r="G52" i="7"/>
  <c r="E52" i="7" s="1"/>
  <c r="E53" i="7"/>
  <c r="E51" i="7"/>
  <c r="G177" i="6"/>
  <c r="F189" i="6"/>
  <c r="I70" i="6"/>
  <c r="H85" i="6"/>
  <c r="F35" i="6"/>
  <c r="G20" i="6"/>
  <c r="F136" i="6"/>
  <c r="G122" i="6"/>
  <c r="G173" i="6"/>
  <c r="F185" i="6"/>
  <c r="I68" i="6"/>
  <c r="H83" i="6"/>
  <c r="G31" i="6"/>
  <c r="H16" i="6"/>
  <c r="H174" i="6"/>
  <c r="G186" i="6"/>
  <c r="I29" i="6"/>
  <c r="J14" i="6"/>
  <c r="F138" i="6"/>
  <c r="G124" i="6"/>
  <c r="G30" i="6"/>
  <c r="H15" i="6"/>
  <c r="E143" i="6"/>
  <c r="I91" i="6"/>
  <c r="J76" i="6"/>
  <c r="H141" i="6"/>
  <c r="I127" i="6"/>
  <c r="H88" i="6"/>
  <c r="I73" i="6"/>
  <c r="E191" i="6"/>
  <c r="I72" i="6"/>
  <c r="H87" i="6"/>
  <c r="E38" i="6"/>
  <c r="H135" i="6"/>
  <c r="I121" i="6"/>
  <c r="F139" i="6"/>
  <c r="G125" i="6"/>
  <c r="G86" i="6"/>
  <c r="H71" i="6"/>
  <c r="J32" i="6"/>
  <c r="K17" i="6"/>
  <c r="H89" i="6"/>
  <c r="I74" i="6"/>
  <c r="I18" i="6"/>
  <c r="H33" i="6"/>
  <c r="H19" i="6"/>
  <c r="G34" i="6"/>
  <c r="H21" i="6"/>
  <c r="G36" i="6"/>
  <c r="F38" i="6"/>
  <c r="F188" i="6"/>
  <c r="G176" i="6"/>
  <c r="H137" i="6"/>
  <c r="I123" i="6"/>
  <c r="F37" i="6"/>
  <c r="G22" i="6"/>
  <c r="G84" i="6"/>
  <c r="H69" i="6"/>
  <c r="F140" i="6"/>
  <c r="G126" i="6"/>
  <c r="G92" i="6"/>
  <c r="G128" i="6"/>
  <c r="F142" i="6"/>
  <c r="I90" i="6"/>
  <c r="J75" i="6"/>
  <c r="G178" i="6"/>
  <c r="F190" i="6"/>
  <c r="G175" i="6"/>
  <c r="F187" i="6"/>
  <c r="G19" i="8" l="1"/>
  <c r="H14" i="8"/>
  <c r="G16" i="8"/>
  <c r="H15" i="8"/>
  <c r="F20" i="8"/>
  <c r="F21" i="8"/>
  <c r="I17" i="8"/>
  <c r="H186" i="6"/>
  <c r="I174" i="6"/>
  <c r="I83" i="6"/>
  <c r="J68" i="6"/>
  <c r="F143" i="6"/>
  <c r="G187" i="6"/>
  <c r="H175" i="6"/>
  <c r="G140" i="6"/>
  <c r="H126" i="6"/>
  <c r="G37" i="6"/>
  <c r="H22" i="6"/>
  <c r="H34" i="6"/>
  <c r="I19" i="6"/>
  <c r="H30" i="6"/>
  <c r="I15" i="6"/>
  <c r="J29" i="6"/>
  <c r="K14" i="6"/>
  <c r="I16" i="6"/>
  <c r="H31" i="6"/>
  <c r="F191" i="6"/>
  <c r="G35" i="6"/>
  <c r="G38" i="6" s="1"/>
  <c r="H20" i="6"/>
  <c r="I85" i="6"/>
  <c r="J70" i="6"/>
  <c r="L17" i="6"/>
  <c r="K32" i="6"/>
  <c r="G139" i="6"/>
  <c r="H125" i="6"/>
  <c r="J73" i="6"/>
  <c r="I88" i="6"/>
  <c r="J91" i="6"/>
  <c r="K76" i="6"/>
  <c r="G185" i="6"/>
  <c r="G191" i="6" s="1"/>
  <c r="H173" i="6"/>
  <c r="K75" i="6"/>
  <c r="J90" i="6"/>
  <c r="J74" i="6"/>
  <c r="I89" i="6"/>
  <c r="H86" i="6"/>
  <c r="I71" i="6"/>
  <c r="I135" i="6"/>
  <c r="J121" i="6"/>
  <c r="I87" i="6"/>
  <c r="J72" i="6"/>
  <c r="I141" i="6"/>
  <c r="J127" i="6"/>
  <c r="H178" i="6"/>
  <c r="G190" i="6"/>
  <c r="G142" i="6"/>
  <c r="H128" i="6"/>
  <c r="H84" i="6"/>
  <c r="I69" i="6"/>
  <c r="I137" i="6"/>
  <c r="J123" i="6"/>
  <c r="G188" i="6"/>
  <c r="H176" i="6"/>
  <c r="H36" i="6"/>
  <c r="I21" i="6"/>
  <c r="I33" i="6"/>
  <c r="J18" i="6"/>
  <c r="G138" i="6"/>
  <c r="H124" i="6"/>
  <c r="H92" i="6"/>
  <c r="G136" i="6"/>
  <c r="H122" i="6"/>
  <c r="G189" i="6"/>
  <c r="H177" i="6"/>
  <c r="H19" i="8" l="1"/>
  <c r="I14" i="8"/>
  <c r="G20" i="8"/>
  <c r="G21" i="8"/>
  <c r="J17" i="8"/>
  <c r="I15" i="8"/>
  <c r="H16" i="8"/>
  <c r="H136" i="6"/>
  <c r="H143" i="6" s="1"/>
  <c r="I122" i="6"/>
  <c r="K74" i="6"/>
  <c r="J89" i="6"/>
  <c r="H35" i="6"/>
  <c r="I20" i="6"/>
  <c r="J16" i="6"/>
  <c r="I31" i="6"/>
  <c r="I22" i="6"/>
  <c r="H37" i="6"/>
  <c r="H38" i="6" s="1"/>
  <c r="I175" i="6"/>
  <c r="H187" i="6"/>
  <c r="G143" i="6"/>
  <c r="J33" i="6"/>
  <c r="K18" i="6"/>
  <c r="H188" i="6"/>
  <c r="I176" i="6"/>
  <c r="I84" i="6"/>
  <c r="I92" i="6" s="1"/>
  <c r="J69" i="6"/>
  <c r="K72" i="6"/>
  <c r="J87" i="6"/>
  <c r="J71" i="6"/>
  <c r="I86" i="6"/>
  <c r="J88" i="6"/>
  <c r="K73" i="6"/>
  <c r="L32" i="6"/>
  <c r="M17" i="6"/>
  <c r="L14" i="6"/>
  <c r="K29" i="6"/>
  <c r="I186" i="6"/>
  <c r="J174" i="6"/>
  <c r="I177" i="6"/>
  <c r="H189" i="6"/>
  <c r="H190" i="6"/>
  <c r="I178" i="6"/>
  <c r="L75" i="6"/>
  <c r="K90" i="6"/>
  <c r="K91" i="6"/>
  <c r="L76" i="6"/>
  <c r="H139" i="6"/>
  <c r="I125" i="6"/>
  <c r="J85" i="6"/>
  <c r="K70" i="6"/>
  <c r="J19" i="6"/>
  <c r="I34" i="6"/>
  <c r="I126" i="6"/>
  <c r="H140" i="6"/>
  <c r="H138" i="6"/>
  <c r="I124" i="6"/>
  <c r="I36" i="6"/>
  <c r="J21" i="6"/>
  <c r="J137" i="6"/>
  <c r="K123" i="6"/>
  <c r="H142" i="6"/>
  <c r="I128" i="6"/>
  <c r="J141" i="6"/>
  <c r="K127" i="6"/>
  <c r="J135" i="6"/>
  <c r="K121" i="6"/>
  <c r="I173" i="6"/>
  <c r="H185" i="6"/>
  <c r="H191" i="6" s="1"/>
  <c r="J15" i="6"/>
  <c r="I30" i="6"/>
  <c r="J83" i="6"/>
  <c r="K68" i="6"/>
  <c r="K17" i="8" l="1"/>
  <c r="I19" i="8"/>
  <c r="J14" i="8"/>
  <c r="H20" i="8"/>
  <c r="H21" i="8"/>
  <c r="J15" i="8"/>
  <c r="I16" i="8"/>
  <c r="L68" i="6"/>
  <c r="K83" i="6"/>
  <c r="L127" i="6"/>
  <c r="K141" i="6"/>
  <c r="K137" i="6"/>
  <c r="L123" i="6"/>
  <c r="I138" i="6"/>
  <c r="J124" i="6"/>
  <c r="K71" i="6"/>
  <c r="J86" i="6"/>
  <c r="I187" i="6"/>
  <c r="J175" i="6"/>
  <c r="J92" i="6"/>
  <c r="I185" i="6"/>
  <c r="J173" i="6"/>
  <c r="J34" i="6"/>
  <c r="K19" i="6"/>
  <c r="I139" i="6"/>
  <c r="J125" i="6"/>
  <c r="K88" i="6"/>
  <c r="L73" i="6"/>
  <c r="J176" i="6"/>
  <c r="I188" i="6"/>
  <c r="J31" i="6"/>
  <c r="K16" i="6"/>
  <c r="K89" i="6"/>
  <c r="L74" i="6"/>
  <c r="I38" i="6"/>
  <c r="K135" i="6"/>
  <c r="L121" i="6"/>
  <c r="I142" i="6"/>
  <c r="J128" i="6"/>
  <c r="J36" i="6"/>
  <c r="K21" i="6"/>
  <c r="L90" i="6"/>
  <c r="M75" i="6"/>
  <c r="I189" i="6"/>
  <c r="J177" i="6"/>
  <c r="M14" i="6"/>
  <c r="L29" i="6"/>
  <c r="K87" i="6"/>
  <c r="L72" i="6"/>
  <c r="I37" i="6"/>
  <c r="J22" i="6"/>
  <c r="I35" i="6"/>
  <c r="J20" i="6"/>
  <c r="J30" i="6"/>
  <c r="K15" i="6"/>
  <c r="I140" i="6"/>
  <c r="J126" i="6"/>
  <c r="K85" i="6"/>
  <c r="L70" i="6"/>
  <c r="M76" i="6"/>
  <c r="L91" i="6"/>
  <c r="I190" i="6"/>
  <c r="J178" i="6"/>
  <c r="K174" i="6"/>
  <c r="J186" i="6"/>
  <c r="M32" i="6"/>
  <c r="N17" i="6"/>
  <c r="J84" i="6"/>
  <c r="K69" i="6"/>
  <c r="L18" i="6"/>
  <c r="K33" i="6"/>
  <c r="I136" i="6"/>
  <c r="J122" i="6"/>
  <c r="K15" i="8" l="1"/>
  <c r="J16" i="8"/>
  <c r="I20" i="8"/>
  <c r="I21" i="8"/>
  <c r="L17" i="8"/>
  <c r="J19" i="8"/>
  <c r="K14" i="8"/>
  <c r="M18" i="6"/>
  <c r="L33" i="6"/>
  <c r="L15" i="6"/>
  <c r="K30" i="6"/>
  <c r="J37" i="6"/>
  <c r="K22" i="6"/>
  <c r="M90" i="6"/>
  <c r="N75" i="6"/>
  <c r="J142" i="6"/>
  <c r="K128" i="6"/>
  <c r="L19" i="6"/>
  <c r="K34" i="6"/>
  <c r="K86" i="6"/>
  <c r="L71" i="6"/>
  <c r="M68" i="6"/>
  <c r="L83" i="6"/>
  <c r="J136" i="6"/>
  <c r="K122" i="6"/>
  <c r="K84" i="6"/>
  <c r="K92" i="6" s="1"/>
  <c r="L69" i="6"/>
  <c r="J140" i="6"/>
  <c r="K126" i="6"/>
  <c r="J38" i="6"/>
  <c r="M29" i="6"/>
  <c r="N14" i="6"/>
  <c r="M74" i="6"/>
  <c r="L89" i="6"/>
  <c r="K175" i="6"/>
  <c r="J187" i="6"/>
  <c r="K124" i="6"/>
  <c r="J138" i="6"/>
  <c r="I143" i="6"/>
  <c r="L174" i="6"/>
  <c r="K186" i="6"/>
  <c r="M91" i="6"/>
  <c r="N76" i="6"/>
  <c r="J35" i="6"/>
  <c r="K20" i="6"/>
  <c r="L87" i="6"/>
  <c r="M72" i="6"/>
  <c r="K177" i="6"/>
  <c r="J189" i="6"/>
  <c r="L21" i="6"/>
  <c r="K36" i="6"/>
  <c r="L135" i="6"/>
  <c r="M121" i="6"/>
  <c r="J188" i="6"/>
  <c r="K176" i="6"/>
  <c r="J139" i="6"/>
  <c r="K125" i="6"/>
  <c r="K173" i="6"/>
  <c r="J185" i="6"/>
  <c r="L141" i="6"/>
  <c r="M127" i="6"/>
  <c r="N32" i="6"/>
  <c r="O17" i="6"/>
  <c r="K178" i="6"/>
  <c r="J190" i="6"/>
  <c r="M70" i="6"/>
  <c r="L85" i="6"/>
  <c r="L16" i="6"/>
  <c r="K31" i="6"/>
  <c r="L88" i="6"/>
  <c r="M73" i="6"/>
  <c r="I191" i="6"/>
  <c r="L137" i="6"/>
  <c r="M123" i="6"/>
  <c r="J20" i="8" l="1"/>
  <c r="J21" i="8"/>
  <c r="M17" i="8"/>
  <c r="K16" i="8"/>
  <c r="L15" i="8"/>
  <c r="L14" i="8"/>
  <c r="K19" i="8"/>
  <c r="M85" i="6"/>
  <c r="N70" i="6"/>
  <c r="K185" i="6"/>
  <c r="L173" i="6"/>
  <c r="M21" i="6"/>
  <c r="L36" i="6"/>
  <c r="M83" i="6"/>
  <c r="N68" i="6"/>
  <c r="M19" i="6"/>
  <c r="L34" i="6"/>
  <c r="L31" i="6"/>
  <c r="M16" i="6"/>
  <c r="M141" i="6"/>
  <c r="N127" i="6"/>
  <c r="L125" i="6"/>
  <c r="K139" i="6"/>
  <c r="M135" i="6"/>
  <c r="N121" i="6"/>
  <c r="K35" i="6"/>
  <c r="K38" i="6" s="1"/>
  <c r="L20" i="6"/>
  <c r="K138" i="6"/>
  <c r="L124" i="6"/>
  <c r="M89" i="6"/>
  <c r="N74" i="6"/>
  <c r="K140" i="6"/>
  <c r="L126" i="6"/>
  <c r="K136" i="6"/>
  <c r="L122" i="6"/>
  <c r="L86" i="6"/>
  <c r="M71" i="6"/>
  <c r="K142" i="6"/>
  <c r="L128" i="6"/>
  <c r="L30" i="6"/>
  <c r="M15" i="6"/>
  <c r="M88" i="6"/>
  <c r="N73" i="6"/>
  <c r="L178" i="6"/>
  <c r="K190" i="6"/>
  <c r="K189" i="6"/>
  <c r="L177" i="6"/>
  <c r="L186" i="6"/>
  <c r="M174" i="6"/>
  <c r="N29" i="6"/>
  <c r="O14" i="6"/>
  <c r="J143" i="6"/>
  <c r="K37" i="6"/>
  <c r="L22" i="6"/>
  <c r="N123" i="6"/>
  <c r="M137" i="6"/>
  <c r="P17" i="6"/>
  <c r="O32" i="6"/>
  <c r="J191" i="6"/>
  <c r="K188" i="6"/>
  <c r="L176" i="6"/>
  <c r="M87" i="6"/>
  <c r="N72" i="6"/>
  <c r="O76" i="6"/>
  <c r="N91" i="6"/>
  <c r="K187" i="6"/>
  <c r="L175" i="6"/>
  <c r="L84" i="6"/>
  <c r="L92" i="6" s="1"/>
  <c r="M69" i="6"/>
  <c r="O75" i="6"/>
  <c r="N90" i="6"/>
  <c r="M33" i="6"/>
  <c r="N18" i="6"/>
  <c r="L19" i="8" l="1"/>
  <c r="M14" i="8"/>
  <c r="M15" i="8"/>
  <c r="M16" i="8" s="1"/>
  <c r="L16" i="8"/>
  <c r="K20" i="8"/>
  <c r="K21" i="8"/>
  <c r="L188" i="6"/>
  <c r="M176" i="6"/>
  <c r="P32" i="6"/>
  <c r="Q17" i="6"/>
  <c r="Q32" i="6" s="1"/>
  <c r="M186" i="6"/>
  <c r="N174" i="6"/>
  <c r="K143" i="6"/>
  <c r="L139" i="6"/>
  <c r="M125" i="6"/>
  <c r="N83" i="6"/>
  <c r="O68" i="6"/>
  <c r="M173" i="6"/>
  <c r="L185" i="6"/>
  <c r="P75" i="6"/>
  <c r="O90" i="6"/>
  <c r="O91" i="6"/>
  <c r="P76" i="6"/>
  <c r="N15" i="6"/>
  <c r="M30" i="6"/>
  <c r="N71" i="6"/>
  <c r="M86" i="6"/>
  <c r="M126" i="6"/>
  <c r="L140" i="6"/>
  <c r="L138" i="6"/>
  <c r="M124" i="6"/>
  <c r="N135" i="6"/>
  <c r="O121" i="6"/>
  <c r="N141" i="6"/>
  <c r="O127" i="6"/>
  <c r="M92" i="6"/>
  <c r="K191" i="6"/>
  <c r="N33" i="6"/>
  <c r="O18" i="6"/>
  <c r="M175" i="6"/>
  <c r="L187" i="6"/>
  <c r="N87" i="6"/>
  <c r="O72" i="6"/>
  <c r="N137" i="6"/>
  <c r="O123" i="6"/>
  <c r="O29" i="6"/>
  <c r="P14" i="6"/>
  <c r="M177" i="6"/>
  <c r="L189" i="6"/>
  <c r="L190" i="6"/>
  <c r="M178" i="6"/>
  <c r="L38" i="6"/>
  <c r="N85" i="6"/>
  <c r="O70" i="6"/>
  <c r="N69" i="6"/>
  <c r="M84" i="6"/>
  <c r="M22" i="6"/>
  <c r="L37" i="6"/>
  <c r="N88" i="6"/>
  <c r="O73" i="6"/>
  <c r="L142" i="6"/>
  <c r="M128" i="6"/>
  <c r="L136" i="6"/>
  <c r="M122" i="6"/>
  <c r="N89" i="6"/>
  <c r="O74" i="6"/>
  <c r="L35" i="6"/>
  <c r="M20" i="6"/>
  <c r="N16" i="6"/>
  <c r="M31" i="6"/>
  <c r="N19" i="6"/>
  <c r="M34" i="6"/>
  <c r="M36" i="6"/>
  <c r="N21" i="6"/>
  <c r="D24" i="4"/>
  <c r="E23" i="4"/>
  <c r="D23" i="4"/>
  <c r="F22" i="4"/>
  <c r="E22" i="4"/>
  <c r="D22" i="4"/>
  <c r="G21" i="4"/>
  <c r="F21" i="4"/>
  <c r="E21" i="4"/>
  <c r="D21" i="4"/>
  <c r="H20" i="4"/>
  <c r="G20" i="4"/>
  <c r="F20" i="4"/>
  <c r="E20" i="4"/>
  <c r="D20" i="4"/>
  <c r="I19" i="4"/>
  <c r="H19" i="4"/>
  <c r="G19" i="4"/>
  <c r="F19" i="4"/>
  <c r="E19" i="4"/>
  <c r="D19" i="4"/>
  <c r="J18" i="4"/>
  <c r="I18" i="4"/>
  <c r="H18" i="4"/>
  <c r="G18" i="4"/>
  <c r="F18" i="4"/>
  <c r="E18" i="4"/>
  <c r="D18" i="4"/>
  <c r="K17" i="4"/>
  <c r="J17" i="4"/>
  <c r="I17" i="4"/>
  <c r="H17" i="4"/>
  <c r="G17" i="4"/>
  <c r="F17" i="4"/>
  <c r="E17" i="4"/>
  <c r="D17" i="4"/>
  <c r="K16" i="4"/>
  <c r="J16" i="4"/>
  <c r="I16" i="4"/>
  <c r="H16" i="4"/>
  <c r="G16" i="4"/>
  <c r="F16" i="4"/>
  <c r="E16" i="4"/>
  <c r="D16" i="4"/>
  <c r="M15" i="4"/>
  <c r="L15" i="4"/>
  <c r="K15" i="4"/>
  <c r="J15" i="4"/>
  <c r="I15" i="4"/>
  <c r="H15" i="4"/>
  <c r="G15" i="4"/>
  <c r="F15" i="4"/>
  <c r="E15" i="4"/>
  <c r="D15" i="4"/>
  <c r="M19" i="8" l="1"/>
  <c r="L20" i="8"/>
  <c r="L21" i="8"/>
  <c r="M35" i="6"/>
  <c r="N20" i="6"/>
  <c r="M136" i="6"/>
  <c r="N122" i="6"/>
  <c r="O88" i="6"/>
  <c r="P73" i="6"/>
  <c r="M37" i="6"/>
  <c r="N22" i="6"/>
  <c r="O71" i="6"/>
  <c r="N86" i="6"/>
  <c r="M185" i="6"/>
  <c r="N173" i="6"/>
  <c r="N34" i="6"/>
  <c r="O19" i="6"/>
  <c r="L143" i="6"/>
  <c r="O137" i="6"/>
  <c r="P123" i="6"/>
  <c r="O135" i="6"/>
  <c r="P121" i="6"/>
  <c r="M38" i="6"/>
  <c r="O83" i="6"/>
  <c r="P68" i="6"/>
  <c r="N36" i="6"/>
  <c r="O21" i="6"/>
  <c r="O89" i="6"/>
  <c r="P74" i="6"/>
  <c r="M142" i="6"/>
  <c r="N128" i="6"/>
  <c r="N84" i="6"/>
  <c r="N92" i="6" s="1"/>
  <c r="O69" i="6"/>
  <c r="M189" i="6"/>
  <c r="N177" i="6"/>
  <c r="M187" i="6"/>
  <c r="N175" i="6"/>
  <c r="M140" i="6"/>
  <c r="N126" i="6"/>
  <c r="N30" i="6"/>
  <c r="O15" i="6"/>
  <c r="P90" i="6"/>
  <c r="Q75" i="6"/>
  <c r="Q90" i="6" s="1"/>
  <c r="O174" i="6"/>
  <c r="N186" i="6"/>
  <c r="M188" i="6"/>
  <c r="N176" i="6"/>
  <c r="N31" i="6"/>
  <c r="O16" i="6"/>
  <c r="O85" i="6"/>
  <c r="P70" i="6"/>
  <c r="M190" i="6"/>
  <c r="N178" i="6"/>
  <c r="Q14" i="6"/>
  <c r="Q29" i="6" s="1"/>
  <c r="P29" i="6"/>
  <c r="P72" i="6"/>
  <c r="O87" i="6"/>
  <c r="O33" i="6"/>
  <c r="P18" i="6"/>
  <c r="P127" i="6"/>
  <c r="O141" i="6"/>
  <c r="M138" i="6"/>
  <c r="N124" i="6"/>
  <c r="Q76" i="6"/>
  <c r="Q91" i="6" s="1"/>
  <c r="P91" i="6"/>
  <c r="L191" i="6"/>
  <c r="M139" i="6"/>
  <c r="N125" i="6"/>
  <c r="M20" i="8" l="1"/>
  <c r="M21" i="8"/>
  <c r="N35" i="6"/>
  <c r="O20" i="6"/>
  <c r="O178" i="6"/>
  <c r="N190" i="6"/>
  <c r="P16" i="6"/>
  <c r="O31" i="6"/>
  <c r="O177" i="6"/>
  <c r="N189" i="6"/>
  <c r="N142" i="6"/>
  <c r="O128" i="6"/>
  <c r="P21" i="6"/>
  <c r="O36" i="6"/>
  <c r="O173" i="6"/>
  <c r="N185" i="6"/>
  <c r="N191" i="6" s="1"/>
  <c r="N139" i="6"/>
  <c r="O125" i="6"/>
  <c r="P141" i="6"/>
  <c r="Q127" i="6"/>
  <c r="Q141" i="6" s="1"/>
  <c r="Q72" i="6"/>
  <c r="Q87" i="6" s="1"/>
  <c r="P87" i="6"/>
  <c r="P174" i="6"/>
  <c r="O186" i="6"/>
  <c r="P15" i="6"/>
  <c r="O30" i="6"/>
  <c r="P135" i="6"/>
  <c r="Q121" i="6"/>
  <c r="Q135" i="6" s="1"/>
  <c r="M191" i="6"/>
  <c r="N37" i="6"/>
  <c r="O22" i="6"/>
  <c r="N136" i="6"/>
  <c r="N143" i="6" s="1"/>
  <c r="O122" i="6"/>
  <c r="N138" i="6"/>
  <c r="O124" i="6"/>
  <c r="Q18" i="6"/>
  <c r="Q33" i="6" s="1"/>
  <c r="P33" i="6"/>
  <c r="P85" i="6"/>
  <c r="Q70" i="6"/>
  <c r="Q85" i="6" s="1"/>
  <c r="N188" i="6"/>
  <c r="O176" i="6"/>
  <c r="N38" i="6"/>
  <c r="O175" i="6"/>
  <c r="N187" i="6"/>
  <c r="O84" i="6"/>
  <c r="P69" i="6"/>
  <c r="Q74" i="6"/>
  <c r="Q89" i="6" s="1"/>
  <c r="P89" i="6"/>
  <c r="Q68" i="6"/>
  <c r="Q83" i="6" s="1"/>
  <c r="P83" i="6"/>
  <c r="P19" i="6"/>
  <c r="O34" i="6"/>
  <c r="M143" i="6"/>
  <c r="N140" i="6"/>
  <c r="O126" i="6"/>
  <c r="O92" i="6"/>
  <c r="P137" i="6"/>
  <c r="Q123" i="6"/>
  <c r="Q137" i="6" s="1"/>
  <c r="O86" i="6"/>
  <c r="P71" i="6"/>
  <c r="P88" i="6"/>
  <c r="Q73" i="6"/>
  <c r="Q88" i="6" s="1"/>
  <c r="O187" i="6" l="1"/>
  <c r="P175" i="6"/>
  <c r="O142" i="6"/>
  <c r="P128" i="6"/>
  <c r="O35" i="6"/>
  <c r="P20" i="6"/>
  <c r="P86" i="6"/>
  <c r="Q71" i="6"/>
  <c r="Q86" i="6" s="1"/>
  <c r="P84" i="6"/>
  <c r="P92" i="6" s="1"/>
  <c r="Q69" i="6"/>
  <c r="Q84" i="6" s="1"/>
  <c r="Q92" i="6" s="1"/>
  <c r="O138" i="6"/>
  <c r="P124" i="6"/>
  <c r="O37" i="6"/>
  <c r="P22" i="6"/>
  <c r="P186" i="6"/>
  <c r="Q174" i="6"/>
  <c r="Q186" i="6" s="1"/>
  <c r="O185" i="6"/>
  <c r="P173" i="6"/>
  <c r="Q16" i="6"/>
  <c r="Q31" i="6" s="1"/>
  <c r="P31" i="6"/>
  <c r="O140" i="6"/>
  <c r="P126" i="6"/>
  <c r="O188" i="6"/>
  <c r="P176" i="6"/>
  <c r="O38" i="6"/>
  <c r="O139" i="6"/>
  <c r="P125" i="6"/>
  <c r="Q19" i="6"/>
  <c r="Q34" i="6" s="1"/>
  <c r="P34" i="6"/>
  <c r="O136" i="6"/>
  <c r="P122" i="6"/>
  <c r="Q15" i="6"/>
  <c r="Q30" i="6" s="1"/>
  <c r="P30" i="6"/>
  <c r="P36" i="6"/>
  <c r="Q21" i="6"/>
  <c r="Q36" i="6" s="1"/>
  <c r="O189" i="6"/>
  <c r="P177" i="6"/>
  <c r="P178" i="6"/>
  <c r="O190" i="6"/>
  <c r="Q177" i="6" l="1"/>
  <c r="Q189" i="6" s="1"/>
  <c r="P189" i="6"/>
  <c r="Q126" i="6"/>
  <c r="Q140" i="6" s="1"/>
  <c r="P140" i="6"/>
  <c r="Q173" i="6"/>
  <c r="Q185" i="6" s="1"/>
  <c r="Q191" i="6" s="1"/>
  <c r="P185" i="6"/>
  <c r="P142" i="6"/>
  <c r="Q128" i="6"/>
  <c r="Q142" i="6" s="1"/>
  <c r="P188" i="6"/>
  <c r="Q176" i="6"/>
  <c r="Q188" i="6" s="1"/>
  <c r="O191" i="6"/>
  <c r="Q22" i="6"/>
  <c r="Q37" i="6" s="1"/>
  <c r="Q38" i="6" s="1"/>
  <c r="P37" i="6"/>
  <c r="Q122" i="6"/>
  <c r="Q136" i="6" s="1"/>
  <c r="P136" i="6"/>
  <c r="P139" i="6"/>
  <c r="Q125" i="6"/>
  <c r="Q139" i="6" s="1"/>
  <c r="P35" i="6"/>
  <c r="P38" i="6" s="1"/>
  <c r="Q20" i="6"/>
  <c r="Q35" i="6" s="1"/>
  <c r="P190" i="6"/>
  <c r="Q178" i="6"/>
  <c r="Q190" i="6" s="1"/>
  <c r="O143" i="6"/>
  <c r="P138" i="6"/>
  <c r="Q124" i="6"/>
  <c r="Q138" i="6" s="1"/>
  <c r="Q175" i="6"/>
  <c r="Q187" i="6" s="1"/>
  <c r="P187" i="6"/>
  <c r="P143" i="6" l="1"/>
  <c r="Q143" i="6"/>
  <c r="P191" i="6"/>
</calcChain>
</file>

<file path=xl/sharedStrings.xml><?xml version="1.0" encoding="utf-8"?>
<sst xmlns="http://schemas.openxmlformats.org/spreadsheetml/2006/main" count="372" uniqueCount="284">
  <si>
    <t>Retention Analysis</t>
  </si>
  <si>
    <r>
      <rPr>
        <b/>
        <sz val="10"/>
        <color theme="1"/>
        <rFont val="Arial"/>
        <family val="2"/>
      </rPr>
      <t>Instructions:</t>
    </r>
    <r>
      <rPr>
        <sz val="10"/>
        <color theme="1"/>
        <rFont val="Arial"/>
        <family val="2"/>
      </rPr>
      <t xml:space="preserve"> After you've activated users, it's important to retain them so they can continue not only using product, but experience value proposition as frequently as possible. The tasks in this sheet will accomplish this by helping you understand different engagement techniques, measuring retention through cohort analysis, and calculating churn rate. 
You will suggest experiments to improve retention metrics to ensure activated customers stay activated by increasing engagement types and for churn experiments. 
Complete Tabs 1 - 8 in-order by using www.slack.com. The tasks will help you understand how to apply retention theories to build continuous retention loops by taking raw data. You will use data from experiments to improve retention metrics. You can then use the user engagement cohort metrics to measure LTV (Life-time Value).</t>
    </r>
  </si>
  <si>
    <t>Mark a task completed on Column B after completing each Tab.</t>
  </si>
  <si>
    <t>Tab</t>
  </si>
  <si>
    <t>Completed?</t>
  </si>
  <si>
    <t>Tasks</t>
  </si>
  <si>
    <t>Engagement</t>
  </si>
  <si>
    <t>Engagement Type Analysis</t>
  </si>
  <si>
    <t>Engagement State Analysis</t>
  </si>
  <si>
    <t>Retention</t>
  </si>
  <si>
    <t>Retention Cohort Analysis</t>
  </si>
  <si>
    <t>Retention Curve</t>
  </si>
  <si>
    <t>Retention Segment</t>
  </si>
  <si>
    <t>Churn</t>
  </si>
  <si>
    <t>Life Cycle Chart</t>
  </si>
  <si>
    <t>Churn &amp; LTV Analysis</t>
  </si>
  <si>
    <t>Experiment</t>
  </si>
  <si>
    <t>Experiment Brief to dormant users</t>
  </si>
  <si>
    <r>
      <rPr>
        <b/>
        <sz val="10"/>
        <color theme="1"/>
        <rFont val="Arial"/>
        <family val="2"/>
      </rPr>
      <t xml:space="preserve">Scenario: </t>
    </r>
    <r>
      <rPr>
        <sz val="10"/>
        <color theme="1"/>
        <rFont val="Arial"/>
        <family val="2"/>
      </rPr>
      <t xml:space="preserve">Slack has noticed that they can acquire customers easily, but are unable to determine how long their users retain, when they churn, and for what reason. You are asked to conduct an analysis to understand 
(1) how to keep the acquired users engaged
(2) how long users stay retained
(3) what the lifetime value of an average user is. </t>
    </r>
  </si>
  <si>
    <r>
      <rPr>
        <b/>
        <sz val="10"/>
        <color theme="1"/>
        <rFont val="Arial"/>
        <family val="2"/>
      </rPr>
      <t xml:space="preserve">Skill: </t>
    </r>
    <r>
      <rPr>
        <sz val="10"/>
        <color theme="1"/>
        <rFont val="Arial"/>
        <family val="2"/>
      </rPr>
      <t xml:space="preserve">This tab will help you apply theories learned about engagement types and apply them to Slack. Based on the initial activation funnel analysis, you will extrapolate and map Slack's engagement types:
</t>
    </r>
    <r>
      <rPr>
        <b/>
        <sz val="10"/>
        <color theme="1"/>
        <rFont val="Arial"/>
        <family val="2"/>
      </rPr>
      <t>Use-case
Frequency
Feature usage
Intensity</t>
    </r>
    <r>
      <rPr>
        <sz val="10"/>
        <color theme="1"/>
        <rFont val="Arial"/>
        <family val="2"/>
      </rPr>
      <t xml:space="preserve">
Use the activation funnel to determine what use-case a user has that gets them to your moments. 
After a user has reached activation, you then have to ensure the user stayed engaged. Conducting this analysis, you can then know how to keep your users engaged and engaged, and avoid churn as much as possible early on. After conducting this analysis, you will know different types of triggers that increase engagement.</t>
    </r>
  </si>
  <si>
    <t>Instructions:</t>
  </si>
  <si>
    <r>
      <rPr>
        <sz val="10"/>
        <color rgb="FF000000"/>
        <rFont val="Arial"/>
        <family val="2"/>
      </rPr>
      <t xml:space="preserve">1. In Rows 16 - 21 should match what you found from your previous Habit, Aha, and Setup analysis in Activation - Tab 7. If it </t>
    </r>
    <r>
      <rPr>
        <b/>
        <sz val="10"/>
        <color rgb="FF000000"/>
        <rFont val="Arial"/>
        <family val="2"/>
      </rPr>
      <t>does not match</t>
    </r>
    <r>
      <rPr>
        <sz val="10"/>
        <color rgb="FF000000"/>
        <rFont val="Arial"/>
        <family val="2"/>
      </rPr>
      <t>, you should look over your work in that section to ensure you completed it correctly.</t>
    </r>
  </si>
  <si>
    <t>2. From the Activation Funnel in the previous step, determine what a primary use-case of Slack in Row 23 - 26. Then determine what other use-cases there can be of Slack in Row 28 - 32.</t>
  </si>
  <si>
    <t>3. Select a frequency for the primary use-case selected in Row 39 - 42 and explain why you decided on this frequency. Then determine the frequency of the other use-cases in Row 44 - 48.</t>
  </si>
  <si>
    <t>4. Select a product feature that would help guide your user to their use-case in Row 57 - 60.</t>
  </si>
  <si>
    <t>5. Select the intensity metric that can be measured that leads your user to their use-case in Row 67 - 70.</t>
  </si>
  <si>
    <t>6. Summarize the Engagement Types in Row 73 - 76.</t>
  </si>
  <si>
    <t>Rows colored in orange have been completed as examples for you. All formulas have been removed</t>
  </si>
  <si>
    <t>Use-Case</t>
  </si>
  <si>
    <t>Upload below items from the Activation Project:</t>
  </si>
  <si>
    <t>Habit Moment</t>
  </si>
  <si>
    <r>
      <rPr>
        <sz val="10"/>
        <color theme="1"/>
        <rFont val="Arial"/>
        <family val="2"/>
      </rPr>
      <t xml:space="preserve"> Habit Moment 1</t>
    </r>
    <r>
      <rPr>
        <sz val="10"/>
        <color theme="1"/>
        <rFont val="Arial"/>
        <family val="2"/>
      </rPr>
      <t xml:space="preserve">: look for a communication tool outside of emal to engage with teammates                                        </t>
    </r>
  </si>
  <si>
    <t>Habit Metric</t>
  </si>
  <si>
    <t>Habit Metric 1: # of Team Slack Messages Sent in 7-days</t>
  </si>
  <si>
    <t>Aha Moment</t>
  </si>
  <si>
    <t>Aha Moment 1: Engaging with a message in a group channel</t>
  </si>
  <si>
    <t>Aha Metric</t>
  </si>
  <si>
    <r>
      <rPr>
        <sz val="10"/>
        <color theme="1"/>
        <rFont val="Arial"/>
        <family val="2"/>
      </rPr>
      <t xml:space="preserve">Aha Metric 1: </t>
    </r>
    <r>
      <rPr>
        <sz val="10"/>
        <color theme="1"/>
        <rFont val="Arial"/>
        <family val="2"/>
      </rPr>
      <t>Sending 1st message in a group channel within X days</t>
    </r>
  </si>
  <si>
    <t>Setup Moment</t>
  </si>
  <si>
    <r>
      <rPr>
        <sz val="10"/>
        <color theme="1"/>
        <rFont val="Arial"/>
        <family val="2"/>
      </rPr>
      <t xml:space="preserve">Setup Action 3: </t>
    </r>
    <r>
      <rPr>
        <sz val="10"/>
        <color theme="1"/>
        <rFont val="Arial"/>
        <family val="2"/>
      </rPr>
      <t>Invite a team mate and had a back-and-forth direct convo</t>
    </r>
  </si>
  <si>
    <t>Setup Metric</t>
  </si>
  <si>
    <r>
      <rPr>
        <sz val="10"/>
        <color theme="1"/>
        <rFont val="Arial"/>
        <family val="2"/>
      </rPr>
      <t xml:space="preserve">Setup Metric 3: </t>
    </r>
    <r>
      <rPr>
        <sz val="10"/>
        <color theme="1"/>
        <rFont val="Arial"/>
        <family val="2"/>
      </rPr>
      <t># of users invited within 7-days</t>
    </r>
  </si>
  <si>
    <t xml:space="preserve">Working backwards and using the Moments and Metrics calculated, what do you think is the primary use-case for the customer? To help you, think backwards. If you were a user of Slack, what use-case would help you accomplish the metrics above. </t>
  </si>
  <si>
    <r>
      <rPr>
        <sz val="10"/>
        <color theme="1"/>
        <rFont val="Arial"/>
        <family val="2"/>
      </rPr>
      <t xml:space="preserve">What </t>
    </r>
    <r>
      <rPr>
        <b/>
        <sz val="10"/>
        <color theme="1"/>
        <rFont val="Arial"/>
        <family val="2"/>
      </rPr>
      <t>other use-cases</t>
    </r>
    <r>
      <rPr>
        <sz val="10"/>
        <color theme="1"/>
        <rFont val="Arial"/>
        <family val="2"/>
      </rPr>
      <t xml:space="preserve"> are there for Slack?</t>
    </r>
  </si>
  <si>
    <t>To create like-minded user communities</t>
  </si>
  <si>
    <t>Frequency:</t>
  </si>
  <si>
    <t>For the use-case of sending messages to internal teammates, how often is this frequency needed? (daily, weekly, monthly, quarterly, or yearly) Explain your reasoning of this selection.</t>
  </si>
  <si>
    <t>What are the frequencies of the different use-cases you selected above (ROW 29-32)?</t>
  </si>
  <si>
    <t>Weekly</t>
  </si>
  <si>
    <t>Feature:</t>
  </si>
  <si>
    <t>Slack has many features such as: group message, direct message, call, engage slackbots.</t>
  </si>
  <si>
    <t>Which feature would be the focus to drive the customer to engage with to help them meet their use-case?</t>
  </si>
  <si>
    <t>Intensity:</t>
  </si>
  <si>
    <t>If our goal is to get our customers to communicate with each other as much as possible, what should be the intensity metric we drive users to do often?</t>
  </si>
  <si>
    <t>Engagement Types:</t>
  </si>
  <si>
    <t>Frequency</t>
  </si>
  <si>
    <t>Feature</t>
  </si>
  <si>
    <t>Intensity</t>
  </si>
  <si>
    <r>
      <rPr>
        <b/>
        <sz val="10"/>
        <color theme="1"/>
        <rFont val="Arial"/>
        <family val="2"/>
      </rPr>
      <t xml:space="preserve">Scenario: </t>
    </r>
    <r>
      <rPr>
        <sz val="10"/>
        <color theme="1"/>
        <rFont val="Arial"/>
        <family val="2"/>
      </rPr>
      <t>Slack has noticed that they can acquire customers easily, but are unable to determine how long their users retain, when they churn, and for what reason. You are asked to conduct an analysis to understand how engaged users are.</t>
    </r>
  </si>
  <si>
    <r>
      <rPr>
        <b/>
        <sz val="10"/>
        <color theme="1"/>
        <rFont val="Arial"/>
        <family val="2"/>
      </rPr>
      <t xml:space="preserve">Skill: </t>
    </r>
    <r>
      <rPr>
        <sz val="10"/>
        <color theme="1"/>
        <rFont val="Arial"/>
        <family val="2"/>
      </rPr>
      <t xml:space="preserve">Based on the engagement types Power, Core, and Casual, place your existing users into separate buckets that represent their range of engagement. </t>
    </r>
  </si>
  <si>
    <t>For example, a core user on Uber Eats might order 1 meal with 2 items est. $13 every week. A casual user might do 1 meal with 1 item est. $8 every month. A power user might do 1 meal with 2+ items est. $15 3-times a week. 
Understanding what state your users are in is beneficial so you know how to engage them. For example, you likely would not ask your casual for referrals, but certainly would ask power users to refer others onto Ubereats.</t>
  </si>
  <si>
    <r>
      <rPr>
        <b/>
        <sz val="10"/>
        <color theme="1"/>
        <rFont val="Arial"/>
        <family val="2"/>
      </rPr>
      <t xml:space="preserve">1. </t>
    </r>
    <r>
      <rPr>
        <sz val="10"/>
        <color theme="1"/>
        <rFont val="Arial"/>
        <family val="2"/>
      </rPr>
      <t xml:space="preserve">Determine the Core state in column B from the engagement type analysis in Tab 1, row 73 - 76. </t>
    </r>
  </si>
  <si>
    <r>
      <rPr>
        <b/>
        <sz val="10"/>
        <color theme="1"/>
        <rFont val="Arial"/>
        <family val="2"/>
      </rPr>
      <t xml:space="preserve">2. </t>
    </r>
    <r>
      <rPr>
        <sz val="10"/>
        <color theme="1"/>
        <rFont val="Arial"/>
        <family val="2"/>
      </rPr>
      <t>Using the given core state, add your definition of a Power User in column A</t>
    </r>
  </si>
  <si>
    <r>
      <rPr>
        <b/>
        <sz val="10"/>
        <color theme="1"/>
        <rFont val="Arial"/>
        <family val="2"/>
      </rPr>
      <t xml:space="preserve">3. </t>
    </r>
    <r>
      <rPr>
        <sz val="10"/>
        <color theme="1"/>
        <rFont val="Arial"/>
        <family val="2"/>
      </rPr>
      <t>Using the given core state and the Power state you created,add your definition of a Casual User in column C</t>
    </r>
  </si>
  <si>
    <t>Power</t>
  </si>
  <si>
    <t>Core</t>
  </si>
  <si>
    <t>Casual</t>
  </si>
  <si>
    <t>(more than core)</t>
  </si>
  <si>
    <t>(from the engagement type summary in Tab 1, row 73 - 76. )</t>
  </si>
  <si>
    <t>(less than core)</t>
  </si>
  <si>
    <t>Send a message a day using the direct message or channels</t>
  </si>
  <si>
    <r>
      <rPr>
        <b/>
        <sz val="10"/>
        <color theme="1"/>
        <rFont val="Arial"/>
        <family val="2"/>
      </rPr>
      <t xml:space="preserve">Scenario: </t>
    </r>
    <r>
      <rPr>
        <sz val="10"/>
        <color theme="1"/>
        <rFont val="Arial"/>
        <family val="2"/>
      </rPr>
      <t>Slack has noticed that they can acquire customers easily, but are unable to determine how long their users retain. You are asked to conduct an analysis to understand how long our users stay active.</t>
    </r>
    <r>
      <rPr>
        <b/>
        <sz val="10"/>
        <color theme="1"/>
        <rFont val="Arial"/>
        <family val="2"/>
      </rPr>
      <t xml:space="preserve"> </t>
    </r>
  </si>
  <si>
    <t xml:space="preserve">The VP of Product has given you the data below, which represents the # of retained users for a period of 10-weeks. This data is only for the user of CORE engagement groups. </t>
  </si>
  <si>
    <t xml:space="preserve">You would normally also run a similar analysis for your casual and power users as well. </t>
  </si>
  <si>
    <r>
      <rPr>
        <sz val="10"/>
        <color rgb="FF000000"/>
        <rFont val="Arial"/>
        <family val="2"/>
      </rPr>
      <t xml:space="preserve">Your job is to convert the # of active users retained over 10-weeks to another table to understand the % of active users retained over 10-weeks. This is for everyone using the core behavior: </t>
    </r>
    <r>
      <rPr>
        <b/>
        <sz val="10"/>
        <color rgb="FF000000"/>
        <rFont val="Arial"/>
        <family val="2"/>
      </rPr>
      <t>Send a message a day using the direct message or channels.</t>
    </r>
  </si>
  <si>
    <r>
      <rPr>
        <b/>
        <sz val="10"/>
        <color theme="1"/>
        <rFont val="Arial"/>
        <family val="2"/>
      </rPr>
      <t xml:space="preserve">Skill: </t>
    </r>
    <r>
      <rPr>
        <sz val="10"/>
        <color theme="1"/>
        <rFont val="Arial"/>
        <family val="2"/>
      </rPr>
      <t>Create a cohort analysis. From this, you will be able to analyze retention over time by looking at how a specific cohort of users (weekly cohors) remain active over time.</t>
    </r>
  </si>
  <si>
    <t>For a healthy business, each cohort and conversions of each cohort should be increasing over time. As your goal is to keep users retained as long as possible, you can see how experiments you ran between June 1- August 17 impacted the # of active users over time.</t>
  </si>
  <si>
    <r>
      <rPr>
        <b/>
        <sz val="10"/>
        <color theme="1"/>
        <rFont val="Arial"/>
        <family val="2"/>
      </rPr>
      <t xml:space="preserve">1. </t>
    </r>
    <r>
      <rPr>
        <sz val="10"/>
        <color theme="1"/>
        <rFont val="Arial"/>
        <family val="2"/>
      </rPr>
      <t>Determine the % of active users table from C33 - M44 using the table of # of active users from C16 - M27. Calculation: % of Active Users = # of Active Users that Week / # of Total Users in that Cohort</t>
    </r>
  </si>
  <si>
    <t xml:space="preserve"> </t>
  </si>
  <si>
    <r>
      <rPr>
        <b/>
        <sz val="10"/>
        <color theme="1"/>
        <rFont val="Arial"/>
        <family val="2"/>
      </rPr>
      <t xml:space="preserve">2. </t>
    </r>
    <r>
      <rPr>
        <sz val="10"/>
        <color theme="1"/>
        <rFont val="Arial"/>
        <family val="2"/>
      </rPr>
      <t>Determine the average of the % of Active Users per week (horizonal) in C25 - M45</t>
    </r>
  </si>
  <si>
    <t>Rows in Orange have been completed for you as an example. All formulas have been removed.</t>
  </si>
  <si>
    <t># of Active Users</t>
  </si>
  <si>
    <t>Subscription Date</t>
  </si>
  <si>
    <t># of Total Users</t>
  </si>
  <si>
    <t># of Weeks after Subscription Date</t>
  </si>
  <si>
    <t>% of Active Users</t>
  </si>
  <si>
    <t>Average</t>
  </si>
  <si>
    <r>
      <rPr>
        <b/>
        <sz val="10"/>
        <color theme="1"/>
        <rFont val="Arial"/>
        <family val="2"/>
      </rPr>
      <t xml:space="preserve">Scenario: </t>
    </r>
    <r>
      <rPr>
        <sz val="10"/>
        <color theme="1"/>
        <rFont val="Arial"/>
        <family val="2"/>
      </rPr>
      <t>Now that you've performed a cohort analysis, of % of active users, it is important to create a visual representation of the avg % of active users across the 10-week period in order to determine how retention is impacted over time. 
We know the % of users retained over time decreases, but our goal is to 
(1) figure out how much it decreases by each week and 
(2) try to increase the % of users retained by doing experiments to lift the curve higher (increase the % of retention per week) on the graph. 
The visualization will help us understand how low our retention percentage drops and at what weeks and percent they stabilize.</t>
    </r>
  </si>
  <si>
    <r>
      <rPr>
        <b/>
        <sz val="10"/>
        <color theme="1"/>
        <rFont val="Arial"/>
        <family val="2"/>
      </rPr>
      <t xml:space="preserve">Skill: </t>
    </r>
    <r>
      <rPr>
        <sz val="10"/>
        <color theme="1"/>
        <rFont val="Arial"/>
        <family val="2"/>
      </rPr>
      <t>Create a retention curve chart from the previous retention cohort analysis. In the next section, you'll analyze retention over time by looking at how cohorts change over time.</t>
    </r>
  </si>
  <si>
    <r>
      <rPr>
        <b/>
        <sz val="10"/>
        <color theme="1"/>
        <rFont val="Arial"/>
        <family val="2"/>
      </rPr>
      <t>Instructions:</t>
    </r>
    <r>
      <rPr>
        <sz val="10"/>
        <color theme="1"/>
        <rFont val="Arial"/>
        <family val="2"/>
      </rPr>
      <t xml:space="preserve"> </t>
    </r>
  </si>
  <si>
    <t>1. Create a line-chart of the avg. retention of weekly active cohorts over # of weeks from Tab 3, row 45</t>
  </si>
  <si>
    <t>2. Address Questions in Row 32 - 42 below regarding the analysis of the Retention Curve</t>
  </si>
  <si>
    <t>At what % does the retention curve flatten at?</t>
  </si>
  <si>
    <t>At how many weeks does the retention curve flatten at?</t>
  </si>
  <si>
    <t xml:space="preserve">What does this retention curve tell us: </t>
  </si>
  <si>
    <t>What would happen if we improve Week 0 retention?</t>
  </si>
  <si>
    <t>User Retention by Segment</t>
  </si>
  <si>
    <r>
      <rPr>
        <b/>
        <sz val="10"/>
        <color rgb="FF000000"/>
        <rFont val="Arial"/>
        <family val="2"/>
      </rPr>
      <t>Scenario:</t>
    </r>
    <r>
      <rPr>
        <sz val="10"/>
        <color rgb="FF000000"/>
        <rFont val="Arial"/>
        <family val="2"/>
      </rPr>
      <t xml:space="preserve"> Slack has noticed that they can acquire customers easily, but are unable to determine how long their users retain, when they churn, and for what reason. You are asked to conduct cohort analysis by different segments to determine what segments are retaining well and which ones are not.</t>
    </r>
  </si>
  <si>
    <r>
      <rPr>
        <b/>
        <sz val="10"/>
        <color theme="1"/>
        <rFont val="Arial"/>
        <family val="2"/>
      </rPr>
      <t xml:space="preserve">Skill: </t>
    </r>
    <r>
      <rPr>
        <sz val="10"/>
        <color theme="1"/>
        <rFont val="Arial"/>
        <family val="2"/>
      </rPr>
      <t>Create a retention cohort and a retention curve chart for provided segments. Analyze retention by looking at how many users are retained over time for the different segments. Reminder we should  focus ours efforts on - the segments that are not doing well/average and try to get them to emulate your best performing segments.</t>
    </r>
  </si>
  <si>
    <r>
      <rPr>
        <b/>
        <sz val="10"/>
        <color theme="1"/>
        <rFont val="Arial"/>
        <family val="2"/>
      </rPr>
      <t>Instructions:</t>
    </r>
    <r>
      <rPr>
        <sz val="10"/>
        <color theme="1"/>
        <rFont val="Arial"/>
        <family val="2"/>
      </rPr>
      <t xml:space="preserve"> take the provided raw data of # of retained users from the provided segments and build their % of retained user cohort analysis and map the retention curve by each segment.</t>
    </r>
  </si>
  <si>
    <t>1. Create a % of retained users from the industry segment cohort analysis in Row 29 - 37. Then map the average retention curve over time (weeks) for each industry in Row 41 - 61. Then address 3 questions in Column L - Q.</t>
  </si>
  <si>
    <t>2. Create a % of retained user from the company size segment cohort analysis in Row 80 - 92. Then map the average retention curve over time (weeks) for each company size range in Row 95 - 115. Then address 3 questions in Column L - Q.</t>
  </si>
  <si>
    <t>3. Create a % of retained user from the account size segment cohort analysis in Row 132 - 143. Then map the average retention curve over time (weeks) for each account size range in Row 146 - 166. Then address 3 questions in Column L - Q.</t>
  </si>
  <si>
    <t>4. Create a % of retained user from the lead source segment cohort analysis in Row 182 - 191. Then map the average retention curve over time (weeks) for each lead source in Row 194 - 214. Then address 3 questions in Column L - Q.</t>
  </si>
  <si>
    <t>The rows in orange have been completed for you as an example. The formulas have been removed.</t>
  </si>
  <si>
    <t># of Retained Users - Industry Segment</t>
  </si>
  <si>
    <t>Number of Weeks</t>
  </si>
  <si>
    <t>Industry</t>
  </si>
  <si>
    <t>New Users Acquired</t>
  </si>
  <si>
    <t>Total</t>
  </si>
  <si>
    <t>Technology</t>
  </si>
  <si>
    <t xml:space="preserve">Retail </t>
  </si>
  <si>
    <t>Healthcare</t>
  </si>
  <si>
    <t>Financial Services</t>
  </si>
  <si>
    <t>Manufacturing</t>
  </si>
  <si>
    <t>Consume Goods</t>
  </si>
  <si>
    <t>Transportation</t>
  </si>
  <si>
    <t>Oil and Gas</t>
  </si>
  <si>
    <t>% of Retained Users - Industry Segment</t>
  </si>
  <si>
    <t>Which industry(s) has the best retention curve?</t>
  </si>
  <si>
    <t>Which industry(s) has the worst retention curve?</t>
  </si>
  <si>
    <t>How do you compare the Retention Analysis here with the Activation Analysis from Activation - Part 2 - Tab 6:</t>
  </si>
  <si>
    <t># of Retained Users - Company Size Segment</t>
  </si>
  <si>
    <t>Company Size</t>
  </si>
  <si>
    <t>New Users</t>
  </si>
  <si>
    <t>1-5</t>
  </si>
  <si>
    <t>6-10</t>
  </si>
  <si>
    <t>11-20</t>
  </si>
  <si>
    <t>21-50</t>
  </si>
  <si>
    <t>51-100</t>
  </si>
  <si>
    <t>101-250</t>
  </si>
  <si>
    <t>251-500</t>
  </si>
  <si>
    <t>501+</t>
  </si>
  <si>
    <t>% of Retained Users - Company Size Segment</t>
  </si>
  <si>
    <t>Which company size(s) has the best retention curve?</t>
  </si>
  <si>
    <t>Which company size(s) has the worst retention curve?</t>
  </si>
  <si>
    <t># of Retained Users - Account Size Segment</t>
  </si>
  <si>
    <t>Account Size</t>
  </si>
  <si>
    <t>1 - 2</t>
  </si>
  <si>
    <t>2 - 5</t>
  </si>
  <si>
    <t>5 - 10</t>
  </si>
  <si>
    <t>10 - 20</t>
  </si>
  <si>
    <t>20 - 50</t>
  </si>
  <si>
    <t>50 - 100</t>
  </si>
  <si>
    <t>100+</t>
  </si>
  <si>
    <t>% of Retained Users - Account Size Segment</t>
  </si>
  <si>
    <t>Which account size(s) has the best retention curve?</t>
  </si>
  <si>
    <t>Which account size(s) has the worst retention curve?</t>
  </si>
  <si>
    <t># of Retained Users - Lead Source Segment</t>
  </si>
  <si>
    <t>N</t>
  </si>
  <si>
    <t>Source</t>
  </si>
  <si>
    <t>Pricing Page</t>
  </si>
  <si>
    <t>Free Trial Page</t>
  </si>
  <si>
    <t>Referral link</t>
  </si>
  <si>
    <t>Team Invitation</t>
  </si>
  <si>
    <t>Blog Page</t>
  </si>
  <si>
    <t>% of Retained Users - Lead Source Segment</t>
  </si>
  <si>
    <t>Which lead source(s) has the best retention curve?</t>
  </si>
  <si>
    <t>Which lead source(s) has the worst retention curve?</t>
  </si>
  <si>
    <r>
      <rPr>
        <b/>
        <sz val="10"/>
        <color theme="1"/>
        <rFont val="Arial"/>
        <family val="2"/>
      </rPr>
      <t xml:space="preserve">Scenario: </t>
    </r>
    <r>
      <rPr>
        <sz val="10"/>
        <color theme="1"/>
        <rFont val="Arial"/>
        <family val="2"/>
      </rPr>
      <t xml:space="preserve">Slack has noticed that users are going through their growth funnel from activation to retention, but want to understand better the whole lifecycle of their users. You are asked to conduct cohort analysis to determine the active and inactive user over time.
In the previous tabs, we focused on calculating how many users retained over time. Now, we need to determine how many users have been dormant and resurrected over time. These dormant users would be the users that are on their way to churning and in the next 2 tabs, you will create experiments to avoid these churns. 
To avoid churn, you want to convert your dormant users into resurrected users. </t>
    </r>
  </si>
  <si>
    <r>
      <rPr>
        <b/>
        <sz val="10"/>
        <color theme="1"/>
        <rFont val="Arial"/>
        <family val="2"/>
      </rPr>
      <t xml:space="preserve">Skill: </t>
    </r>
    <r>
      <rPr>
        <sz val="10"/>
        <color theme="1"/>
        <rFont val="Arial"/>
        <family val="2"/>
      </rPr>
      <t>Create a lifecycle analysis of your users over time by looking at active user and inactive user cohorts over time. Calculate the weekly active users, dormant users, and resurrected users.</t>
    </r>
  </si>
  <si>
    <r>
      <rPr>
        <b/>
        <sz val="10"/>
        <color theme="1"/>
        <rFont val="Arial"/>
        <family val="2"/>
      </rPr>
      <t xml:space="preserve">1. </t>
    </r>
    <r>
      <rPr>
        <sz val="10"/>
        <color theme="1"/>
        <rFont val="Arial"/>
        <family val="2"/>
      </rPr>
      <t>Calculate the # of retained and resurrected users in Column C Row 44-52 using the # of active users cohort analysis in rows 14 - 25.</t>
    </r>
  </si>
  <si>
    <r>
      <rPr>
        <b/>
        <sz val="10"/>
        <color theme="1"/>
        <rFont val="Arial"/>
        <family val="2"/>
      </rPr>
      <t xml:space="preserve">2. </t>
    </r>
    <r>
      <rPr>
        <sz val="10"/>
        <color theme="1"/>
        <rFont val="Arial"/>
        <family val="2"/>
      </rPr>
      <t>Calculate the # of dormant users in Column D Row 44-52 using the # of inactive users cohort analysis in row 30 - 40.</t>
    </r>
  </si>
  <si>
    <r>
      <rPr>
        <b/>
        <sz val="10"/>
        <color theme="1"/>
        <rFont val="Arial"/>
        <family val="2"/>
      </rPr>
      <t xml:space="preserve">3. </t>
    </r>
    <r>
      <rPr>
        <sz val="10"/>
        <color theme="1"/>
        <rFont val="Arial"/>
        <family val="2"/>
      </rPr>
      <t>Calculate the # of weekly active users using the # of new users, # of retained and resurrected users, and # of dormant users</t>
    </r>
  </si>
  <si>
    <r>
      <rPr>
        <b/>
        <sz val="10"/>
        <color theme="1"/>
        <rFont val="Arial"/>
        <family val="2"/>
      </rPr>
      <t xml:space="preserve">4. </t>
    </r>
    <r>
      <rPr>
        <sz val="10"/>
        <color theme="1"/>
        <rFont val="Arial"/>
        <family val="2"/>
      </rPr>
      <t>Calculate the # of resurrected users using the</t>
    </r>
    <r>
      <rPr>
        <b/>
        <sz val="10"/>
        <color theme="1"/>
        <rFont val="Arial"/>
        <family val="2"/>
      </rPr>
      <t xml:space="preserve"> </t>
    </r>
    <r>
      <rPr>
        <sz val="10"/>
        <color theme="1"/>
        <rFont val="Arial"/>
        <family val="2"/>
      </rPr>
      <t># of retained and resurrected and # of retained users columns.</t>
    </r>
  </si>
  <si>
    <t>5. After completing the table, create a stacked column chart  in Row # 56 - 74 of new users, Dormant users, Retained Users, and Resurrected Users.</t>
  </si>
  <si>
    <t># of New Users</t>
  </si>
  <si>
    <t># of Inactive users</t>
  </si>
  <si>
    <t>Weeks after Subscription Date</t>
  </si>
  <si>
    <t>Retained + Resurrected Users</t>
  </si>
  <si>
    <t>Dormant Uses</t>
  </si>
  <si>
    <t>Weekly Active Users</t>
  </si>
  <si>
    <t>Retained Users</t>
  </si>
  <si>
    <t>Resurrected Users</t>
  </si>
  <si>
    <r>
      <rPr>
        <sz val="10"/>
        <color rgb="FF34A853"/>
        <rFont val="Arial"/>
        <family val="2"/>
      </rPr>
      <t xml:space="preserve">Retained Users, </t>
    </r>
    <r>
      <rPr>
        <sz val="10"/>
        <color rgb="FFFBBC04"/>
        <rFont val="Arial"/>
        <family val="2"/>
      </rPr>
      <t># of New Users</t>
    </r>
    <r>
      <rPr>
        <sz val="10"/>
        <color rgb="FF34A853"/>
        <rFont val="Arial"/>
        <family val="2"/>
      </rPr>
      <t xml:space="preserve">, </t>
    </r>
    <r>
      <rPr>
        <sz val="10"/>
        <color theme="5"/>
        <rFont val="Arial"/>
        <family val="2"/>
      </rPr>
      <t>Resurrected Users</t>
    </r>
    <r>
      <rPr>
        <sz val="10"/>
        <color rgb="FF34A853"/>
        <rFont val="Arial"/>
        <family val="2"/>
      </rPr>
      <t xml:space="preserve">, </t>
    </r>
    <r>
      <rPr>
        <sz val="10"/>
        <color theme="4"/>
        <rFont val="Arial"/>
        <family val="2"/>
      </rPr>
      <t>Dormant Users</t>
    </r>
  </si>
  <si>
    <r>
      <rPr>
        <b/>
        <sz val="10"/>
        <color theme="1"/>
        <rFont val="Arial"/>
        <family val="2"/>
      </rPr>
      <t xml:space="preserve">Scenario: </t>
    </r>
    <r>
      <rPr>
        <sz val="10"/>
        <color theme="1"/>
        <rFont val="Arial"/>
        <family val="2"/>
      </rPr>
      <t xml:space="preserve">Slack has noticed that users are churning over time, but have not determine what their churn and lifetime-value (LTV) of users over the last year is. You are asked to conduct cohort analysis to calculate the churn rate, retention rate, and LTV. </t>
    </r>
  </si>
  <si>
    <t xml:space="preserve">This analysis will help us determine the health of the business. It will help us determine: 
(1) What is our churn rate over time and is it getting better (getting lower). 
(2) What is our retention rate over time and is it getting better (getting higher). 
(3) What is our LTV over time and is it getting better (getting higher). </t>
  </si>
  <si>
    <t xml:space="preserve">Thinking of the these 3 questions will help you determine the 3 questions in rows 22-30. The answers in this sheet will help you benchmark on how you are doing against other B2B SaaS companies and ideate ways to improve the LTV and predict churn by suggesting experiments in the next tab. </t>
  </si>
  <si>
    <t>From this analysis, you would be able to present to the relevant stakeholders why a focus on reducing churn is important and should be considered as a business objective.</t>
  </si>
  <si>
    <r>
      <rPr>
        <b/>
        <sz val="10"/>
        <color theme="1"/>
        <rFont val="Arial"/>
        <family val="2"/>
      </rPr>
      <t>Skill:</t>
    </r>
    <r>
      <rPr>
        <sz val="10"/>
        <color theme="1"/>
        <rFont val="Arial"/>
        <family val="2"/>
      </rPr>
      <t xml:space="preserve"> Measure LTV (Life-time Value), Churn rate, and Retention rate and analyze the impact of each on the business. Calculate how many users churn and what their LTV is. 
You can then compare if retention and churn over time. This helps you determine the impact of your experiments and if they have been helping the business achieve its objectives or not. 
</t>
    </r>
    <r>
      <rPr>
        <b/>
        <sz val="10"/>
        <color theme="1"/>
        <rFont val="Arial"/>
        <family val="2"/>
      </rPr>
      <t xml:space="preserve">Tip: </t>
    </r>
    <r>
      <rPr>
        <sz val="10"/>
        <color theme="1"/>
        <rFont val="Arial"/>
        <family val="2"/>
      </rPr>
      <t>If you see metrics being too high or too low beyond industry standard, you know to focus your experiments on those metrics.</t>
    </r>
  </si>
  <si>
    <t xml:space="preserve">Instructions: </t>
  </si>
  <si>
    <t>1. Calculate the churn rate of the monthly cohorts in row 19</t>
  </si>
  <si>
    <t>2. Calculate the retention rate of the monthly cohorts in row 20</t>
  </si>
  <si>
    <t>3. Calculate the lifetime-value (LTV) of the monthly cohorts in row 21</t>
  </si>
  <si>
    <t>4. After completing the table, answer the questions in rows 26 - 33.</t>
  </si>
  <si>
    <t>Month</t>
  </si>
  <si>
    <t>Jan</t>
  </si>
  <si>
    <t>Feb</t>
  </si>
  <si>
    <t>Mar</t>
  </si>
  <si>
    <t>Apr</t>
  </si>
  <si>
    <t>May</t>
  </si>
  <si>
    <t>Jun</t>
  </si>
  <si>
    <t>Jul</t>
  </si>
  <si>
    <t>Aug</t>
  </si>
  <si>
    <t>Sep</t>
  </si>
  <si>
    <t>Oct</t>
  </si>
  <si>
    <t>Nov</t>
  </si>
  <si>
    <t>Dec</t>
  </si>
  <si>
    <t># of users churned</t>
  </si>
  <si>
    <t># of users at start of month</t>
  </si>
  <si>
    <t># of users at end of month</t>
  </si>
  <si>
    <t>Average Revenue Per Account (ARPA)</t>
  </si>
  <si>
    <t>Gross Margin</t>
  </si>
  <si>
    <t>Churn Rate</t>
  </si>
  <si>
    <t>Retention Rate</t>
  </si>
  <si>
    <t>LTV</t>
  </si>
  <si>
    <t>What can be done to improve LTV of Slack?</t>
  </si>
  <si>
    <t>How can we predict churn before it happens?</t>
  </si>
  <si>
    <t>Is the avg. monthly churn rate acceptable for a B2B SaaS company? If no, explain.</t>
  </si>
  <si>
    <t>Experiment Brief</t>
  </si>
  <si>
    <r>
      <rPr>
        <b/>
        <sz val="10"/>
        <color theme="1"/>
        <rFont val="Arial"/>
        <family val="2"/>
      </rPr>
      <t xml:space="preserve">Scenario: </t>
    </r>
    <r>
      <rPr>
        <sz val="10"/>
        <color theme="1"/>
        <rFont val="Arial"/>
        <family val="2"/>
      </rPr>
      <t xml:space="preserve">Slack has noticed that users are churning over time. Apply your activation and retention knowledge to suggest experiments to reduce churn. </t>
    </r>
  </si>
  <si>
    <t xml:space="preserve">It is ideal to always have an active experimentation for different segment of users and different metrics (activation and retention) for those users. You proposed experiments for activation before for users who just started to use our prodcut. Now you will propose experiments to active users to ensure they remain active OR users that have become inactive to attempt to resurrect them to become active agian. </t>
  </si>
  <si>
    <r>
      <rPr>
        <sz val="10"/>
        <color rgb="FF000000"/>
        <rFont val="Arial"/>
        <family val="2"/>
      </rPr>
      <t xml:space="preserve">You've just completed the churn and retention analysis in Tab 7, from which your VP has provided you resources to tackle churn. 
Using the analysis in tab 5, retention segmentation analysis, suggest experiments to help increase retention and reduce churn of specific segments. 
Remember in Tab 5, you calculated the users who are retaining the most, but focus on the segments that are </t>
    </r>
    <r>
      <rPr>
        <b/>
        <sz val="10"/>
        <color rgb="FF000000"/>
        <rFont val="Arial"/>
        <family val="2"/>
      </rPr>
      <t>NOT</t>
    </r>
    <r>
      <rPr>
        <sz val="10"/>
        <color rgb="FF000000"/>
        <rFont val="Arial"/>
        <family val="2"/>
      </rPr>
      <t xml:space="preserve"> retaining well and create experiments for these segments.</t>
    </r>
  </si>
  <si>
    <r>
      <rPr>
        <b/>
        <sz val="10"/>
        <color theme="1"/>
        <rFont val="Arial"/>
        <family val="2"/>
      </rPr>
      <t>Skill:</t>
    </r>
    <r>
      <rPr>
        <sz val="10"/>
        <color theme="1"/>
        <rFont val="Arial"/>
        <family val="2"/>
      </rPr>
      <t xml:space="preserve"> Create experiments and include analysis on the impacts, rational, and hypothesis of the experiment. </t>
    </r>
  </si>
  <si>
    <r>
      <rPr>
        <b/>
        <sz val="10"/>
        <color theme="1"/>
        <rFont val="Arial"/>
        <family val="2"/>
      </rPr>
      <t xml:space="preserve">1. </t>
    </r>
    <r>
      <rPr>
        <sz val="10"/>
        <color theme="1"/>
        <rFont val="Arial"/>
        <family val="2"/>
      </rPr>
      <t>Determine 3 experiments you would want to run to reduce churn OR understand churn better in B12 - B14</t>
    </r>
  </si>
  <si>
    <t>2. In column C, elaborate on what is being tested</t>
  </si>
  <si>
    <t>3. In column D, provide a qualitative and quantitative hypothesis of what will happen</t>
  </si>
  <si>
    <t>4. In column E, describe the rationale of why you chose this experiment from any social proof, previous experience, or from any research.</t>
  </si>
  <si>
    <t>5 In column F, provide a list of stakeholders who would need to be involved to release this experiment and why</t>
  </si>
  <si>
    <t>6. In column G, document what more information is needed for you to execute on this experiment and document what assumptions you are making</t>
  </si>
  <si>
    <t>7. In column H, provide a list of metrics that need to be measured in this experiment that would verify if the experiment failed or passed</t>
  </si>
  <si>
    <t>10. In column I - L, apply the ICE framework to your experiments</t>
  </si>
  <si>
    <t>Describe what in the experiment is being tested?</t>
  </si>
  <si>
    <t>Hypothesis (What do you think will happen qualitatively and quantitatively?)</t>
  </si>
  <si>
    <t>Rationale (Why do you want to try this experiment?)</t>
  </si>
  <si>
    <t>Stakeholders (What other titles in the company needs to be involved?)</t>
  </si>
  <si>
    <t>What more info do you need to decide this is an experiment you want to run? What assumptions are we making?</t>
  </si>
  <si>
    <t>What metrics should be measured?</t>
  </si>
  <si>
    <t>ICE - Impact? (be quantitative)</t>
  </si>
  <si>
    <t>ICE- Confidence</t>
  </si>
  <si>
    <t>ICE- Ease</t>
  </si>
  <si>
    <t>ICE - Growth Score</t>
  </si>
  <si>
    <t>The use case I will incorporate with Slack looking backwards will either be in the healthcare or tech industries. The features and user interfaces associated with Slack will be very useful in these fields.</t>
  </si>
  <si>
    <t>To promote a certain cause, for example a non profit that fights COVID</t>
  </si>
  <si>
    <t>To fully engage staff/members and reach a very specific goal</t>
  </si>
  <si>
    <t xml:space="preserve">To organize a volunteer group </t>
  </si>
  <si>
    <t>To act as an "Information Radiator" , as used in Agile Project Management/ Product Management</t>
  </si>
  <si>
    <t>For the use cases, the Slack channel will be used for multiple purposes within the course of the day since its primary function is to aid in communication at the workplace.</t>
  </si>
  <si>
    <t>Weekly/Daily</t>
  </si>
  <si>
    <t>The incorporations of multiple features will be used such as direct messaging, calls, slackbots and availability to demarcate channels into topics.</t>
  </si>
  <si>
    <t>The intensity metrics we ought to utilize will be the number of time users stay on the platform and the different engagements and messages sent on the platform.</t>
  </si>
  <si>
    <t>Healthcare Technology Industries</t>
  </si>
  <si>
    <t xml:space="preserve">Daily </t>
  </si>
  <si>
    <t>Direct Messaging, Broadcast Messaging, Slackbots</t>
  </si>
  <si>
    <t>High intensity use</t>
  </si>
  <si>
    <t>Used for constant communication through features such as group messaging, direct messaging and slackbots.</t>
  </si>
  <si>
    <t>1-4 messages weekly</t>
  </si>
  <si>
    <t>Week 8-9</t>
  </si>
  <si>
    <t>The retention curve depicts that as the weeks go by, % of weekly active users drastically decreases until it flattens out at 48% at week 8</t>
  </si>
  <si>
    <t>An improved Wee 0 will increase the retention rate on week 8 will improve to 50%.</t>
  </si>
  <si>
    <t>6 to 10</t>
  </si>
  <si>
    <t>101 to 250</t>
  </si>
  <si>
    <t>1 to 2</t>
  </si>
  <si>
    <t>5 to 10</t>
  </si>
  <si>
    <t>Technology Industry</t>
  </si>
  <si>
    <t>Oil &amp; Gas Industry</t>
  </si>
  <si>
    <t>It’s the opposite where this category decreases over time whereas tab 6 increases with time.</t>
  </si>
  <si>
    <t xml:space="preserve">Compared to Tab 6, this graphic is much more distorted. While there appears to be no trend depending on the size of the organization, Tab 6 shows an increasing tendency. </t>
  </si>
  <si>
    <t>There was a continuous increase in tab 6 which fluctuates</t>
  </si>
  <si>
    <t>The chart in tab 6 is inversely proportional .</t>
  </si>
  <si>
    <t>To improve the LTV of Slack, the use of secondary onboarding, a help center and qualitative microsurveys can be implemented</t>
  </si>
  <si>
    <t>No, its not accepted because overtime it accumulates.</t>
  </si>
  <si>
    <t>The use of A/B testings and Machine Learning models can be useful</t>
  </si>
  <si>
    <t>Educate Users</t>
  </si>
  <si>
    <t>The objective is to incorporate short videos and walkthroghs to educate users on how to effectively use the platform.</t>
  </si>
  <si>
    <t>The increase in educated users, the higher the chances of actively using the platform.</t>
  </si>
  <si>
    <t>This experimentation will enhance the daily and weeky active users of the platform through short videos and walkthroughs</t>
  </si>
  <si>
    <t xml:space="preserve">The scrum and marketing team </t>
  </si>
  <si>
    <t>daily and weelky active users</t>
  </si>
  <si>
    <t>Looking for redflags</t>
  </si>
  <si>
    <t>The users activities and behavior on the platform will be monitored to keep tabs on how they maneuver through the channel</t>
  </si>
  <si>
    <t>An increase and ease of use of the platform indicates acceptance whereas the ineffective use of the platform suggests redflags.</t>
  </si>
  <si>
    <t>This analysis will understand the user ourney on the platform and sign of difficulties to be curbed.</t>
  </si>
  <si>
    <t>Marketing, sales, engineering teams</t>
  </si>
  <si>
    <t>When customeres show concern of inability to navigate platfrom through the customer service complaints.</t>
  </si>
  <si>
    <t>When user engagements is decreased .</t>
  </si>
  <si>
    <t>daily and weekly active users</t>
  </si>
  <si>
    <t>Use Intelligent automated emails</t>
  </si>
  <si>
    <t>The availability of automated response/emails will ensure customer complaints are addressed immediately or redirected for a later time to demonstrate empathy.</t>
  </si>
  <si>
    <t>An increase or prompt response to customer complaints will help address issues immediately to reduce unecessary frictions.</t>
  </si>
  <si>
    <t>The ability to promptly respond to a user's cincern will provide and increased sense of urgency hence building trust with the user.</t>
  </si>
  <si>
    <t>Engineerin/Sales/Markeing team.</t>
  </si>
  <si>
    <t>When the company scaled to different demographics and timezone</t>
  </si>
  <si>
    <t>customer service tickst/ daily and weekly active user engagements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</si>
</sst>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mmm\ d"/>
    <numFmt numFmtId="165" formatCode="[$-409]mmm\-yy"/>
    <numFmt numFmtId="166" formatCode="&quot;$&quot;#,##0.00"/>
  </numFmts>
  <fonts count="29">
    <font>
      <sz val="10"/>
      <color rgb="FF000000"/>
      <name val="Arial"/>
      <scheme val="minor"/>
    </font>
    <font>
      <sz val="31"/>
      <color rgb="FF000000"/>
      <name val="Arial"/>
      <family val="2"/>
    </font>
    <font>
      <sz val="10"/>
      <color theme="1"/>
      <name val="Arial"/>
      <family val="2"/>
    </font>
    <font>
      <sz val="10"/>
      <name val="Arial"/>
      <family val="2"/>
    </font>
    <font>
      <b/>
      <sz val="10"/>
      <color rgb="FF000000"/>
      <name val="Arial"/>
      <family val="2"/>
    </font>
    <font>
      <b/>
      <sz val="10"/>
      <color theme="1"/>
      <name val="Arial"/>
      <family val="2"/>
    </font>
    <font>
      <b/>
      <sz val="30"/>
      <color rgb="FF222222"/>
      <name val="&quot;Google Sans&quot;"/>
    </font>
    <font>
      <sz val="10"/>
      <color rgb="FF000000"/>
      <name val="Arial"/>
      <family val="2"/>
    </font>
    <font>
      <sz val="11"/>
      <color rgb="FF222222"/>
      <name val="&quot;Google Sans&quot;"/>
    </font>
    <font>
      <b/>
      <sz val="20"/>
      <color theme="1"/>
      <name val="Arial"/>
      <family val="2"/>
      <scheme val="minor"/>
    </font>
    <font>
      <i/>
      <sz val="10"/>
      <color theme="1"/>
      <name val="Arial"/>
      <family val="2"/>
      <scheme val="minor"/>
    </font>
    <font>
      <sz val="10"/>
      <color theme="1"/>
      <name val="Arial"/>
      <family val="2"/>
      <scheme val="minor"/>
    </font>
    <font>
      <b/>
      <sz val="10"/>
      <color theme="1"/>
      <name val="Arial"/>
      <family val="2"/>
      <scheme val="minor"/>
    </font>
    <font>
      <b/>
      <sz val="30"/>
      <color theme="1"/>
      <name val="Arial"/>
      <family val="2"/>
      <scheme val="minor"/>
    </font>
    <font>
      <b/>
      <sz val="10"/>
      <color rgb="FF000000"/>
      <name val="Arial"/>
      <family val="2"/>
      <scheme val="minor"/>
    </font>
    <font>
      <sz val="30"/>
      <color theme="1"/>
      <name val="Arial"/>
      <family val="2"/>
      <scheme val="minor"/>
    </font>
    <font>
      <b/>
      <sz val="11"/>
      <color rgb="FF222222"/>
      <name val="Arial"/>
      <family val="2"/>
    </font>
    <font>
      <sz val="12"/>
      <color rgb="FF000000"/>
      <name val="Calibri"/>
      <family val="2"/>
    </font>
    <font>
      <sz val="30"/>
      <color rgb="FF222222"/>
      <name val="Arial"/>
      <family val="2"/>
    </font>
    <font>
      <sz val="11"/>
      <color rgb="FF222222"/>
      <name val="Arial"/>
      <family val="2"/>
    </font>
    <font>
      <b/>
      <sz val="10"/>
      <color rgb="FF000000"/>
      <name val="Open Sans"/>
    </font>
    <font>
      <sz val="10"/>
      <color rgb="FF000000"/>
      <name val="Open Sans"/>
    </font>
    <font>
      <sz val="30"/>
      <color rgb="FF000000"/>
      <name val="Arial"/>
      <family val="2"/>
    </font>
    <font>
      <b/>
      <sz val="20"/>
      <color theme="1"/>
      <name val="Arial"/>
      <family val="2"/>
    </font>
    <font>
      <sz val="10"/>
      <color rgb="FF34A853"/>
      <name val="Arial"/>
      <family val="2"/>
    </font>
    <font>
      <sz val="10"/>
      <color rgb="FFFBBC04"/>
      <name val="Arial"/>
      <family val="2"/>
    </font>
    <font>
      <sz val="10"/>
      <color theme="5"/>
      <name val="Arial"/>
      <family val="2"/>
    </font>
    <font>
      <sz val="10"/>
      <color theme="4"/>
      <name val="Arial"/>
      <family val="2"/>
    </font>
    <font>
      <sz val="10"/>
      <color rgb="FF000000"/>
      <name val="Arial"/>
      <family val="2"/>
      <scheme val="minor"/>
    </font>
  </fonts>
  <fills count="8">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B6D7A8"/>
        <bgColor rgb="FFB6D7A8"/>
      </patternFill>
    </fill>
    <fill>
      <patternFill patternType="solid">
        <fgColor rgb="FFE69138"/>
        <bgColor rgb="FFE69138"/>
      </patternFill>
    </fill>
    <fill>
      <patternFill patternType="solid">
        <fgColor rgb="FFF6B26B"/>
        <bgColor rgb="FFF6B26B"/>
      </patternFill>
    </fill>
    <fill>
      <patternFill patternType="solid">
        <fgColor rgb="FFD8D8D8"/>
        <bgColor rgb="FFD8D8D8"/>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s>
  <cellStyleXfs count="2">
    <xf numFmtId="0" fontId="0" fillId="0" borderId="0"/>
    <xf numFmtId="44" fontId="28" fillId="0" borderId="0" applyFont="0" applyFill="0" applyBorder="0" applyAlignment="0" applyProtection="0"/>
  </cellStyleXfs>
  <cellXfs count="241">
    <xf numFmtId="0" fontId="0" fillId="0" borderId="0" xfId="0" applyFont="1" applyAlignment="1"/>
    <xf numFmtId="0" fontId="5" fillId="2" borderId="4" xfId="0" applyFont="1" applyFill="1" applyBorder="1" applyAlignment="1">
      <alignment horizontal="center"/>
    </xf>
    <xf numFmtId="0" fontId="5" fillId="2" borderId="4" xfId="0" applyFont="1" applyFill="1" applyBorder="1" applyAlignment="1"/>
    <xf numFmtId="0" fontId="2" fillId="2" borderId="4" xfId="0" applyFont="1" applyFill="1" applyBorder="1" applyAlignment="1">
      <alignment horizontal="center"/>
    </xf>
    <xf numFmtId="0" fontId="2" fillId="2" borderId="4" xfId="0" applyFont="1" applyFill="1" applyBorder="1" applyAlignment="1"/>
    <xf numFmtId="0" fontId="2" fillId="0" borderId="4" xfId="0" applyFont="1" applyBorder="1" applyAlignment="1">
      <alignment horizontal="center"/>
    </xf>
    <xf numFmtId="0" fontId="2" fillId="4" borderId="4" xfId="0" applyFont="1" applyFill="1" applyBorder="1" applyAlignment="1"/>
    <xf numFmtId="0" fontId="2" fillId="2" borderId="4" xfId="0" applyFont="1" applyFill="1" applyBorder="1" applyAlignment="1"/>
    <xf numFmtId="0" fontId="2" fillId="0" borderId="5" xfId="0" applyFont="1" applyBorder="1" applyAlignment="1">
      <alignment horizontal="center"/>
    </xf>
    <xf numFmtId="0" fontId="2" fillId="4" borderId="6" xfId="0" applyFont="1" applyFill="1" applyBorder="1" applyAlignment="1"/>
    <xf numFmtId="0" fontId="2" fillId="2" borderId="5" xfId="0" applyFont="1" applyFill="1" applyBorder="1" applyAlignment="1"/>
    <xf numFmtId="0" fontId="7" fillId="0" borderId="0" xfId="0" applyFont="1" applyAlignment="1">
      <alignment horizontal="left"/>
    </xf>
    <xf numFmtId="0" fontId="7" fillId="3" borderId="0" xfId="0" applyFont="1" applyFill="1" applyAlignment="1">
      <alignment horizontal="left"/>
    </xf>
    <xf numFmtId="0" fontId="8" fillId="3" borderId="0" xfId="0" applyFont="1" applyFill="1" applyAlignment="1"/>
    <xf numFmtId="0" fontId="11" fillId="2" borderId="4" xfId="0" applyFont="1" applyFill="1" applyBorder="1" applyAlignment="1"/>
    <xf numFmtId="0" fontId="2" fillId="4" borderId="4" xfId="0" applyFont="1" applyFill="1" applyBorder="1" applyAlignment="1">
      <alignment wrapText="1"/>
    </xf>
    <xf numFmtId="0" fontId="2" fillId="4" borderId="5" xfId="0" applyFont="1" applyFill="1" applyBorder="1" applyAlignment="1">
      <alignment horizontal="center" wrapText="1"/>
    </xf>
    <xf numFmtId="0" fontId="9" fillId="2" borderId="4" xfId="0" applyFont="1" applyFill="1" applyBorder="1" applyAlignment="1"/>
    <xf numFmtId="0" fontId="11" fillId="2" borderId="4" xfId="0" applyFont="1" applyFill="1" applyBorder="1" applyAlignment="1">
      <alignment wrapText="1"/>
    </xf>
    <xf numFmtId="0" fontId="5" fillId="0" borderId="0" xfId="0" applyFont="1" applyAlignment="1">
      <alignment vertical="top" wrapText="1"/>
    </xf>
    <xf numFmtId="0" fontId="12" fillId="0" borderId="0" xfId="0" applyFont="1" applyAlignment="1">
      <alignment wrapText="1"/>
    </xf>
    <xf numFmtId="0" fontId="11" fillId="0" borderId="0" xfId="0" applyFont="1" applyAlignment="1"/>
    <xf numFmtId="0" fontId="12" fillId="2" borderId="13" xfId="0" applyFont="1" applyFill="1" applyBorder="1" applyAlignment="1">
      <alignment horizontal="center"/>
    </xf>
    <xf numFmtId="0" fontId="16" fillId="2" borderId="13" xfId="0" applyFont="1" applyFill="1" applyBorder="1" applyAlignment="1">
      <alignment horizontal="center"/>
    </xf>
    <xf numFmtId="0" fontId="12" fillId="2" borderId="5" xfId="0" applyFont="1" applyFill="1" applyBorder="1" applyAlignment="1"/>
    <xf numFmtId="0" fontId="16" fillId="2" borderId="5" xfId="0" applyFont="1" applyFill="1" applyBorder="1" applyAlignment="1"/>
    <xf numFmtId="0" fontId="11" fillId="2" borderId="7" xfId="0" applyFont="1" applyFill="1" applyBorder="1" applyAlignment="1"/>
    <xf numFmtId="0" fontId="11" fillId="2" borderId="6" xfId="0" applyFont="1" applyFill="1" applyBorder="1" applyAlignment="1"/>
    <xf numFmtId="164" fontId="11" fillId="2" borderId="14" xfId="0" applyNumberFormat="1" applyFont="1" applyFill="1" applyBorder="1" applyAlignment="1"/>
    <xf numFmtId="0" fontId="11" fillId="2" borderId="14" xfId="0" applyFont="1" applyFill="1" applyBorder="1" applyAlignment="1"/>
    <xf numFmtId="0" fontId="11" fillId="2" borderId="0" xfId="0" applyFont="1" applyFill="1" applyAlignment="1"/>
    <xf numFmtId="1" fontId="11" fillId="2" borderId="0" xfId="0" applyNumberFormat="1" applyFont="1" applyFill="1" applyAlignment="1"/>
    <xf numFmtId="1" fontId="11" fillId="2" borderId="11" xfId="0" applyNumberFormat="1" applyFont="1" applyFill="1" applyBorder="1" applyAlignment="1"/>
    <xf numFmtId="1" fontId="11" fillId="0" borderId="11" xfId="0" applyNumberFormat="1" applyFont="1" applyBorder="1"/>
    <xf numFmtId="1" fontId="11" fillId="0" borderId="0" xfId="0" applyNumberFormat="1" applyFont="1"/>
    <xf numFmtId="0" fontId="11" fillId="0" borderId="11" xfId="0" applyFont="1" applyBorder="1"/>
    <xf numFmtId="164" fontId="11" fillId="2" borderId="5" xfId="0" applyNumberFormat="1" applyFont="1" applyFill="1" applyBorder="1" applyAlignment="1"/>
    <xf numFmtId="0" fontId="11" fillId="2" borderId="5" xfId="0" applyFont="1" applyFill="1" applyBorder="1" applyAlignment="1"/>
    <xf numFmtId="0" fontId="11" fillId="0" borderId="7" xfId="0" applyFont="1" applyBorder="1"/>
    <xf numFmtId="0" fontId="11" fillId="0" borderId="6" xfId="0" applyFont="1" applyBorder="1"/>
    <xf numFmtId="164" fontId="11" fillId="0" borderId="0" xfId="0" applyNumberFormat="1" applyFont="1" applyAlignment="1"/>
    <xf numFmtId="0" fontId="12" fillId="2" borderId="8" xfId="0" applyFont="1" applyFill="1" applyBorder="1" applyAlignment="1">
      <alignment horizontal="center"/>
    </xf>
    <xf numFmtId="0" fontId="12" fillId="2" borderId="12" xfId="0" applyFont="1" applyFill="1" applyBorder="1" applyAlignment="1"/>
    <xf numFmtId="0" fontId="11" fillId="2" borderId="12" xfId="0" applyFont="1" applyFill="1" applyBorder="1" applyAlignment="1"/>
    <xf numFmtId="164" fontId="11" fillId="2" borderId="10" xfId="0" applyNumberFormat="1" applyFont="1" applyFill="1" applyBorder="1" applyAlignment="1"/>
    <xf numFmtId="0" fontId="11" fillId="2" borderId="10" xfId="0" applyFont="1" applyFill="1" applyBorder="1" applyAlignment="1"/>
    <xf numFmtId="9" fontId="17" fillId="5" borderId="8" xfId="0" applyNumberFormat="1" applyFont="1" applyFill="1" applyBorder="1" applyAlignment="1">
      <alignment horizontal="right"/>
    </xf>
    <xf numFmtId="9" fontId="17" fillId="4" borderId="15" xfId="0" applyNumberFormat="1" applyFont="1" applyFill="1" applyBorder="1" applyAlignment="1">
      <alignment horizontal="right"/>
    </xf>
    <xf numFmtId="9" fontId="17" fillId="4" borderId="9" xfId="0" applyNumberFormat="1" applyFont="1" applyFill="1" applyBorder="1" applyAlignment="1">
      <alignment horizontal="right"/>
    </xf>
    <xf numFmtId="9" fontId="17" fillId="4" borderId="10" xfId="0" applyNumberFormat="1" applyFont="1" applyFill="1" applyBorder="1" applyAlignment="1">
      <alignment horizontal="right"/>
    </xf>
    <xf numFmtId="164" fontId="11" fillId="2" borderId="12" xfId="0" applyNumberFormat="1" applyFont="1" applyFill="1" applyBorder="1" applyAlignment="1"/>
    <xf numFmtId="0" fontId="11" fillId="0" borderId="10" xfId="0" applyFont="1" applyBorder="1"/>
    <xf numFmtId="0" fontId="11" fillId="0" borderId="0" xfId="0" applyFont="1" applyAlignment="1">
      <alignment wrapText="1"/>
    </xf>
    <xf numFmtId="0" fontId="20" fillId="2" borderId="4" xfId="0" applyFont="1" applyFill="1" applyBorder="1" applyAlignment="1">
      <alignment horizontal="center" vertical="center" wrapText="1"/>
    </xf>
    <xf numFmtId="0" fontId="20" fillId="2" borderId="3" xfId="0" applyFont="1" applyFill="1" applyBorder="1" applyAlignment="1">
      <alignment horizontal="center" vertical="center" wrapText="1"/>
    </xf>
    <xf numFmtId="0" fontId="20" fillId="7" borderId="5" xfId="0" applyFont="1" applyFill="1" applyBorder="1" applyAlignment="1">
      <alignment horizontal="center"/>
    </xf>
    <xf numFmtId="3" fontId="20" fillId="7" borderId="7" xfId="0" applyNumberFormat="1" applyFont="1" applyFill="1" applyBorder="1" applyAlignment="1">
      <alignment horizontal="center"/>
    </xf>
    <xf numFmtId="0" fontId="21" fillId="7" borderId="5" xfId="0" applyFont="1" applyFill="1" applyBorder="1" applyAlignment="1">
      <alignment horizontal="right"/>
    </xf>
    <xf numFmtId="0" fontId="20" fillId="2" borderId="3" xfId="0" applyFont="1" applyFill="1" applyBorder="1" applyAlignment="1">
      <alignment horizontal="center" wrapText="1"/>
    </xf>
    <xf numFmtId="0" fontId="21" fillId="7" borderId="5" xfId="0" applyFont="1" applyFill="1" applyBorder="1" applyAlignment="1">
      <alignment horizontal="center"/>
    </xf>
    <xf numFmtId="3" fontId="21" fillId="7" borderId="7" xfId="0" applyNumberFormat="1" applyFont="1" applyFill="1" applyBorder="1" applyAlignment="1">
      <alignment horizontal="center"/>
    </xf>
    <xf numFmtId="0" fontId="20" fillId="2" borderId="4" xfId="0" applyFont="1" applyFill="1" applyBorder="1" applyAlignment="1">
      <alignment horizontal="center" wrapText="1"/>
    </xf>
    <xf numFmtId="1" fontId="2" fillId="0" borderId="0" xfId="0" applyNumberFormat="1" applyFont="1" applyAlignment="1">
      <alignment horizontal="right"/>
    </xf>
    <xf numFmtId="1" fontId="2" fillId="0" borderId="11" xfId="0" applyNumberFormat="1" applyFont="1" applyBorder="1" applyAlignment="1">
      <alignment horizontal="right"/>
    </xf>
    <xf numFmtId="0" fontId="2" fillId="0" borderId="0" xfId="0" applyFont="1" applyAlignment="1"/>
    <xf numFmtId="0" fontId="2" fillId="0" borderId="7" xfId="0" applyFont="1" applyBorder="1" applyAlignment="1"/>
    <xf numFmtId="0" fontId="5" fillId="2" borderId="4" xfId="0" applyFont="1" applyFill="1" applyBorder="1" applyAlignment="1">
      <alignment horizontal="center" wrapText="1"/>
    </xf>
    <xf numFmtId="0" fontId="16" fillId="2" borderId="3" xfId="0" applyFont="1" applyFill="1" applyBorder="1" applyAlignment="1">
      <alignment horizontal="center" wrapText="1"/>
    </xf>
    <xf numFmtId="0" fontId="2" fillId="2" borderId="4" xfId="0" applyFont="1" applyFill="1" applyBorder="1" applyAlignment="1">
      <alignment horizontal="right"/>
    </xf>
    <xf numFmtId="164" fontId="2" fillId="2" borderId="14" xfId="0" applyNumberFormat="1" applyFont="1" applyFill="1" applyBorder="1" applyAlignment="1">
      <alignment horizontal="right"/>
    </xf>
    <xf numFmtId="0" fontId="2" fillId="2" borderId="11" xfId="0" applyFont="1" applyFill="1" applyBorder="1" applyAlignment="1">
      <alignment horizontal="right"/>
    </xf>
    <xf numFmtId="0" fontId="2" fillId="2" borderId="6" xfId="0" applyFont="1" applyFill="1" applyBorder="1" applyAlignment="1">
      <alignment horizontal="right"/>
    </xf>
    <xf numFmtId="1" fontId="2" fillId="2" borderId="6" xfId="0" applyNumberFormat="1" applyFont="1" applyFill="1" applyBorder="1" applyAlignment="1">
      <alignment horizontal="right"/>
    </xf>
    <xf numFmtId="0" fontId="2" fillId="2" borderId="5" xfId="0" applyFont="1" applyFill="1" applyBorder="1" applyAlignment="1">
      <alignment wrapText="1"/>
    </xf>
    <xf numFmtId="0" fontId="2" fillId="2" borderId="6" xfId="0" applyFont="1" applyFill="1" applyBorder="1" applyAlignment="1">
      <alignment wrapText="1"/>
    </xf>
    <xf numFmtId="0" fontId="2" fillId="2" borderId="7" xfId="0" applyFont="1" applyFill="1" applyBorder="1" applyAlignment="1">
      <alignment horizontal="right"/>
    </xf>
    <xf numFmtId="164" fontId="2" fillId="2" borderId="13" xfId="0" applyNumberFormat="1" applyFont="1" applyFill="1" applyBorder="1" applyAlignment="1">
      <alignment horizontal="right"/>
    </xf>
    <xf numFmtId="0" fontId="2" fillId="2" borderId="9" xfId="0" applyFont="1" applyFill="1" applyBorder="1" applyAlignment="1">
      <alignment horizontal="right"/>
    </xf>
    <xf numFmtId="0" fontId="2" fillId="2" borderId="3" xfId="0" applyFont="1" applyFill="1" applyBorder="1" applyAlignment="1">
      <alignment horizontal="right"/>
    </xf>
    <xf numFmtId="1" fontId="2" fillId="2" borderId="3" xfId="0" applyNumberFormat="1" applyFont="1" applyFill="1" applyBorder="1" applyAlignment="1">
      <alignment horizontal="right"/>
    </xf>
    <xf numFmtId="164" fontId="2" fillId="2" borderId="5" xfId="0" applyNumberFormat="1" applyFont="1" applyFill="1" applyBorder="1" applyAlignment="1">
      <alignment horizontal="right"/>
    </xf>
    <xf numFmtId="0" fontId="5" fillId="2" borderId="4" xfId="0" applyFont="1" applyFill="1" applyBorder="1" applyAlignment="1">
      <alignment horizontal="center" vertical="center" wrapText="1"/>
    </xf>
    <xf numFmtId="0" fontId="16" fillId="2" borderId="3" xfId="0" applyFont="1" applyFill="1" applyBorder="1" applyAlignment="1">
      <alignment horizontal="center" vertical="center" wrapText="1"/>
    </xf>
    <xf numFmtId="164" fontId="2" fillId="2" borderId="4" xfId="0" applyNumberFormat="1" applyFont="1" applyFill="1" applyBorder="1" applyAlignment="1">
      <alignment horizontal="right"/>
    </xf>
    <xf numFmtId="0" fontId="5" fillId="5" borderId="4" xfId="0" applyFont="1" applyFill="1" applyBorder="1" applyAlignment="1">
      <alignment horizontal="right"/>
    </xf>
    <xf numFmtId="1" fontId="2" fillId="2" borderId="4" xfId="0" applyNumberFormat="1" applyFont="1" applyFill="1" applyBorder="1" applyAlignment="1">
      <alignment horizontal="right"/>
    </xf>
    <xf numFmtId="1" fontId="5" fillId="5" borderId="4" xfId="0" applyNumberFormat="1" applyFont="1" applyFill="1" applyBorder="1" applyAlignment="1">
      <alignment horizontal="right"/>
    </xf>
    <xf numFmtId="1" fontId="5" fillId="5" borderId="11" xfId="0" applyNumberFormat="1" applyFont="1" applyFill="1" applyBorder="1" applyAlignment="1">
      <alignment horizontal="right"/>
    </xf>
    <xf numFmtId="1" fontId="2" fillId="4" borderId="4" xfId="0" applyNumberFormat="1" applyFont="1" applyFill="1" applyBorder="1" applyAlignment="1">
      <alignment horizontal="right"/>
    </xf>
    <xf numFmtId="0" fontId="5" fillId="2" borderId="5" xfId="0" applyFont="1" applyFill="1" applyBorder="1" applyAlignment="1">
      <alignment horizontal="center"/>
    </xf>
    <xf numFmtId="1" fontId="2" fillId="2" borderId="5" xfId="0" applyNumberFormat="1" applyFont="1" applyFill="1" applyBorder="1" applyAlignment="1">
      <alignment horizontal="center"/>
    </xf>
    <xf numFmtId="0" fontId="2" fillId="2" borderId="5" xfId="0" applyFont="1" applyFill="1" applyBorder="1" applyAlignment="1">
      <alignment horizontal="center" wrapText="1"/>
    </xf>
    <xf numFmtId="166" fontId="2" fillId="2" borderId="6" xfId="0" applyNumberFormat="1" applyFont="1" applyFill="1" applyBorder="1" applyAlignment="1">
      <alignment horizontal="right"/>
    </xf>
    <xf numFmtId="0" fontId="2" fillId="2" borderId="5" xfId="0" applyFont="1" applyFill="1" applyBorder="1" applyAlignment="1">
      <alignment horizontal="center"/>
    </xf>
    <xf numFmtId="9" fontId="2" fillId="2" borderId="6" xfId="0" applyNumberFormat="1" applyFont="1" applyFill="1" applyBorder="1" applyAlignment="1">
      <alignment horizontal="right"/>
    </xf>
    <xf numFmtId="10" fontId="5" fillId="5" borderId="6" xfId="0" applyNumberFormat="1" applyFont="1" applyFill="1" applyBorder="1" applyAlignment="1">
      <alignment horizontal="right"/>
    </xf>
    <xf numFmtId="10" fontId="2" fillId="4" borderId="6" xfId="0" applyNumberFormat="1" applyFont="1" applyFill="1" applyBorder="1" applyAlignment="1">
      <alignment horizontal="right"/>
    </xf>
    <xf numFmtId="166" fontId="5" fillId="5" borderId="6" xfId="0" applyNumberFormat="1" applyFont="1" applyFill="1" applyBorder="1" applyAlignment="1">
      <alignment horizontal="right"/>
    </xf>
    <xf numFmtId="166" fontId="2" fillId="4" borderId="6" xfId="0" applyNumberFormat="1" applyFont="1" applyFill="1" applyBorder="1" applyAlignment="1">
      <alignment horizontal="right"/>
    </xf>
    <xf numFmtId="0" fontId="2" fillId="0" borderId="0" xfId="0" applyFont="1" applyAlignment="1">
      <alignment wrapText="1"/>
    </xf>
    <xf numFmtId="0" fontId="22" fillId="2" borderId="0" xfId="0" applyFont="1" applyFill="1" applyAlignment="1">
      <alignment horizontal="center"/>
    </xf>
    <xf numFmtId="0" fontId="5" fillId="0" borderId="5" xfId="0" applyFont="1" applyBorder="1" applyAlignment="1">
      <alignment horizontal="center" vertical="center"/>
    </xf>
    <xf numFmtId="0" fontId="5"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2" fillId="4" borderId="5" xfId="0" applyFont="1" applyFill="1" applyBorder="1" applyAlignment="1">
      <alignment horizontal="right" wrapText="1"/>
    </xf>
    <xf numFmtId="0" fontId="2" fillId="4" borderId="6" xfId="0" applyFont="1" applyFill="1" applyBorder="1" applyAlignment="1">
      <alignment wrapText="1"/>
    </xf>
    <xf numFmtId="0" fontId="2" fillId="4" borderId="6" xfId="0" applyFont="1" applyFill="1" applyBorder="1" applyAlignment="1">
      <alignment wrapText="1"/>
    </xf>
    <xf numFmtId="0" fontId="2" fillId="4" borderId="5" xfId="0" applyFont="1" applyFill="1" applyBorder="1" applyAlignment="1"/>
    <xf numFmtId="0" fontId="2" fillId="4" borderId="6" xfId="0" applyFont="1" applyFill="1" applyBorder="1" applyAlignment="1"/>
    <xf numFmtId="2" fontId="2" fillId="4" borderId="6" xfId="0" applyNumberFormat="1" applyFont="1" applyFill="1" applyBorder="1" applyAlignment="1"/>
    <xf numFmtId="0" fontId="2" fillId="4" borderId="5" xfId="0" applyFont="1" applyFill="1" applyBorder="1" applyAlignment="1">
      <alignment horizontal="right" wrapText="1"/>
    </xf>
    <xf numFmtId="0" fontId="2" fillId="4" borderId="6" xfId="0" applyFont="1" applyFill="1" applyBorder="1" applyAlignment="1">
      <alignment horizontal="right" wrapText="1"/>
    </xf>
    <xf numFmtId="0" fontId="2" fillId="0" borderId="0" xfId="0" applyFont="1"/>
    <xf numFmtId="2" fontId="2" fillId="0" borderId="0" xfId="0" applyNumberFormat="1" applyFont="1"/>
    <xf numFmtId="9" fontId="11" fillId="4" borderId="12" xfId="0" applyNumberFormat="1" applyFont="1" applyFill="1" applyBorder="1"/>
    <xf numFmtId="0" fontId="0" fillId="0" borderId="0" xfId="0"/>
    <xf numFmtId="0" fontId="19" fillId="3" borderId="0" xfId="0" applyFont="1" applyFill="1"/>
    <xf numFmtId="0" fontId="2" fillId="2" borderId="13" xfId="0" applyFont="1" applyFill="1" applyBorder="1" applyAlignment="1">
      <alignment horizontal="center"/>
    </xf>
    <xf numFmtId="1" fontId="2" fillId="0" borderId="8" xfId="0" applyNumberFormat="1" applyFont="1" applyBorder="1"/>
    <xf numFmtId="1" fontId="2" fillId="0" borderId="15" xfId="0" applyNumberFormat="1" applyFont="1" applyBorder="1"/>
    <xf numFmtId="1" fontId="2" fillId="0" borderId="9" xfId="0" applyNumberFormat="1" applyFont="1" applyBorder="1"/>
    <xf numFmtId="1" fontId="2" fillId="0" borderId="10" xfId="0" applyNumberFormat="1" applyFont="1" applyBorder="1"/>
    <xf numFmtId="1" fontId="2" fillId="0" borderId="0" xfId="0" applyNumberFormat="1" applyFont="1"/>
    <xf numFmtId="1" fontId="2" fillId="0" borderId="11" xfId="0" applyNumberFormat="1" applyFont="1" applyBorder="1"/>
    <xf numFmtId="1" fontId="2" fillId="0" borderId="12" xfId="0" applyNumberFormat="1" applyFont="1" applyBorder="1"/>
    <xf numFmtId="1" fontId="2" fillId="0" borderId="7" xfId="0" applyNumberFormat="1" applyFont="1" applyBorder="1"/>
    <xf numFmtId="1" fontId="2" fillId="0" borderId="6" xfId="0" applyNumberFormat="1" applyFont="1" applyBorder="1"/>
    <xf numFmtId="9" fontId="5" fillId="5" borderId="8" xfId="0" applyNumberFormat="1" applyFont="1" applyFill="1" applyBorder="1"/>
    <xf numFmtId="9" fontId="2" fillId="4" borderId="15" xfId="0" applyNumberFormat="1" applyFont="1" applyFill="1" applyBorder="1"/>
    <xf numFmtId="9" fontId="2" fillId="4" borderId="10" xfId="0" applyNumberFormat="1" applyFont="1" applyFill="1" applyBorder="1"/>
    <xf numFmtId="9" fontId="2" fillId="4" borderId="4" xfId="0" applyNumberFormat="1" applyFont="1" applyFill="1" applyBorder="1"/>
    <xf numFmtId="0" fontId="5" fillId="0" borderId="0" xfId="0" applyFont="1"/>
    <xf numFmtId="9" fontId="2" fillId="4" borderId="8" xfId="0" applyNumberFormat="1" applyFont="1" applyFill="1" applyBorder="1"/>
    <xf numFmtId="0" fontId="2" fillId="0" borderId="7" xfId="0" applyFont="1" applyBorder="1"/>
    <xf numFmtId="0" fontId="2" fillId="2" borderId="5" xfId="0" applyFont="1" applyFill="1" applyBorder="1"/>
    <xf numFmtId="0" fontId="2" fillId="2" borderId="6" xfId="0" applyFont="1" applyFill="1" applyBorder="1"/>
    <xf numFmtId="0" fontId="2" fillId="0" borderId="6" xfId="0" applyFont="1" applyBorder="1"/>
    <xf numFmtId="164" fontId="2" fillId="2" borderId="5" xfId="0" applyNumberFormat="1" applyFont="1" applyFill="1" applyBorder="1"/>
    <xf numFmtId="0" fontId="2" fillId="0" borderId="12" xfId="0" applyFont="1" applyBorder="1"/>
    <xf numFmtId="0" fontId="2" fillId="0" borderId="11" xfId="0" applyFont="1" applyBorder="1"/>
    <xf numFmtId="2" fontId="2" fillId="4" borderId="5" xfId="1" applyNumberFormat="1" applyFont="1" applyFill="1" applyBorder="1" applyAlignment="1"/>
    <xf numFmtId="0" fontId="2" fillId="0" borderId="1" xfId="0" applyFont="1" applyBorder="1" applyAlignment="1"/>
    <xf numFmtId="0" fontId="3" fillId="0" borderId="2" xfId="0" applyFont="1" applyBorder="1"/>
    <xf numFmtId="0" fontId="3" fillId="0" borderId="3" xfId="0" applyFont="1" applyBorder="1"/>
    <xf numFmtId="0" fontId="5" fillId="2" borderId="7" xfId="0" applyFont="1" applyFill="1" applyBorder="1" applyAlignment="1">
      <alignment horizontal="center"/>
    </xf>
    <xf numFmtId="0" fontId="3" fillId="0" borderId="7" xfId="0" applyFont="1" applyBorder="1"/>
    <xf numFmtId="0" fontId="3" fillId="0" borderId="6" xfId="0" applyFont="1" applyBorder="1"/>
    <xf numFmtId="0" fontId="2" fillId="0" borderId="7" xfId="0" applyFont="1" applyBorder="1" applyAlignment="1"/>
    <xf numFmtId="0" fontId="5" fillId="2" borderId="1" xfId="0" applyFont="1" applyFill="1" applyBorder="1" applyAlignment="1">
      <alignment horizontal="center"/>
    </xf>
    <xf numFmtId="0" fontId="5" fillId="2" borderId="2" xfId="0" applyFont="1" applyFill="1" applyBorder="1" applyAlignment="1">
      <alignment horizontal="center"/>
    </xf>
    <xf numFmtId="0" fontId="1" fillId="2" borderId="0" xfId="0" applyFont="1" applyFill="1" applyAlignment="1">
      <alignment horizontal="center"/>
    </xf>
    <xf numFmtId="0" fontId="0" fillId="0" borderId="0" xfId="0" applyFont="1" applyAlignment="1"/>
    <xf numFmtId="0" fontId="2" fillId="0" borderId="1" xfId="0" applyFont="1" applyBorder="1" applyAlignment="1">
      <alignment wrapText="1"/>
    </xf>
    <xf numFmtId="0" fontId="4" fillId="3" borderId="0" xfId="0" applyFont="1" applyFill="1" applyAlignment="1"/>
    <xf numFmtId="0" fontId="11" fillId="4" borderId="8" xfId="0" applyFont="1" applyFill="1" applyBorder="1" applyAlignment="1">
      <alignment wrapText="1"/>
    </xf>
    <xf numFmtId="0" fontId="3" fillId="0" borderId="9" xfId="0" applyFont="1" applyBorder="1" applyAlignment="1">
      <alignment wrapText="1"/>
    </xf>
    <xf numFmtId="0" fontId="3" fillId="0" borderId="10" xfId="0" applyFont="1" applyBorder="1" applyAlignment="1">
      <alignment wrapText="1"/>
    </xf>
    <xf numFmtId="0" fontId="3" fillId="0" borderId="11" xfId="0" applyFont="1" applyBorder="1" applyAlignment="1">
      <alignment wrapText="1"/>
    </xf>
    <xf numFmtId="0" fontId="3" fillId="0" borderId="12" xfId="0" applyFont="1" applyBorder="1" applyAlignment="1">
      <alignment wrapText="1"/>
    </xf>
    <xf numFmtId="0" fontId="3" fillId="0" borderId="6" xfId="0" applyFont="1" applyBorder="1" applyAlignment="1">
      <alignment wrapText="1"/>
    </xf>
    <xf numFmtId="0" fontId="9" fillId="2" borderId="1" xfId="0" applyFont="1" applyFill="1" applyBorder="1" applyAlignment="1">
      <alignment horizontal="left"/>
    </xf>
    <xf numFmtId="0" fontId="11" fillId="2" borderId="8" xfId="0" applyFont="1" applyFill="1" applyBorder="1" applyAlignment="1">
      <alignment horizontal="center" vertical="center" wrapText="1"/>
    </xf>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11" fillId="2" borderId="13" xfId="0" applyFont="1" applyFill="1" applyBorder="1" applyAlignment="1">
      <alignment horizontal="center" vertical="center" wrapText="1"/>
    </xf>
    <xf numFmtId="0" fontId="3" fillId="0" borderId="14" xfId="0" applyFont="1" applyBorder="1"/>
    <xf numFmtId="0" fontId="3" fillId="0" borderId="5" xfId="0" applyFont="1" applyBorder="1"/>
    <xf numFmtId="0" fontId="9" fillId="2" borderId="1" xfId="0" applyFont="1" applyFill="1" applyBorder="1" applyAlignment="1"/>
    <xf numFmtId="0" fontId="11" fillId="2" borderId="8" xfId="0" applyFont="1" applyFill="1" applyBorder="1" applyAlignment="1">
      <alignment wrapText="1"/>
    </xf>
    <xf numFmtId="0" fontId="11" fillId="4" borderId="1" xfId="0" applyFont="1" applyFill="1" applyBorder="1" applyAlignment="1"/>
    <xf numFmtId="0" fontId="5" fillId="6" borderId="1" xfId="0" applyFont="1" applyFill="1" applyBorder="1"/>
    <xf numFmtId="0" fontId="2" fillId="4" borderId="1" xfId="0" applyFont="1" applyFill="1" applyBorder="1"/>
    <xf numFmtId="0" fontId="12" fillId="6" borderId="1" xfId="0" applyFont="1" applyFill="1" applyBorder="1" applyAlignment="1"/>
    <xf numFmtId="0" fontId="4" fillId="5" borderId="1" xfId="0" applyFont="1" applyFill="1" applyBorder="1" applyAlignment="1">
      <alignment horizontal="left"/>
    </xf>
    <xf numFmtId="0" fontId="10" fillId="2" borderId="1" xfId="0" applyFont="1" applyFill="1" applyBorder="1" applyAlignment="1"/>
    <xf numFmtId="0" fontId="7" fillId="0" borderId="1" xfId="0" applyFont="1" applyBorder="1" applyAlignment="1"/>
    <xf numFmtId="0" fontId="6" fillId="2" borderId="1" xfId="0" applyFont="1" applyFill="1" applyBorder="1" applyAlignment="1">
      <alignment horizontal="center"/>
    </xf>
    <xf numFmtId="0" fontId="5" fillId="0" borderId="1" xfId="0" applyFont="1" applyBorder="1" applyAlignment="1">
      <alignment vertical="top" wrapText="1"/>
    </xf>
    <xf numFmtId="0" fontId="4" fillId="3" borderId="1" xfId="0" applyFont="1" applyFill="1" applyBorder="1" applyAlignment="1"/>
    <xf numFmtId="0" fontId="7" fillId="0" borderId="1" xfId="0" applyFont="1" applyBorder="1" applyAlignment="1">
      <alignment horizontal="left" wrapText="1"/>
    </xf>
    <xf numFmtId="0" fontId="12" fillId="0" borderId="1" xfId="0" applyFont="1" applyBorder="1" applyAlignment="1">
      <alignment wrapText="1"/>
    </xf>
    <xf numFmtId="0" fontId="13" fillId="2" borderId="1" xfId="0" applyFont="1" applyFill="1" applyBorder="1" applyAlignment="1">
      <alignment horizontal="center"/>
    </xf>
    <xf numFmtId="0" fontId="7" fillId="3" borderId="1" xfId="0" applyFont="1" applyFill="1" applyBorder="1" applyAlignment="1">
      <alignment horizontal="left" wrapText="1"/>
    </xf>
    <xf numFmtId="0" fontId="14" fillId="5" borderId="0" xfId="0" applyFont="1" applyFill="1" applyAlignment="1"/>
    <xf numFmtId="0" fontId="11" fillId="4" borderId="13"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12" fillId="2" borderId="8" xfId="0" applyFont="1" applyFill="1" applyBorder="1" applyAlignment="1">
      <alignment horizontal="center" wrapText="1"/>
    </xf>
    <xf numFmtId="0" fontId="3" fillId="0" borderId="15" xfId="0" applyFont="1" applyBorder="1"/>
    <xf numFmtId="0" fontId="11" fillId="2" borderId="1" xfId="0" applyFont="1" applyFill="1" applyBorder="1" applyAlignment="1">
      <alignment horizontal="center"/>
    </xf>
    <xf numFmtId="0" fontId="12" fillId="5" borderId="1" xfId="0" applyFont="1" applyFill="1" applyBorder="1" applyAlignment="1"/>
    <xf numFmtId="0" fontId="9" fillId="2" borderId="8" xfId="0" applyFont="1" applyFill="1" applyBorder="1" applyAlignment="1">
      <alignment horizontal="center"/>
    </xf>
    <xf numFmtId="0" fontId="12" fillId="2" borderId="15" xfId="0" applyFont="1" applyFill="1" applyBorder="1" applyAlignment="1">
      <alignment horizontal="center" wrapText="1"/>
    </xf>
    <xf numFmtId="0" fontId="15" fillId="2" borderId="1" xfId="0" applyFont="1" applyFill="1" applyBorder="1" applyAlignment="1">
      <alignment horizontal="center"/>
    </xf>
    <xf numFmtId="0" fontId="7" fillId="3" borderId="0" xfId="0" applyFont="1" applyFill="1" applyAlignment="1">
      <alignment horizontal="left" wrapText="1"/>
    </xf>
    <xf numFmtId="0" fontId="11" fillId="0" borderId="8" xfId="0" applyFont="1" applyBorder="1" applyAlignment="1">
      <alignment wrapText="1"/>
    </xf>
    <xf numFmtId="0" fontId="18" fillId="2" borderId="1" xfId="0" applyFont="1" applyFill="1" applyBorder="1" applyAlignment="1">
      <alignment horizontal="center"/>
    </xf>
    <xf numFmtId="0" fontId="11" fillId="0" borderId="1" xfId="0" applyFont="1" applyBorder="1" applyAlignment="1"/>
    <xf numFmtId="0" fontId="11" fillId="0" borderId="8" xfId="0" applyFont="1" applyBorder="1"/>
    <xf numFmtId="9" fontId="11" fillId="4" borderId="8" xfId="0" applyNumberFormat="1" applyFont="1" applyFill="1" applyBorder="1" applyAlignment="1">
      <alignment wrapText="1"/>
    </xf>
    <xf numFmtId="0" fontId="20" fillId="7" borderId="12" xfId="0" applyFont="1" applyFill="1" applyBorder="1" applyAlignment="1">
      <alignment horizontal="center"/>
    </xf>
    <xf numFmtId="0" fontId="20" fillId="2" borderId="8" xfId="0" applyFont="1" applyFill="1" applyBorder="1" applyAlignment="1">
      <alignment horizontal="center" wrapText="1"/>
    </xf>
    <xf numFmtId="0" fontId="2" fillId="0" borderId="8" xfId="0" applyFont="1" applyBorder="1"/>
    <xf numFmtId="0" fontId="0" fillId="0" borderId="0" xfId="0"/>
    <xf numFmtId="0" fontId="5" fillId="2" borderId="8" xfId="0" applyFont="1" applyFill="1" applyBorder="1" applyAlignment="1">
      <alignment wrapText="1"/>
    </xf>
    <xf numFmtId="0" fontId="2" fillId="4" borderId="8" xfId="0" applyFont="1" applyFill="1" applyBorder="1"/>
    <xf numFmtId="0" fontId="2" fillId="4" borderId="8" xfId="0" applyFont="1" applyFill="1" applyBorder="1" applyAlignment="1">
      <alignment vertical="top" wrapText="1"/>
    </xf>
    <xf numFmtId="0" fontId="3" fillId="0" borderId="15" xfId="0" applyFont="1" applyBorder="1" applyAlignment="1">
      <alignment vertical="top"/>
    </xf>
    <xf numFmtId="0" fontId="3" fillId="0" borderId="9" xfId="0" applyFont="1" applyBorder="1" applyAlignment="1">
      <alignment vertical="top"/>
    </xf>
    <xf numFmtId="0" fontId="3" fillId="0" borderId="10" xfId="0" applyFont="1" applyBorder="1" applyAlignment="1">
      <alignment vertical="top"/>
    </xf>
    <xf numFmtId="0" fontId="0" fillId="0" borderId="0" xfId="0" applyAlignment="1">
      <alignment vertical="top"/>
    </xf>
    <xf numFmtId="0" fontId="3" fillId="0" borderId="11" xfId="0" applyFont="1" applyBorder="1" applyAlignment="1">
      <alignment vertical="top"/>
    </xf>
    <xf numFmtId="0" fontId="3" fillId="0" borderId="12" xfId="0" applyFont="1" applyBorder="1" applyAlignment="1">
      <alignment vertical="top"/>
    </xf>
    <xf numFmtId="0" fontId="3" fillId="0" borderId="7" xfId="0" applyFont="1" applyBorder="1" applyAlignment="1">
      <alignment vertical="top"/>
    </xf>
    <xf numFmtId="0" fontId="3" fillId="0" borderId="6" xfId="0" applyFont="1" applyBorder="1" applyAlignment="1">
      <alignment vertical="top"/>
    </xf>
    <xf numFmtId="165" fontId="20" fillId="7" borderId="12" xfId="0" applyNumberFormat="1" applyFont="1" applyFill="1" applyBorder="1" applyAlignment="1">
      <alignment horizontal="center"/>
    </xf>
    <xf numFmtId="0" fontId="5" fillId="2" borderId="0" xfId="0" applyFont="1" applyFill="1" applyAlignment="1">
      <alignment wrapText="1"/>
    </xf>
    <xf numFmtId="0" fontId="2" fillId="4" borderId="0" xfId="0" applyFont="1" applyFill="1"/>
    <xf numFmtId="0" fontId="2" fillId="4" borderId="0" xfId="0" applyFont="1" applyFill="1" applyAlignment="1">
      <alignment vertical="top" wrapText="1"/>
    </xf>
    <xf numFmtId="0" fontId="2" fillId="0" borderId="10" xfId="0" applyFont="1" applyBorder="1" applyAlignment="1">
      <alignment wrapText="1"/>
    </xf>
    <xf numFmtId="0" fontId="2" fillId="0" borderId="12" xfId="0" applyFont="1" applyBorder="1" applyAlignment="1">
      <alignment wrapText="1"/>
    </xf>
    <xf numFmtId="0" fontId="16" fillId="5" borderId="1" xfId="0" applyFont="1" applyFill="1" applyBorder="1"/>
    <xf numFmtId="0" fontId="7" fillId="0" borderId="1" xfId="0" applyFont="1" applyBorder="1" applyAlignment="1">
      <alignment horizontal="left" vertical="top" wrapText="1"/>
    </xf>
    <xf numFmtId="0" fontId="5" fillId="0" borderId="8" xfId="0" applyFont="1" applyBorder="1" applyAlignment="1">
      <alignment vertical="top" wrapText="1"/>
    </xf>
    <xf numFmtId="0" fontId="5" fillId="0" borderId="8" xfId="0" applyFont="1" applyBorder="1" applyAlignment="1">
      <alignment wrapText="1"/>
    </xf>
    <xf numFmtId="0" fontId="23" fillId="2" borderId="12" xfId="0" applyFont="1" applyFill="1" applyBorder="1" applyAlignment="1">
      <alignment horizontal="center"/>
    </xf>
    <xf numFmtId="0" fontId="5" fillId="2" borderId="1" xfId="0" applyFont="1" applyFill="1" applyBorder="1" applyAlignment="1">
      <alignment horizontal="center" wrapText="1"/>
    </xf>
    <xf numFmtId="0" fontId="24" fillId="0" borderId="8" xfId="0" applyFont="1" applyBorder="1" applyAlignment="1">
      <alignment vertical="top"/>
    </xf>
    <xf numFmtId="0" fontId="22" fillId="2" borderId="1" xfId="0" applyFont="1" applyFill="1" applyBorder="1" applyAlignment="1">
      <alignment horizontal="center"/>
    </xf>
    <xf numFmtId="0" fontId="5" fillId="0" borderId="1" xfId="0" applyFont="1" applyBorder="1" applyAlignment="1">
      <alignment wrapText="1"/>
    </xf>
    <xf numFmtId="0" fontId="5" fillId="0" borderId="10" xfId="0" applyFont="1" applyBorder="1" applyAlignment="1">
      <alignment wrapText="1"/>
    </xf>
    <xf numFmtId="0" fontId="5" fillId="5" borderId="1" xfId="0" applyFont="1" applyFill="1" applyBorder="1"/>
    <xf numFmtId="0" fontId="2" fillId="0" borderId="8" xfId="0" applyFont="1" applyBorder="1" applyAlignment="1">
      <alignment horizontal="left" wrapText="1"/>
    </xf>
    <xf numFmtId="0" fontId="2" fillId="2" borderId="14" xfId="0" applyFont="1" applyFill="1" applyBorder="1" applyAlignment="1">
      <alignment wrapText="1"/>
    </xf>
    <xf numFmtId="0" fontId="2" fillId="0" borderId="10" xfId="0" applyFont="1" applyBorder="1" applyAlignment="1">
      <alignment horizontal="left" vertical="top" wrapText="1"/>
    </xf>
    <xf numFmtId="0" fontId="2" fillId="0" borderId="12" xfId="0" applyFont="1" applyBorder="1" applyAlignment="1">
      <alignment horizontal="left" vertical="top" wrapText="1"/>
    </xf>
    <xf numFmtId="0" fontId="22" fillId="2" borderId="7" xfId="0" applyFont="1" applyFill="1" applyBorder="1" applyAlignment="1">
      <alignment horizontal="center"/>
    </xf>
    <xf numFmtId="0" fontId="2" fillId="0" borderId="0" xfId="0" applyFont="1" applyAlignment="1">
      <alignment vertical="top"/>
    </xf>
    <xf numFmtId="0" fontId="12" fillId="0" borderId="0" xfId="0" applyFont="1" applyAlignment="1">
      <alignmen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The Retention Curve Over Time</a:t>
            </a:r>
            <a:r>
              <a:rPr lang="en-US" baseline="0"/>
              <a:t> From June 1 to August 17</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'Tab 3 - Retention Cohort Analys'!$D$31:$M$31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'Tab 3 - Retention Cohort Analys'!$D$44:$M$44</c:f>
              <c:numCache>
                <c:formatCode>0%</c:formatCode>
                <c:ptCount val="10"/>
                <c:pt idx="0">
                  <c:v>0.73170841922839203</c:v>
                </c:pt>
                <c:pt idx="1">
                  <c:v>0.69633106883342766</c:v>
                </c:pt>
                <c:pt idx="2">
                  <c:v>0.6569438967422474</c:v>
                </c:pt>
                <c:pt idx="3">
                  <c:v>0.63101811271351138</c:v>
                </c:pt>
                <c:pt idx="4">
                  <c:v>0.58891585575877492</c:v>
                </c:pt>
                <c:pt idx="5">
                  <c:v>0.54864138625403336</c:v>
                </c:pt>
                <c:pt idx="6">
                  <c:v>0.52250044099892556</c:v>
                </c:pt>
                <c:pt idx="7">
                  <c:v>0.48650012103606871</c:v>
                </c:pt>
                <c:pt idx="8">
                  <c:v>0.46567901234567904</c:v>
                </c:pt>
                <c:pt idx="9">
                  <c:v>0.47666666666666668</c:v>
                </c:pt>
              </c:numCache>
            </c:numRef>
          </c:val>
          <c:smooth val="0"/>
          <c:extLst>
            <c:ext xmlns:c16="http://schemas.microsoft.com/office/drawing/2014/chart" uri="{C3380CC4-5D6E-409C-BE32-E72D297353CC}">
              <c16:uniqueId val="{00000000-9ACA-4679-89FA-2D8AAC91E1B4}"/>
            </c:ext>
          </c:extLst>
        </c:ser>
        <c:dLbls>
          <c:showLegendKey val="0"/>
          <c:showVal val="0"/>
          <c:showCatName val="0"/>
          <c:showSerName val="0"/>
          <c:showPercent val="0"/>
          <c:showBubbleSize val="0"/>
        </c:dLbls>
        <c:smooth val="0"/>
        <c:axId val="1332545679"/>
        <c:axId val="1332556079"/>
      </c:lineChart>
      <c:catAx>
        <c:axId val="13325456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users from june</a:t>
                </a:r>
                <a:r>
                  <a:rPr lang="en-US" baseline="0"/>
                  <a:t> 1 to august 17</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2556079"/>
        <c:crosses val="autoZero"/>
        <c:auto val="1"/>
        <c:lblAlgn val="ctr"/>
        <c:lblOffset val="100"/>
        <c:noMultiLvlLbl val="0"/>
      </c:catAx>
      <c:valAx>
        <c:axId val="13325560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total users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254567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0" i="0">
                <a:solidFill>
                  <a:srgbClr val="595959"/>
                </a:solidFill>
                <a:latin typeface="+mn-lt"/>
              </a:defRPr>
            </a:pPr>
            <a:r>
              <a:rPr lang="en-US" sz="2000" b="0" i="0">
                <a:solidFill>
                  <a:srgbClr val="595959"/>
                </a:solidFill>
                <a:latin typeface="+mn-lt"/>
              </a:rPr>
              <a:t>Retention of weekly active cohorts</a:t>
            </a:r>
          </a:p>
        </c:rich>
      </c:tx>
      <c:overlay val="0"/>
    </c:title>
    <c:autoTitleDeleted val="0"/>
    <c:plotArea>
      <c:layout/>
      <c:lineChart>
        <c:grouping val="standard"/>
        <c:varyColors val="1"/>
        <c:ser>
          <c:idx val="0"/>
          <c:order val="0"/>
          <c:spPr>
            <a:ln w="28575" cmpd="sng">
              <a:solidFill>
                <a:srgbClr val="4472C4">
                  <a:alpha val="100000"/>
                </a:srgbClr>
              </a:solidFill>
              <a:prstDash val="solid"/>
            </a:ln>
          </c:spPr>
          <c:marker>
            <c:symbol val="none"/>
          </c:marker>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'Tab 3 - Retention Cohort Analys'!$C$31:$M$31</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 3 - Retention Cohort Analys'!$C$32:$M$32</c:f>
              <c:numCache>
                <c:formatCode>0%</c:formatCode>
                <c:ptCount val="11"/>
                <c:pt idx="0">
                  <c:v>0.99</c:v>
                </c:pt>
                <c:pt idx="1">
                  <c:v>0.7466666666666667</c:v>
                </c:pt>
                <c:pt idx="2">
                  <c:v>0.72333333333333338</c:v>
                </c:pt>
                <c:pt idx="3">
                  <c:v>0.67666666666666664</c:v>
                </c:pt>
                <c:pt idx="4">
                  <c:v>0.64000000000000012</c:v>
                </c:pt>
                <c:pt idx="5">
                  <c:v>0.59666666666666679</c:v>
                </c:pt>
                <c:pt idx="6">
                  <c:v>0.54333333333333333</c:v>
                </c:pt>
                <c:pt idx="7">
                  <c:v>0.52666666666666673</c:v>
                </c:pt>
                <c:pt idx="8">
                  <c:v>0.5</c:v>
                </c:pt>
                <c:pt idx="9">
                  <c:v>0.49000000000000005</c:v>
                </c:pt>
                <c:pt idx="10">
                  <c:v>0.47666666666666668</c:v>
                </c:pt>
              </c:numCache>
            </c:numRef>
          </c:val>
          <c:smooth val="0"/>
          <c:extLst>
            <c:ext xmlns:c16="http://schemas.microsoft.com/office/drawing/2014/chart" uri="{C3380CC4-5D6E-409C-BE32-E72D297353CC}">
              <c16:uniqueId val="{00000000-BC1F-49B4-9D85-C7A9EAA9AE2D}"/>
            </c:ext>
          </c:extLst>
        </c:ser>
        <c:dLbls>
          <c:showLegendKey val="0"/>
          <c:showVal val="0"/>
          <c:showCatName val="0"/>
          <c:showSerName val="0"/>
          <c:showPercent val="0"/>
          <c:showBubbleSize val="0"/>
        </c:dLbls>
        <c:smooth val="0"/>
        <c:axId val="1368333495"/>
        <c:axId val="221848896"/>
      </c:lineChart>
      <c:catAx>
        <c:axId val="1368333495"/>
        <c:scaling>
          <c:orientation val="minMax"/>
        </c:scaling>
        <c:delete val="0"/>
        <c:axPos val="b"/>
        <c:title>
          <c:tx>
            <c:rich>
              <a:bodyPr/>
              <a:lstStyle/>
              <a:p>
                <a:pPr lvl="0">
                  <a:defRPr sz="2000" b="0">
                    <a:solidFill>
                      <a:srgbClr val="000000"/>
                    </a:solidFill>
                    <a:latin typeface="+mn-lt"/>
                  </a:defRPr>
                </a:pPr>
                <a:r>
                  <a:rPr lang="en-US" sz="2000" b="0">
                    <a:solidFill>
                      <a:srgbClr val="000000"/>
                    </a:solidFill>
                    <a:latin typeface="+mn-lt"/>
                  </a:rPr>
                  <a:t>Week</a:t>
                </a:r>
              </a:p>
            </c:rich>
          </c:tx>
          <c:overlay val="0"/>
        </c:title>
        <c:numFmt formatCode="General" sourceLinked="1"/>
        <c:majorTickMark val="none"/>
        <c:minorTickMark val="none"/>
        <c:tickLblPos val="nextTo"/>
        <c:txPr>
          <a:bodyPr rot="-16800000"/>
          <a:lstStyle/>
          <a:p>
            <a:pPr lvl="0">
              <a:defRPr sz="1600" b="0" i="0">
                <a:solidFill>
                  <a:srgbClr val="595959"/>
                </a:solidFill>
                <a:latin typeface="+mn-lt"/>
              </a:defRPr>
            </a:pPr>
            <a:endParaRPr lang="en-US"/>
          </a:p>
        </c:txPr>
        <c:crossAx val="221848896"/>
        <c:crosses val="autoZero"/>
        <c:auto val="1"/>
        <c:lblAlgn val="ctr"/>
        <c:lblOffset val="100"/>
        <c:noMultiLvlLbl val="1"/>
      </c:catAx>
      <c:valAx>
        <c:axId val="221848896"/>
        <c:scaling>
          <c:orientation val="minMax"/>
          <c:max val="1"/>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sz="2000" b="0">
                    <a:solidFill>
                      <a:srgbClr val="000000"/>
                    </a:solidFill>
                    <a:latin typeface="+mn-lt"/>
                  </a:defRPr>
                </a:pPr>
                <a:r>
                  <a:rPr lang="en-US" sz="2000" b="0">
                    <a:solidFill>
                      <a:srgbClr val="000000"/>
                    </a:solidFill>
                    <a:latin typeface="+mn-lt"/>
                  </a:rPr>
                  <a:t>% Of weekly active users </a:t>
                </a:r>
              </a:p>
            </c:rich>
          </c:tx>
          <c:overlay val="0"/>
        </c:title>
        <c:numFmt formatCode="0%" sourceLinked="1"/>
        <c:majorTickMark val="none"/>
        <c:minorTickMark val="none"/>
        <c:tickLblPos val="nextTo"/>
        <c:spPr>
          <a:ln/>
        </c:spPr>
        <c:txPr>
          <a:bodyPr/>
          <a:lstStyle/>
          <a:p>
            <a:pPr lvl="0">
              <a:defRPr b="0" i="0">
                <a:solidFill>
                  <a:srgbClr val="595959"/>
                </a:solidFill>
                <a:latin typeface="+mn-lt"/>
              </a:defRPr>
            </a:pPr>
            <a:endParaRPr lang="en-US"/>
          </a:p>
        </c:txPr>
        <c:crossAx val="1368333495"/>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of Retained Users - Account Size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5 - Retention Segmentation'!$A$135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'Tab 5 - Retention Segmentation'!$C$135:$Q$135</c:f>
              <c:numCache>
                <c:formatCode>0%</c:formatCode>
                <c:ptCount val="15"/>
                <c:pt idx="0">
                  <c:v>0.45789473684210524</c:v>
                </c:pt>
                <c:pt idx="1">
                  <c:v>0.42126315789473689</c:v>
                </c:pt>
                <c:pt idx="2">
                  <c:v>0.39177473684210529</c:v>
                </c:pt>
                <c:pt idx="3">
                  <c:v>0.36435050526315793</c:v>
                </c:pt>
                <c:pt idx="4">
                  <c:v>0.35706349515789476</c:v>
                </c:pt>
                <c:pt idx="5">
                  <c:v>0.33563968544842104</c:v>
                </c:pt>
                <c:pt idx="6">
                  <c:v>0.32892689173945261</c:v>
                </c:pt>
                <c:pt idx="7">
                  <c:v>0.3026127404002964</c:v>
                </c:pt>
                <c:pt idx="8">
                  <c:v>0.27235146636026675</c:v>
                </c:pt>
                <c:pt idx="9">
                  <c:v>0.26690443703306138</c:v>
                </c:pt>
                <c:pt idx="10">
                  <c:v>0.26423539266273077</c:v>
                </c:pt>
                <c:pt idx="11">
                  <c:v>0.25102362302959425</c:v>
                </c:pt>
                <c:pt idx="12">
                  <c:v>0.22843149695693074</c:v>
                </c:pt>
                <c:pt idx="13">
                  <c:v>0.20558834726123768</c:v>
                </c:pt>
                <c:pt idx="14">
                  <c:v>0.2014765803160129</c:v>
                </c:pt>
              </c:numCache>
            </c:numRef>
          </c:val>
          <c:smooth val="0"/>
          <c:extLst>
            <c:ext xmlns:c16="http://schemas.microsoft.com/office/drawing/2014/chart" uri="{C3380CC4-5D6E-409C-BE32-E72D297353CC}">
              <c16:uniqueId val="{00000000-73D1-4B0C-8573-A264D73DB96E}"/>
            </c:ext>
          </c:extLst>
        </c:ser>
        <c:ser>
          <c:idx val="1"/>
          <c:order val="1"/>
          <c:tx>
            <c:strRef>
              <c:f>'Tab 5 - Retention Segmentation'!$A$136</c:f>
              <c:strCache>
                <c:ptCount val="1"/>
                <c:pt idx="0">
                  <c:v>1 - 2</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'Tab 5 - Retention Segmentation'!$C$136:$Q$136</c:f>
              <c:numCache>
                <c:formatCode>0%</c:formatCode>
                <c:ptCount val="15"/>
                <c:pt idx="0">
                  <c:v>0.52400000000000002</c:v>
                </c:pt>
                <c:pt idx="1">
                  <c:v>0.48732000000000003</c:v>
                </c:pt>
                <c:pt idx="2">
                  <c:v>0.46295400000000003</c:v>
                </c:pt>
                <c:pt idx="3">
                  <c:v>0.43980629999999998</c:v>
                </c:pt>
                <c:pt idx="4">
                  <c:v>0.41781598499999995</c:v>
                </c:pt>
                <c:pt idx="5">
                  <c:v>0.37603438649999998</c:v>
                </c:pt>
                <c:pt idx="6">
                  <c:v>0.35347232331</c:v>
                </c:pt>
                <c:pt idx="7">
                  <c:v>0.3357987071445</c:v>
                </c:pt>
                <c:pt idx="8">
                  <c:v>0.31900877178727494</c:v>
                </c:pt>
                <c:pt idx="9">
                  <c:v>0.30305833319791114</c:v>
                </c:pt>
                <c:pt idx="10">
                  <c:v>0.28790541653801555</c:v>
                </c:pt>
                <c:pt idx="11">
                  <c:v>0.27351014571111476</c:v>
                </c:pt>
                <c:pt idx="12">
                  <c:v>0.25983463842555904</c:v>
                </c:pt>
                <c:pt idx="13">
                  <c:v>0.24684290650428106</c:v>
                </c:pt>
                <c:pt idx="14">
                  <c:v>0.23450076117906701</c:v>
                </c:pt>
              </c:numCache>
            </c:numRef>
          </c:val>
          <c:smooth val="0"/>
          <c:extLst>
            <c:ext xmlns:c16="http://schemas.microsoft.com/office/drawing/2014/chart" uri="{C3380CC4-5D6E-409C-BE32-E72D297353CC}">
              <c16:uniqueId val="{00000001-73D1-4B0C-8573-A264D73DB96E}"/>
            </c:ext>
          </c:extLst>
        </c:ser>
        <c:ser>
          <c:idx val="2"/>
          <c:order val="2"/>
          <c:tx>
            <c:strRef>
              <c:f>'Tab 5 - Retention Segmentation'!$A$137</c:f>
              <c:strCache>
                <c:ptCount val="1"/>
                <c:pt idx="0">
                  <c:v>2 - 5</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'Tab 5 - Retention Segmentation'!$C$137:$Q$137</c:f>
              <c:numCache>
                <c:formatCode>0%</c:formatCode>
                <c:ptCount val="15"/>
                <c:pt idx="0">
                  <c:v>0.64800000000000002</c:v>
                </c:pt>
                <c:pt idx="1">
                  <c:v>0.61560000000000004</c:v>
                </c:pt>
                <c:pt idx="2">
                  <c:v>0.58482000000000001</c:v>
                </c:pt>
                <c:pt idx="3">
                  <c:v>0.55557900000000005</c:v>
                </c:pt>
                <c:pt idx="4">
                  <c:v>0.52780005000000008</c:v>
                </c:pt>
                <c:pt idx="5">
                  <c:v>0.50141004750000007</c:v>
                </c:pt>
                <c:pt idx="6">
                  <c:v>0.47633954512499999</c:v>
                </c:pt>
                <c:pt idx="7">
                  <c:v>0.45252256786874995</c:v>
                </c:pt>
                <c:pt idx="8">
                  <c:v>0.42989643947531242</c:v>
                </c:pt>
                <c:pt idx="9">
                  <c:v>0.4084016175015468</c:v>
                </c:pt>
                <c:pt idx="10">
                  <c:v>0.38798153662646945</c:v>
                </c:pt>
                <c:pt idx="11">
                  <c:v>0.36858245979514598</c:v>
                </c:pt>
                <c:pt idx="12">
                  <c:v>0.35015333680538863</c:v>
                </c:pt>
                <c:pt idx="13">
                  <c:v>0.33264566996511918</c:v>
                </c:pt>
                <c:pt idx="14">
                  <c:v>0.31601338646686322</c:v>
                </c:pt>
              </c:numCache>
            </c:numRef>
          </c:val>
          <c:smooth val="0"/>
          <c:extLst>
            <c:ext xmlns:c16="http://schemas.microsoft.com/office/drawing/2014/chart" uri="{C3380CC4-5D6E-409C-BE32-E72D297353CC}">
              <c16:uniqueId val="{00000002-73D1-4B0C-8573-A264D73DB96E}"/>
            </c:ext>
          </c:extLst>
        </c:ser>
        <c:ser>
          <c:idx val="3"/>
          <c:order val="3"/>
          <c:tx>
            <c:strRef>
              <c:f>'Tab 5 - Retention Segmentation'!$A$138</c:f>
              <c:strCache>
                <c:ptCount val="1"/>
                <c:pt idx="0">
                  <c:v>5 - 10</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'Tab 5 - Retention Segmentation'!$C$138:$Q$138</c:f>
              <c:numCache>
                <c:formatCode>0%</c:formatCode>
                <c:ptCount val="15"/>
                <c:pt idx="0">
                  <c:v>0.62857142857142856</c:v>
                </c:pt>
                <c:pt idx="1">
                  <c:v>0.92</c:v>
                </c:pt>
                <c:pt idx="2">
                  <c:v>0.95</c:v>
                </c:pt>
                <c:pt idx="3">
                  <c:v>0.95</c:v>
                </c:pt>
                <c:pt idx="4">
                  <c:v>0.94999999999999984</c:v>
                </c:pt>
                <c:pt idx="5">
                  <c:v>0.95</c:v>
                </c:pt>
                <c:pt idx="6">
                  <c:v>0.95</c:v>
                </c:pt>
                <c:pt idx="7">
                  <c:v>0.95</c:v>
                </c:pt>
                <c:pt idx="8">
                  <c:v>0.95</c:v>
                </c:pt>
                <c:pt idx="9">
                  <c:v>0.95000000000000007</c:v>
                </c:pt>
                <c:pt idx="10">
                  <c:v>0.95</c:v>
                </c:pt>
                <c:pt idx="11">
                  <c:v>0.34624101857670808</c:v>
                </c:pt>
                <c:pt idx="12">
                  <c:v>0.32892896764787266</c:v>
                </c:pt>
                <c:pt idx="13">
                  <c:v>0.31248251926547904</c:v>
                </c:pt>
                <c:pt idx="14">
                  <c:v>0.29685839330220509</c:v>
                </c:pt>
              </c:numCache>
            </c:numRef>
          </c:val>
          <c:smooth val="0"/>
          <c:extLst>
            <c:ext xmlns:c16="http://schemas.microsoft.com/office/drawing/2014/chart" uri="{C3380CC4-5D6E-409C-BE32-E72D297353CC}">
              <c16:uniqueId val="{00000003-73D1-4B0C-8573-A264D73DB96E}"/>
            </c:ext>
          </c:extLst>
        </c:ser>
        <c:ser>
          <c:idx val="4"/>
          <c:order val="4"/>
          <c:tx>
            <c:strRef>
              <c:f>'Tab 5 - Retention Segmentation'!$A$139</c:f>
              <c:strCache>
                <c:ptCount val="1"/>
                <c:pt idx="0">
                  <c:v>10 - 20</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val>
            <c:numRef>
              <c:f>'Tab 5 - Retention Segmentation'!$C$139:$Q$139</c:f>
              <c:numCache>
                <c:formatCode>0%</c:formatCode>
                <c:ptCount val="15"/>
                <c:pt idx="0">
                  <c:v>0.42399999999999999</c:v>
                </c:pt>
                <c:pt idx="1">
                  <c:v>0.41127999999999998</c:v>
                </c:pt>
                <c:pt idx="2">
                  <c:v>0.39071599999999995</c:v>
                </c:pt>
                <c:pt idx="3">
                  <c:v>0.37118019999999996</c:v>
                </c:pt>
                <c:pt idx="4">
                  <c:v>0.35262118999999997</c:v>
                </c:pt>
                <c:pt idx="5">
                  <c:v>0.33499013049999998</c:v>
                </c:pt>
                <c:pt idx="6">
                  <c:v>0.31824062397499997</c:v>
                </c:pt>
                <c:pt idx="7">
                  <c:v>0.30232859277624996</c:v>
                </c:pt>
                <c:pt idx="8">
                  <c:v>0.28721216313743742</c:v>
                </c:pt>
                <c:pt idx="9">
                  <c:v>0.27285155498056551</c:v>
                </c:pt>
                <c:pt idx="10">
                  <c:v>0.25920897723153724</c:v>
                </c:pt>
                <c:pt idx="11">
                  <c:v>0.24624852836996036</c:v>
                </c:pt>
                <c:pt idx="12">
                  <c:v>0.23393610195146233</c:v>
                </c:pt>
                <c:pt idx="13">
                  <c:v>0.22223929685388918</c:v>
                </c:pt>
                <c:pt idx="14">
                  <c:v>0.21112733201119471</c:v>
                </c:pt>
              </c:numCache>
            </c:numRef>
          </c:val>
          <c:smooth val="0"/>
          <c:extLst>
            <c:ext xmlns:c16="http://schemas.microsoft.com/office/drawing/2014/chart" uri="{C3380CC4-5D6E-409C-BE32-E72D297353CC}">
              <c16:uniqueId val="{00000004-73D1-4B0C-8573-A264D73DB96E}"/>
            </c:ext>
          </c:extLst>
        </c:ser>
        <c:ser>
          <c:idx val="5"/>
          <c:order val="5"/>
          <c:tx>
            <c:strRef>
              <c:f>'Tab 5 - Retention Segmentation'!$A$140</c:f>
              <c:strCache>
                <c:ptCount val="1"/>
                <c:pt idx="0">
                  <c:v>20 - 50</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val>
            <c:numRef>
              <c:f>'Tab 5 - Retention Segmentation'!$C$140:$Q$140</c:f>
              <c:numCache>
                <c:formatCode>0%</c:formatCode>
                <c:ptCount val="15"/>
                <c:pt idx="0">
                  <c:v>0.32727272727272727</c:v>
                </c:pt>
                <c:pt idx="1">
                  <c:v>0.30436363636363639</c:v>
                </c:pt>
                <c:pt idx="2">
                  <c:v>0.28914545454545454</c:v>
                </c:pt>
                <c:pt idx="3">
                  <c:v>0.27468818181818178</c:v>
                </c:pt>
                <c:pt idx="4">
                  <c:v>0.26095377272727271</c:v>
                </c:pt>
                <c:pt idx="5">
                  <c:v>0.24790608409090906</c:v>
                </c:pt>
                <c:pt idx="6">
                  <c:v>0.2355107798863636</c:v>
                </c:pt>
                <c:pt idx="7">
                  <c:v>0.22373524089204541</c:v>
                </c:pt>
                <c:pt idx="8">
                  <c:v>0.2125484788474431</c:v>
                </c:pt>
                <c:pt idx="9">
                  <c:v>0.20192105490507095</c:v>
                </c:pt>
                <c:pt idx="10">
                  <c:v>0.19182500215981738</c:v>
                </c:pt>
                <c:pt idx="11">
                  <c:v>0.18223375205182651</c:v>
                </c:pt>
                <c:pt idx="12">
                  <c:v>0.17312206444923517</c:v>
                </c:pt>
                <c:pt idx="13">
                  <c:v>0.16446596122677337</c:v>
                </c:pt>
                <c:pt idx="14">
                  <c:v>0.1562426631654347</c:v>
                </c:pt>
              </c:numCache>
            </c:numRef>
          </c:val>
          <c:smooth val="0"/>
          <c:extLst>
            <c:ext xmlns:c16="http://schemas.microsoft.com/office/drawing/2014/chart" uri="{C3380CC4-5D6E-409C-BE32-E72D297353CC}">
              <c16:uniqueId val="{00000005-73D1-4B0C-8573-A264D73DB96E}"/>
            </c:ext>
          </c:extLst>
        </c:ser>
        <c:ser>
          <c:idx val="6"/>
          <c:order val="6"/>
          <c:tx>
            <c:strRef>
              <c:f>'Tab 5 - Retention Segmentation'!$A$141</c:f>
              <c:strCache>
                <c:ptCount val="1"/>
                <c:pt idx="0">
                  <c:v>50 - 100</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val>
            <c:numRef>
              <c:f>'Tab 5 - Retention Segmentation'!$C$141:$Q$141</c:f>
              <c:numCache>
                <c:formatCode>0%</c:formatCode>
                <c:ptCount val="15"/>
                <c:pt idx="0">
                  <c:v>0.25185185185185183</c:v>
                </c:pt>
                <c:pt idx="1">
                  <c:v>0.23925925925925923</c:v>
                </c:pt>
                <c:pt idx="2">
                  <c:v>0.22729629629629627</c:v>
                </c:pt>
                <c:pt idx="3">
                  <c:v>0.21593148148148145</c:v>
                </c:pt>
                <c:pt idx="4">
                  <c:v>0.20513490740740736</c:v>
                </c:pt>
                <c:pt idx="5">
                  <c:v>0.19487816203703698</c:v>
                </c:pt>
                <c:pt idx="6">
                  <c:v>0.18513425393518512</c:v>
                </c:pt>
                <c:pt idx="7">
                  <c:v>0.17587754123842586</c:v>
                </c:pt>
                <c:pt idx="8">
                  <c:v>0.16708366417650455</c:v>
                </c:pt>
                <c:pt idx="9">
                  <c:v>0.15872948096767933</c:v>
                </c:pt>
                <c:pt idx="10">
                  <c:v>0.15079300691929534</c:v>
                </c:pt>
                <c:pt idx="11">
                  <c:v>0.14325335657333055</c:v>
                </c:pt>
                <c:pt idx="12">
                  <c:v>0.13609068874466404</c:v>
                </c:pt>
                <c:pt idx="13">
                  <c:v>0.12928615430743082</c:v>
                </c:pt>
                <c:pt idx="14">
                  <c:v>0.12282184659205929</c:v>
                </c:pt>
              </c:numCache>
            </c:numRef>
          </c:val>
          <c:smooth val="0"/>
          <c:extLst>
            <c:ext xmlns:c16="http://schemas.microsoft.com/office/drawing/2014/chart" uri="{C3380CC4-5D6E-409C-BE32-E72D297353CC}">
              <c16:uniqueId val="{00000006-73D1-4B0C-8573-A264D73DB96E}"/>
            </c:ext>
          </c:extLst>
        </c:ser>
        <c:ser>
          <c:idx val="7"/>
          <c:order val="7"/>
          <c:tx>
            <c:strRef>
              <c:f>'Tab 5 - Retention Segmentation'!$A$142</c:f>
              <c:strCache>
                <c:ptCount val="1"/>
                <c:pt idx="0">
                  <c:v>100+</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val>
            <c:numRef>
              <c:f>'Tab 5 - Retention Segmentation'!$C$142:$Q$142</c:f>
              <c:numCache>
                <c:formatCode>0%</c:formatCode>
                <c:ptCount val="15"/>
                <c:pt idx="0">
                  <c:v>0.21</c:v>
                </c:pt>
                <c:pt idx="1">
                  <c:v>0.94</c:v>
                </c:pt>
                <c:pt idx="2">
                  <c:v>0.95</c:v>
                </c:pt>
                <c:pt idx="3">
                  <c:v>0.95</c:v>
                </c:pt>
                <c:pt idx="4">
                  <c:v>0.95000000000000007</c:v>
                </c:pt>
                <c:pt idx="5">
                  <c:v>0.95</c:v>
                </c:pt>
                <c:pt idx="6">
                  <c:v>0.95</c:v>
                </c:pt>
                <c:pt idx="7">
                  <c:v>0.95</c:v>
                </c:pt>
                <c:pt idx="8">
                  <c:v>0.95</c:v>
                </c:pt>
                <c:pt idx="9">
                  <c:v>0.95</c:v>
                </c:pt>
                <c:pt idx="10">
                  <c:v>0.12441123347963781</c:v>
                </c:pt>
                <c:pt idx="11">
                  <c:v>0.11819067180565591</c:v>
                </c:pt>
                <c:pt idx="12">
                  <c:v>0.11228113821537311</c:v>
                </c:pt>
                <c:pt idx="13">
                  <c:v>0.10666708130460446</c:v>
                </c:pt>
                <c:pt idx="14">
                  <c:v>0.10133372723937423</c:v>
                </c:pt>
              </c:numCache>
            </c:numRef>
          </c:val>
          <c:smooth val="0"/>
          <c:extLst>
            <c:ext xmlns:c16="http://schemas.microsoft.com/office/drawing/2014/chart" uri="{C3380CC4-5D6E-409C-BE32-E72D297353CC}">
              <c16:uniqueId val="{00000007-73D1-4B0C-8573-A264D73DB96E}"/>
            </c:ext>
          </c:extLst>
        </c:ser>
        <c:dLbls>
          <c:showLegendKey val="0"/>
          <c:showVal val="0"/>
          <c:showCatName val="0"/>
          <c:showSerName val="0"/>
          <c:showPercent val="0"/>
          <c:showBubbleSize val="0"/>
        </c:dLbls>
        <c:smooth val="0"/>
        <c:axId val="881096704"/>
        <c:axId val="881087136"/>
      </c:lineChart>
      <c:catAx>
        <c:axId val="881096704"/>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087136"/>
        <c:crosses val="autoZero"/>
        <c:auto val="1"/>
        <c:lblAlgn val="ctr"/>
        <c:lblOffset val="100"/>
        <c:noMultiLvlLbl val="0"/>
      </c:catAx>
      <c:valAx>
        <c:axId val="88108713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096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of Retained Users - Lead Source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5 - Retention Segmentation'!$A$185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'Tab 5 - Retention Segmentation'!$C$185:$Q$185</c:f>
              <c:numCache>
                <c:formatCode>0%</c:formatCode>
                <c:ptCount val="15"/>
                <c:pt idx="0">
                  <c:v>0.58389261744966447</c:v>
                </c:pt>
                <c:pt idx="1">
                  <c:v>0.53718120805369129</c:v>
                </c:pt>
                <c:pt idx="2">
                  <c:v>0.49957852348993292</c:v>
                </c:pt>
                <c:pt idx="3">
                  <c:v>0.46460802684563762</c:v>
                </c:pt>
                <c:pt idx="4">
                  <c:v>0.45531586630872484</c:v>
                </c:pt>
                <c:pt idx="5">
                  <c:v>0.42799691433020132</c:v>
                </c:pt>
                <c:pt idx="6">
                  <c:v>0.41943697604359725</c:v>
                </c:pt>
                <c:pt idx="7">
                  <c:v>0.38588201796010946</c:v>
                </c:pt>
                <c:pt idx="8">
                  <c:v>0.34729381616409849</c:v>
                </c:pt>
                <c:pt idx="9">
                  <c:v>0.34034793984081652</c:v>
                </c:pt>
                <c:pt idx="10">
                  <c:v>0.33694446044240839</c:v>
                </c:pt>
                <c:pt idx="11">
                  <c:v>0.32009723742028795</c:v>
                </c:pt>
                <c:pt idx="12">
                  <c:v>0.29128848605246205</c:v>
                </c:pt>
                <c:pt idx="13">
                  <c:v>0.26215963744721582</c:v>
                </c:pt>
                <c:pt idx="14">
                  <c:v>0.25691644469827146</c:v>
                </c:pt>
              </c:numCache>
            </c:numRef>
          </c:val>
          <c:smooth val="0"/>
          <c:extLst>
            <c:ext xmlns:c16="http://schemas.microsoft.com/office/drawing/2014/chart" uri="{C3380CC4-5D6E-409C-BE32-E72D297353CC}">
              <c16:uniqueId val="{00000000-DA4F-41BC-B8A6-B3EE8741BBDC}"/>
            </c:ext>
          </c:extLst>
        </c:ser>
        <c:ser>
          <c:idx val="1"/>
          <c:order val="1"/>
          <c:tx>
            <c:strRef>
              <c:f>'Tab 5 - Retention Segmentation'!$A$186</c:f>
              <c:strCache>
                <c:ptCount val="1"/>
                <c:pt idx="0">
                  <c:v>Pricing Page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'Tab 5 - Retention Segmentation'!$C$186:$Q$186</c:f>
              <c:numCache>
                <c:formatCode>0%</c:formatCode>
                <c:ptCount val="15"/>
                <c:pt idx="0">
                  <c:v>0.52800000000000002</c:v>
                </c:pt>
                <c:pt idx="1">
                  <c:v>0.48576000000000003</c:v>
                </c:pt>
                <c:pt idx="2">
                  <c:v>0.46147200000000005</c:v>
                </c:pt>
                <c:pt idx="3">
                  <c:v>0.43839840000000002</c:v>
                </c:pt>
                <c:pt idx="4">
                  <c:v>0.41647847999999998</c:v>
                </c:pt>
                <c:pt idx="5">
                  <c:v>0.39565455599999994</c:v>
                </c:pt>
                <c:pt idx="6">
                  <c:v>0.37587182819999992</c:v>
                </c:pt>
                <c:pt idx="7">
                  <c:v>0.35707823678999989</c:v>
                </c:pt>
                <c:pt idx="8">
                  <c:v>0.33922432495049987</c:v>
                </c:pt>
                <c:pt idx="9">
                  <c:v>0.32226310870297487</c:v>
                </c:pt>
                <c:pt idx="10">
                  <c:v>0.30614995326782612</c:v>
                </c:pt>
                <c:pt idx="11">
                  <c:v>0.29084245560443478</c:v>
                </c:pt>
                <c:pt idx="12">
                  <c:v>0.27630033282421307</c:v>
                </c:pt>
                <c:pt idx="13">
                  <c:v>0.26248531618300242</c:v>
                </c:pt>
                <c:pt idx="14">
                  <c:v>0.24936105037385226</c:v>
                </c:pt>
              </c:numCache>
            </c:numRef>
          </c:val>
          <c:smooth val="0"/>
          <c:extLst>
            <c:ext xmlns:c16="http://schemas.microsoft.com/office/drawing/2014/chart" uri="{C3380CC4-5D6E-409C-BE32-E72D297353CC}">
              <c16:uniqueId val="{00000001-DA4F-41BC-B8A6-B3EE8741BBDC}"/>
            </c:ext>
          </c:extLst>
        </c:ser>
        <c:ser>
          <c:idx val="2"/>
          <c:order val="2"/>
          <c:tx>
            <c:strRef>
              <c:f>'Tab 5 - Retention Segmentation'!$A$187</c:f>
              <c:strCache>
                <c:ptCount val="1"/>
                <c:pt idx="0">
                  <c:v>Free Trial Page</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'Tab 5 - Retention Segmentation'!$C$187:$Q$187</c:f>
              <c:numCache>
                <c:formatCode>0%</c:formatCode>
                <c:ptCount val="15"/>
                <c:pt idx="0">
                  <c:v>0.52258064516129032</c:v>
                </c:pt>
                <c:pt idx="1">
                  <c:v>0.49645161290322581</c:v>
                </c:pt>
                <c:pt idx="2">
                  <c:v>0.47162903225806457</c:v>
                </c:pt>
                <c:pt idx="3">
                  <c:v>0.44804758064516137</c:v>
                </c:pt>
                <c:pt idx="4">
                  <c:v>0.42564520161290326</c:v>
                </c:pt>
                <c:pt idx="5">
                  <c:v>0.4043629415322581</c:v>
                </c:pt>
                <c:pt idx="6">
                  <c:v>0.38414479445564514</c:v>
                </c:pt>
                <c:pt idx="7">
                  <c:v>0.36493755473286288</c:v>
                </c:pt>
                <c:pt idx="8">
                  <c:v>0.34669067699621969</c:v>
                </c:pt>
                <c:pt idx="9">
                  <c:v>0.32935614314640871</c:v>
                </c:pt>
                <c:pt idx="10">
                  <c:v>0.31288833598908827</c:v>
                </c:pt>
                <c:pt idx="11">
                  <c:v>0.29724391918963383</c:v>
                </c:pt>
                <c:pt idx="12">
                  <c:v>0.28238172323015209</c:v>
                </c:pt>
                <c:pt idx="13">
                  <c:v>0.2682626370686445</c:v>
                </c:pt>
                <c:pt idx="14">
                  <c:v>0.25484950521521227</c:v>
                </c:pt>
              </c:numCache>
            </c:numRef>
          </c:val>
          <c:smooth val="0"/>
          <c:extLst>
            <c:ext xmlns:c16="http://schemas.microsoft.com/office/drawing/2014/chart" uri="{C3380CC4-5D6E-409C-BE32-E72D297353CC}">
              <c16:uniqueId val="{00000002-DA4F-41BC-B8A6-B3EE8741BBDC}"/>
            </c:ext>
          </c:extLst>
        </c:ser>
        <c:ser>
          <c:idx val="3"/>
          <c:order val="3"/>
          <c:tx>
            <c:strRef>
              <c:f>'Tab 5 - Retention Segmentation'!$A$188</c:f>
              <c:strCache>
                <c:ptCount val="1"/>
                <c:pt idx="0">
                  <c:v>Referral link</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'Tab 5 - Retention Segmentation'!$C$188:$Q$188</c:f>
              <c:numCache>
                <c:formatCode>0%</c:formatCode>
                <c:ptCount val="15"/>
                <c:pt idx="0">
                  <c:v>0.67179487179487174</c:v>
                </c:pt>
                <c:pt idx="1">
                  <c:v>0.62476923076923085</c:v>
                </c:pt>
                <c:pt idx="2">
                  <c:v>0.5935307692307692</c:v>
                </c:pt>
                <c:pt idx="3">
                  <c:v>0.56385423076923069</c:v>
                </c:pt>
                <c:pt idx="4">
                  <c:v>0.53566151923076921</c:v>
                </c:pt>
                <c:pt idx="5">
                  <c:v>0.48209536730769226</c:v>
                </c:pt>
                <c:pt idx="6">
                  <c:v>0.45316964526923076</c:v>
                </c:pt>
                <c:pt idx="7">
                  <c:v>0.43051116300576919</c:v>
                </c:pt>
                <c:pt idx="8">
                  <c:v>0.40898560485548069</c:v>
                </c:pt>
                <c:pt idx="9">
                  <c:v>0.38853632461270665</c:v>
                </c:pt>
                <c:pt idx="10">
                  <c:v>0.36910950838207124</c:v>
                </c:pt>
                <c:pt idx="11">
                  <c:v>0.35065403296296765</c:v>
                </c:pt>
                <c:pt idx="12">
                  <c:v>0.3331213313148193</c:v>
                </c:pt>
                <c:pt idx="13">
                  <c:v>0.31646526474907832</c:v>
                </c:pt>
                <c:pt idx="14">
                  <c:v>0.3006420015116244</c:v>
                </c:pt>
              </c:numCache>
            </c:numRef>
          </c:val>
          <c:smooth val="0"/>
          <c:extLst>
            <c:ext xmlns:c16="http://schemas.microsoft.com/office/drawing/2014/chart" uri="{C3380CC4-5D6E-409C-BE32-E72D297353CC}">
              <c16:uniqueId val="{00000003-DA4F-41BC-B8A6-B3EE8741BBDC}"/>
            </c:ext>
          </c:extLst>
        </c:ser>
        <c:ser>
          <c:idx val="4"/>
          <c:order val="4"/>
          <c:tx>
            <c:strRef>
              <c:f>'Tab 5 - Retention Segmentation'!$A$189</c:f>
              <c:strCache>
                <c:ptCount val="1"/>
                <c:pt idx="0">
                  <c:v>Team Invitation</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val>
            <c:numRef>
              <c:f>'Tab 5 - Retention Segmentation'!$C$189:$Q$189</c:f>
              <c:numCache>
                <c:formatCode>0%</c:formatCode>
                <c:ptCount val="15"/>
                <c:pt idx="0">
                  <c:v>0.65454545454545454</c:v>
                </c:pt>
                <c:pt idx="1">
                  <c:v>0.60872727272727278</c:v>
                </c:pt>
                <c:pt idx="2">
                  <c:v>0.57829090909090908</c:v>
                </c:pt>
                <c:pt idx="3">
                  <c:v>0.54937636363636355</c:v>
                </c:pt>
                <c:pt idx="4">
                  <c:v>0.52190754545454543</c:v>
                </c:pt>
                <c:pt idx="5">
                  <c:v>0.49581216818181811</c:v>
                </c:pt>
                <c:pt idx="6">
                  <c:v>0.47102155977272719</c:v>
                </c:pt>
                <c:pt idx="7">
                  <c:v>0.44747048178409082</c:v>
                </c:pt>
                <c:pt idx="8">
                  <c:v>0.4250969576948862</c:v>
                </c:pt>
                <c:pt idx="9">
                  <c:v>0.4038421098101419</c:v>
                </c:pt>
                <c:pt idx="10">
                  <c:v>0.38365000431963475</c:v>
                </c:pt>
                <c:pt idx="11">
                  <c:v>0.36446750410365303</c:v>
                </c:pt>
                <c:pt idx="12">
                  <c:v>0.34624412889847034</c:v>
                </c:pt>
                <c:pt idx="13">
                  <c:v>0.32893192245354674</c:v>
                </c:pt>
                <c:pt idx="14">
                  <c:v>0.3124853263308694</c:v>
                </c:pt>
              </c:numCache>
            </c:numRef>
          </c:val>
          <c:smooth val="0"/>
          <c:extLst>
            <c:ext xmlns:c16="http://schemas.microsoft.com/office/drawing/2014/chart" uri="{C3380CC4-5D6E-409C-BE32-E72D297353CC}">
              <c16:uniqueId val="{00000004-DA4F-41BC-B8A6-B3EE8741BBDC}"/>
            </c:ext>
          </c:extLst>
        </c:ser>
        <c:ser>
          <c:idx val="5"/>
          <c:order val="5"/>
          <c:tx>
            <c:strRef>
              <c:f>'Tab 5 - Retention Segmentation'!$A$190</c:f>
              <c:strCache>
                <c:ptCount val="1"/>
                <c:pt idx="0">
                  <c:v>Blog Page</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val>
            <c:numRef>
              <c:f>'Tab 5 - Retention Segmentation'!$C$190:$Q$190</c:f>
              <c:numCache>
                <c:formatCode>0%</c:formatCode>
                <c:ptCount val="15"/>
                <c:pt idx="0">
                  <c:v>0.24651162790697675</c:v>
                </c:pt>
                <c:pt idx="1">
                  <c:v>0.23911627906976743</c:v>
                </c:pt>
                <c:pt idx="2">
                  <c:v>0.22716046511627905</c:v>
                </c:pt>
                <c:pt idx="3">
                  <c:v>0.2158024418604651</c:v>
                </c:pt>
                <c:pt idx="4">
                  <c:v>0.20501231976744183</c:v>
                </c:pt>
                <c:pt idx="5">
                  <c:v>0.19476170377906973</c:v>
                </c:pt>
                <c:pt idx="6">
                  <c:v>0.18502361859011626</c:v>
                </c:pt>
                <c:pt idx="7">
                  <c:v>0.17577243766061043</c:v>
                </c:pt>
                <c:pt idx="8">
                  <c:v>0.1669838157775799</c:v>
                </c:pt>
                <c:pt idx="9">
                  <c:v>0.1586346249887009</c:v>
                </c:pt>
                <c:pt idx="10">
                  <c:v>0.15070289373926582</c:v>
                </c:pt>
                <c:pt idx="11">
                  <c:v>0.14316774905230253</c:v>
                </c:pt>
                <c:pt idx="12">
                  <c:v>0.13600936159968741</c:v>
                </c:pt>
                <c:pt idx="13">
                  <c:v>0.12920889351970302</c:v>
                </c:pt>
                <c:pt idx="14">
                  <c:v>0.12274844884371786</c:v>
                </c:pt>
              </c:numCache>
            </c:numRef>
          </c:val>
          <c:smooth val="0"/>
          <c:extLst>
            <c:ext xmlns:c16="http://schemas.microsoft.com/office/drawing/2014/chart" uri="{C3380CC4-5D6E-409C-BE32-E72D297353CC}">
              <c16:uniqueId val="{00000005-DA4F-41BC-B8A6-B3EE8741BBDC}"/>
            </c:ext>
          </c:extLst>
        </c:ser>
        <c:dLbls>
          <c:showLegendKey val="0"/>
          <c:showVal val="0"/>
          <c:showCatName val="0"/>
          <c:showSerName val="0"/>
          <c:showPercent val="0"/>
          <c:showBubbleSize val="0"/>
        </c:dLbls>
        <c:smooth val="0"/>
        <c:axId val="889485392"/>
        <c:axId val="889463344"/>
      </c:lineChart>
      <c:catAx>
        <c:axId val="889485392"/>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9463344"/>
        <c:crosses val="autoZero"/>
        <c:auto val="1"/>
        <c:lblAlgn val="ctr"/>
        <c:lblOffset val="100"/>
        <c:noMultiLvlLbl val="0"/>
      </c:catAx>
      <c:valAx>
        <c:axId val="88946334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9485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of Retained Users - Company Size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5 - Retention Segmentation'!$A$83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'Tab 5 - Retention Segmentation'!$C$83:$Q$83</c:f>
              <c:numCache>
                <c:formatCode>0%</c:formatCode>
                <c:ptCount val="15"/>
                <c:pt idx="0">
                  <c:v>0.58625336927223715</c:v>
                </c:pt>
                <c:pt idx="1">
                  <c:v>0.53935309973045831</c:v>
                </c:pt>
                <c:pt idx="2">
                  <c:v>0.50159838274932622</c:v>
                </c:pt>
                <c:pt idx="3">
                  <c:v>0.46648649595687336</c:v>
                </c:pt>
                <c:pt idx="4">
                  <c:v>0.45715676603773586</c:v>
                </c:pt>
                <c:pt idx="5">
                  <c:v>0.42972736007547169</c:v>
                </c:pt>
                <c:pt idx="6">
                  <c:v>0.4211328128739622</c:v>
                </c:pt>
                <c:pt idx="7">
                  <c:v>0.38744218784404522</c:v>
                </c:pt>
                <c:pt idx="8">
                  <c:v>0.34869796905964068</c:v>
                </c:pt>
                <c:pt idx="9">
                  <c:v>0.34172400967844785</c:v>
                </c:pt>
                <c:pt idx="10">
                  <c:v>0.33830676958166339</c:v>
                </c:pt>
                <c:pt idx="11">
                  <c:v>0.32139143110258023</c:v>
                </c:pt>
                <c:pt idx="12">
                  <c:v>0.29246620230334802</c:v>
                </c:pt>
                <c:pt idx="13">
                  <c:v>0.26321958207301321</c:v>
                </c:pt>
                <c:pt idx="14">
                  <c:v>0.25795519043155291</c:v>
                </c:pt>
              </c:numCache>
            </c:numRef>
          </c:val>
          <c:smooth val="0"/>
          <c:extLst>
            <c:ext xmlns:c16="http://schemas.microsoft.com/office/drawing/2014/chart" uri="{C3380CC4-5D6E-409C-BE32-E72D297353CC}">
              <c16:uniqueId val="{00000000-0487-4EDD-91A3-6D042FCD6344}"/>
            </c:ext>
          </c:extLst>
        </c:ser>
        <c:ser>
          <c:idx val="1"/>
          <c:order val="1"/>
          <c:tx>
            <c:strRef>
              <c:f>'Tab 5 - Retention Segmentation'!$A$84</c:f>
              <c:strCache>
                <c:ptCount val="1"/>
                <c:pt idx="0">
                  <c:v>1-5</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'Tab 5 - Retention Segmentation'!$C$84:$Q$84</c:f>
              <c:numCache>
                <c:formatCode>0%</c:formatCode>
                <c:ptCount val="15"/>
                <c:pt idx="0">
                  <c:v>0.69129287598944589</c:v>
                </c:pt>
                <c:pt idx="1">
                  <c:v>0.64290237467018474</c:v>
                </c:pt>
                <c:pt idx="2">
                  <c:v>0.61075725593667551</c:v>
                </c:pt>
                <c:pt idx="3">
                  <c:v>0.58021939313984161</c:v>
                </c:pt>
                <c:pt idx="4">
                  <c:v>0.5512084234828496</c:v>
                </c:pt>
                <c:pt idx="5">
                  <c:v>0.49608758113456464</c:v>
                </c:pt>
                <c:pt idx="6">
                  <c:v>0.46632232626649073</c:v>
                </c:pt>
                <c:pt idx="7">
                  <c:v>0.4430062099531662</c:v>
                </c:pt>
                <c:pt idx="8">
                  <c:v>0.42085589945550783</c:v>
                </c:pt>
                <c:pt idx="9">
                  <c:v>0.39981310448273238</c:v>
                </c:pt>
                <c:pt idx="10">
                  <c:v>0.37982244925859576</c:v>
                </c:pt>
                <c:pt idx="11">
                  <c:v>0.36083132679566593</c:v>
                </c:pt>
                <c:pt idx="12">
                  <c:v>0.34278976045588261</c:v>
                </c:pt>
                <c:pt idx="13">
                  <c:v>0.32565027243308847</c:v>
                </c:pt>
                <c:pt idx="14">
                  <c:v>0.30936775881143408</c:v>
                </c:pt>
              </c:numCache>
            </c:numRef>
          </c:val>
          <c:smooth val="0"/>
          <c:extLst>
            <c:ext xmlns:c16="http://schemas.microsoft.com/office/drawing/2014/chart" uri="{C3380CC4-5D6E-409C-BE32-E72D297353CC}">
              <c16:uniqueId val="{00000001-0487-4EDD-91A3-6D042FCD6344}"/>
            </c:ext>
          </c:extLst>
        </c:ser>
        <c:ser>
          <c:idx val="2"/>
          <c:order val="2"/>
          <c:tx>
            <c:strRef>
              <c:f>'Tab 5 - Retention Segmentation'!$A$85</c:f>
              <c:strCache>
                <c:ptCount val="1"/>
                <c:pt idx="0">
                  <c:v>6-10</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'Tab 5 - Retention Segmentation'!$C$85:$Q$85</c:f>
              <c:numCache>
                <c:formatCode>0%</c:formatCode>
                <c:ptCount val="15"/>
                <c:pt idx="0">
                  <c:v>0.57857142857142863</c:v>
                </c:pt>
                <c:pt idx="1">
                  <c:v>0.54964285714285721</c:v>
                </c:pt>
                <c:pt idx="2">
                  <c:v>0.52216071428571431</c:v>
                </c:pt>
                <c:pt idx="3">
                  <c:v>0.49605267857142865</c:v>
                </c:pt>
                <c:pt idx="4">
                  <c:v>0.47125004464285719</c:v>
                </c:pt>
                <c:pt idx="5">
                  <c:v>0.44768754241071429</c:v>
                </c:pt>
                <c:pt idx="6">
                  <c:v>0.42530316529017853</c:v>
                </c:pt>
                <c:pt idx="7">
                  <c:v>0.40403800702566961</c:v>
                </c:pt>
                <c:pt idx="8">
                  <c:v>0.38383610667438611</c:v>
                </c:pt>
                <c:pt idx="9">
                  <c:v>0.36464430134066678</c:v>
                </c:pt>
                <c:pt idx="10">
                  <c:v>0.34641208627363346</c:v>
                </c:pt>
                <c:pt idx="11">
                  <c:v>0.32909148195995175</c:v>
                </c:pt>
                <c:pt idx="12">
                  <c:v>0.31263690786195414</c:v>
                </c:pt>
                <c:pt idx="13">
                  <c:v>0.29700506246885638</c:v>
                </c:pt>
                <c:pt idx="14">
                  <c:v>0.28215480934541359</c:v>
                </c:pt>
              </c:numCache>
            </c:numRef>
          </c:val>
          <c:smooth val="0"/>
          <c:extLst>
            <c:ext xmlns:c16="http://schemas.microsoft.com/office/drawing/2014/chart" uri="{C3380CC4-5D6E-409C-BE32-E72D297353CC}">
              <c16:uniqueId val="{00000002-0487-4EDD-91A3-6D042FCD6344}"/>
            </c:ext>
          </c:extLst>
        </c:ser>
        <c:ser>
          <c:idx val="3"/>
          <c:order val="3"/>
          <c:tx>
            <c:strRef>
              <c:f>'Tab 5 - Retention Segmentation'!$A$86</c:f>
              <c:strCache>
                <c:ptCount val="1"/>
                <c:pt idx="0">
                  <c:v>11-20</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'Tab 5 - Retention Segmentation'!$C$86:$Q$86</c:f>
              <c:numCache>
                <c:formatCode>0%</c:formatCode>
                <c:ptCount val="15"/>
                <c:pt idx="0">
                  <c:v>0.66</c:v>
                </c:pt>
                <c:pt idx="1">
                  <c:v>0.60720000000000007</c:v>
                </c:pt>
                <c:pt idx="2">
                  <c:v>0.57684000000000002</c:v>
                </c:pt>
                <c:pt idx="3">
                  <c:v>0.5479980000000001</c:v>
                </c:pt>
                <c:pt idx="4">
                  <c:v>0.52059809999999995</c:v>
                </c:pt>
                <c:pt idx="5">
                  <c:v>0.49456819499999993</c:v>
                </c:pt>
                <c:pt idx="6">
                  <c:v>0.46983978524999992</c:v>
                </c:pt>
                <c:pt idx="7">
                  <c:v>0.44634779598749985</c:v>
                </c:pt>
                <c:pt idx="8">
                  <c:v>0.42403040618812482</c:v>
                </c:pt>
                <c:pt idx="9">
                  <c:v>0.40282888587871857</c:v>
                </c:pt>
                <c:pt idx="10">
                  <c:v>0.38268744158478263</c:v>
                </c:pt>
                <c:pt idx="11">
                  <c:v>0.3635530695055435</c:v>
                </c:pt>
                <c:pt idx="12">
                  <c:v>0.34537541603026634</c:v>
                </c:pt>
                <c:pt idx="13">
                  <c:v>0.32810664522875299</c:v>
                </c:pt>
                <c:pt idx="14">
                  <c:v>0.31170131296731535</c:v>
                </c:pt>
              </c:numCache>
            </c:numRef>
          </c:val>
          <c:smooth val="0"/>
          <c:extLst>
            <c:ext xmlns:c16="http://schemas.microsoft.com/office/drawing/2014/chart" uri="{C3380CC4-5D6E-409C-BE32-E72D297353CC}">
              <c16:uniqueId val="{00000003-0487-4EDD-91A3-6D042FCD6344}"/>
            </c:ext>
          </c:extLst>
        </c:ser>
        <c:ser>
          <c:idx val="4"/>
          <c:order val="4"/>
          <c:tx>
            <c:strRef>
              <c:f>'Tab 5 - Retention Segmentation'!$A$87</c:f>
              <c:strCache>
                <c:ptCount val="1"/>
                <c:pt idx="0">
                  <c:v>21-50</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val>
            <c:numRef>
              <c:f>'Tab 5 - Retention Segmentation'!$C$87:$Q$87</c:f>
              <c:numCache>
                <c:formatCode>0%</c:formatCode>
                <c:ptCount val="15"/>
                <c:pt idx="0">
                  <c:v>0.60571428571428576</c:v>
                </c:pt>
                <c:pt idx="1">
                  <c:v>0.58754285714285714</c:v>
                </c:pt>
                <c:pt idx="2">
                  <c:v>0.55816571428571427</c:v>
                </c:pt>
                <c:pt idx="3">
                  <c:v>0.53025742857142855</c:v>
                </c:pt>
                <c:pt idx="4">
                  <c:v>0.50374455714285704</c:v>
                </c:pt>
                <c:pt idx="5">
                  <c:v>0.47855732928571426</c:v>
                </c:pt>
                <c:pt idx="6">
                  <c:v>0.45462946282142852</c:v>
                </c:pt>
                <c:pt idx="7">
                  <c:v>0.43189798968035703</c:v>
                </c:pt>
                <c:pt idx="8">
                  <c:v>0.41030309019633915</c:v>
                </c:pt>
                <c:pt idx="9">
                  <c:v>0.3897879356865222</c:v>
                </c:pt>
                <c:pt idx="10">
                  <c:v>0.37029853890219605</c:v>
                </c:pt>
                <c:pt idx="11">
                  <c:v>0.35178361195708624</c:v>
                </c:pt>
                <c:pt idx="12">
                  <c:v>0.33419443135923188</c:v>
                </c:pt>
                <c:pt idx="13">
                  <c:v>0.31748470979127025</c:v>
                </c:pt>
                <c:pt idx="14">
                  <c:v>0.30161047430170673</c:v>
                </c:pt>
              </c:numCache>
            </c:numRef>
          </c:val>
          <c:smooth val="0"/>
          <c:extLst>
            <c:ext xmlns:c16="http://schemas.microsoft.com/office/drawing/2014/chart" uri="{C3380CC4-5D6E-409C-BE32-E72D297353CC}">
              <c16:uniqueId val="{00000004-0487-4EDD-91A3-6D042FCD6344}"/>
            </c:ext>
          </c:extLst>
        </c:ser>
        <c:ser>
          <c:idx val="5"/>
          <c:order val="5"/>
          <c:tx>
            <c:strRef>
              <c:f>'Tab 5 - Retention Segmentation'!$A$88</c:f>
              <c:strCache>
                <c:ptCount val="1"/>
                <c:pt idx="0">
                  <c:v>51-100</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val>
            <c:numRef>
              <c:f>'Tab 5 - Retention Segmentation'!$C$88:$Q$88</c:f>
              <c:numCache>
                <c:formatCode>0%</c:formatCode>
                <c:ptCount val="15"/>
                <c:pt idx="0">
                  <c:v>0.6</c:v>
                </c:pt>
                <c:pt idx="1">
                  <c:v>0.55800000000000005</c:v>
                </c:pt>
                <c:pt idx="2">
                  <c:v>0.53010000000000002</c:v>
                </c:pt>
                <c:pt idx="3">
                  <c:v>0.50359500000000001</c:v>
                </c:pt>
                <c:pt idx="4">
                  <c:v>0.47841524999999996</c:v>
                </c:pt>
                <c:pt idx="5">
                  <c:v>0.45449448749999993</c:v>
                </c:pt>
                <c:pt idx="6">
                  <c:v>0.43176976312499993</c:v>
                </c:pt>
                <c:pt idx="7">
                  <c:v>0.4101812749687499</c:v>
                </c:pt>
                <c:pt idx="8">
                  <c:v>0.38967221122031237</c:v>
                </c:pt>
                <c:pt idx="9">
                  <c:v>0.37018860065929676</c:v>
                </c:pt>
                <c:pt idx="10">
                  <c:v>0.35167917062633186</c:v>
                </c:pt>
                <c:pt idx="11">
                  <c:v>0.33409521209501525</c:v>
                </c:pt>
                <c:pt idx="12">
                  <c:v>0.31739045149026446</c:v>
                </c:pt>
                <c:pt idx="13">
                  <c:v>0.30152092891575122</c:v>
                </c:pt>
                <c:pt idx="14">
                  <c:v>0.28644488246996358</c:v>
                </c:pt>
              </c:numCache>
            </c:numRef>
          </c:val>
          <c:smooth val="0"/>
          <c:extLst>
            <c:ext xmlns:c16="http://schemas.microsoft.com/office/drawing/2014/chart" uri="{C3380CC4-5D6E-409C-BE32-E72D297353CC}">
              <c16:uniqueId val="{00000005-0487-4EDD-91A3-6D042FCD6344}"/>
            </c:ext>
          </c:extLst>
        </c:ser>
        <c:ser>
          <c:idx val="6"/>
          <c:order val="6"/>
          <c:tx>
            <c:strRef>
              <c:f>'Tab 5 - Retention Segmentation'!$A$89</c:f>
              <c:strCache>
                <c:ptCount val="1"/>
                <c:pt idx="0">
                  <c:v>101-250</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val>
            <c:numRef>
              <c:f>'Tab 5 - Retention Segmentation'!$C$89:$Q$89</c:f>
              <c:numCache>
                <c:formatCode>0%</c:formatCode>
                <c:ptCount val="15"/>
                <c:pt idx="0">
                  <c:v>0.68</c:v>
                </c:pt>
                <c:pt idx="1">
                  <c:v>0.64599999999999991</c:v>
                </c:pt>
                <c:pt idx="2">
                  <c:v>0.61369999999999991</c:v>
                </c:pt>
                <c:pt idx="3">
                  <c:v>0.58301499999999995</c:v>
                </c:pt>
                <c:pt idx="4">
                  <c:v>0.55386424999999984</c:v>
                </c:pt>
                <c:pt idx="5">
                  <c:v>0.52617103749999983</c:v>
                </c:pt>
                <c:pt idx="6">
                  <c:v>0.4998624856249998</c:v>
                </c:pt>
                <c:pt idx="7">
                  <c:v>0.4748693613437498</c:v>
                </c:pt>
                <c:pt idx="8">
                  <c:v>0.45112589327656233</c:v>
                </c:pt>
                <c:pt idx="9">
                  <c:v>0.42856959861273419</c:v>
                </c:pt>
                <c:pt idx="10">
                  <c:v>0.4071411186820974</c:v>
                </c:pt>
                <c:pt idx="11">
                  <c:v>0.38678406274799249</c:v>
                </c:pt>
                <c:pt idx="12">
                  <c:v>0.36744485961059292</c:v>
                </c:pt>
                <c:pt idx="13">
                  <c:v>0.34907261663006323</c:v>
                </c:pt>
                <c:pt idx="14">
                  <c:v>0.33161898579856008</c:v>
                </c:pt>
              </c:numCache>
            </c:numRef>
          </c:val>
          <c:smooth val="0"/>
          <c:extLst>
            <c:ext xmlns:c16="http://schemas.microsoft.com/office/drawing/2014/chart" uri="{C3380CC4-5D6E-409C-BE32-E72D297353CC}">
              <c16:uniqueId val="{00000006-0487-4EDD-91A3-6D042FCD6344}"/>
            </c:ext>
          </c:extLst>
        </c:ser>
        <c:ser>
          <c:idx val="7"/>
          <c:order val="7"/>
          <c:tx>
            <c:strRef>
              <c:f>'Tab 5 - Retention Segmentation'!$A$90</c:f>
              <c:strCache>
                <c:ptCount val="1"/>
                <c:pt idx="0">
                  <c:v>251-500</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val>
            <c:numRef>
              <c:f>'Tab 5 - Retention Segmentation'!$C$90:$Q$90</c:f>
              <c:numCache>
                <c:formatCode>0%</c:formatCode>
                <c:ptCount val="15"/>
                <c:pt idx="0">
                  <c:v>0.32307692307692309</c:v>
                </c:pt>
                <c:pt idx="1">
                  <c:v>0.30369230769230765</c:v>
                </c:pt>
                <c:pt idx="2">
                  <c:v>0.28850769230769224</c:v>
                </c:pt>
                <c:pt idx="3">
                  <c:v>0.27408230769230763</c:v>
                </c:pt>
                <c:pt idx="4">
                  <c:v>0.26037819230769227</c:v>
                </c:pt>
                <c:pt idx="5">
                  <c:v>0.24735928269230761</c:v>
                </c:pt>
                <c:pt idx="6">
                  <c:v>0.2349913185576922</c:v>
                </c:pt>
                <c:pt idx="7">
                  <c:v>0.22324175262980761</c:v>
                </c:pt>
                <c:pt idx="8">
                  <c:v>0.21207966499831721</c:v>
                </c:pt>
                <c:pt idx="9">
                  <c:v>0.20147568174840133</c:v>
                </c:pt>
                <c:pt idx="10">
                  <c:v>0.19140189766098126</c:v>
                </c:pt>
                <c:pt idx="11">
                  <c:v>0.18183180277793218</c:v>
                </c:pt>
                <c:pt idx="12">
                  <c:v>0.17274021263903555</c:v>
                </c:pt>
                <c:pt idx="13">
                  <c:v>0.16410320200708378</c:v>
                </c:pt>
                <c:pt idx="14">
                  <c:v>0.1558980419067296</c:v>
                </c:pt>
              </c:numCache>
            </c:numRef>
          </c:val>
          <c:smooth val="0"/>
          <c:extLst>
            <c:ext xmlns:c16="http://schemas.microsoft.com/office/drawing/2014/chart" uri="{C3380CC4-5D6E-409C-BE32-E72D297353CC}">
              <c16:uniqueId val="{00000007-0487-4EDD-91A3-6D042FCD6344}"/>
            </c:ext>
          </c:extLst>
        </c:ser>
        <c:ser>
          <c:idx val="8"/>
          <c:order val="8"/>
          <c:tx>
            <c:strRef>
              <c:f>'Tab 5 - Retention Segmentation'!$A$91</c:f>
              <c:strCache>
                <c:ptCount val="1"/>
                <c:pt idx="0">
                  <c:v>501+</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val>
            <c:numRef>
              <c:f>'Tab 5 - Retention Segmentation'!$C$91:$Q$91</c:f>
              <c:numCache>
                <c:formatCode>0%</c:formatCode>
                <c:ptCount val="15"/>
                <c:pt idx="0">
                  <c:v>0.17</c:v>
                </c:pt>
                <c:pt idx="1">
                  <c:v>0.16320000000000001</c:v>
                </c:pt>
                <c:pt idx="2">
                  <c:v>0.15503999999999998</c:v>
                </c:pt>
                <c:pt idx="3">
                  <c:v>0.147288</c:v>
                </c:pt>
                <c:pt idx="4">
                  <c:v>0.13992360000000001</c:v>
                </c:pt>
                <c:pt idx="5">
                  <c:v>0.13292741999999999</c:v>
                </c:pt>
                <c:pt idx="6">
                  <c:v>0.12628104899999998</c:v>
                </c:pt>
                <c:pt idx="7">
                  <c:v>0.11996699654999998</c:v>
                </c:pt>
                <c:pt idx="8">
                  <c:v>0.11396864672249998</c:v>
                </c:pt>
                <c:pt idx="9">
                  <c:v>0.10827021438637498</c:v>
                </c:pt>
                <c:pt idx="10">
                  <c:v>0.10285670366705622</c:v>
                </c:pt>
                <c:pt idx="11">
                  <c:v>9.7713868483703406E-2</c:v>
                </c:pt>
                <c:pt idx="12">
                  <c:v>9.2828175059518236E-2</c:v>
                </c:pt>
                <c:pt idx="13">
                  <c:v>8.8186766306542333E-2</c:v>
                </c:pt>
                <c:pt idx="14">
                  <c:v>8.3777427991215209E-2</c:v>
                </c:pt>
              </c:numCache>
            </c:numRef>
          </c:val>
          <c:smooth val="0"/>
          <c:extLst>
            <c:ext xmlns:c16="http://schemas.microsoft.com/office/drawing/2014/chart" uri="{C3380CC4-5D6E-409C-BE32-E72D297353CC}">
              <c16:uniqueId val="{00000008-0487-4EDD-91A3-6D042FCD6344}"/>
            </c:ext>
          </c:extLst>
        </c:ser>
        <c:dLbls>
          <c:showLegendKey val="0"/>
          <c:showVal val="0"/>
          <c:showCatName val="0"/>
          <c:showSerName val="0"/>
          <c:showPercent val="0"/>
          <c:showBubbleSize val="0"/>
        </c:dLbls>
        <c:smooth val="0"/>
        <c:axId val="889385968"/>
        <c:axId val="889401360"/>
      </c:lineChart>
      <c:catAx>
        <c:axId val="889385968"/>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9401360"/>
        <c:crosses val="autoZero"/>
        <c:auto val="1"/>
        <c:lblAlgn val="ctr"/>
        <c:lblOffset val="100"/>
        <c:noMultiLvlLbl val="0"/>
      </c:catAx>
      <c:valAx>
        <c:axId val="88940136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9385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of Retained Users - Industry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5 - Retention Segmentation'!$A$29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'Tab 5 - Retention Segmentation'!$C$29:$Q$29</c:f>
              <c:numCache>
                <c:formatCode>0%</c:formatCode>
                <c:ptCount val="15"/>
                <c:pt idx="0">
                  <c:v>0.95</c:v>
                </c:pt>
                <c:pt idx="1">
                  <c:v>0.86943297849228773</c:v>
                </c:pt>
                <c:pt idx="2">
                  <c:v>0.80857266999782751</c:v>
                </c:pt>
                <c:pt idx="3">
                  <c:v>0.75197258309797965</c:v>
                </c:pt>
                <c:pt idx="4">
                  <c:v>0.73693313143602002</c:v>
                </c:pt>
                <c:pt idx="5">
                  <c:v>0.69271714354985869</c:v>
                </c:pt>
                <c:pt idx="6">
                  <c:v>0.67886280067886151</c:v>
                </c:pt>
                <c:pt idx="7">
                  <c:v>0.62455377662455258</c:v>
                </c:pt>
                <c:pt idx="8">
                  <c:v>0.56209839896209723</c:v>
                </c:pt>
                <c:pt idx="9">
                  <c:v>0.55085643098285531</c:v>
                </c:pt>
                <c:pt idx="10">
                  <c:v>0.54534786667302682</c:v>
                </c:pt>
                <c:pt idx="11">
                  <c:v>0.51808047333937546</c:v>
                </c:pt>
                <c:pt idx="12">
                  <c:v>0.47145323073883166</c:v>
                </c:pt>
                <c:pt idx="13">
                  <c:v>0.42430790766494847</c:v>
                </c:pt>
                <c:pt idx="14">
                  <c:v>0.41582174951164946</c:v>
                </c:pt>
              </c:numCache>
            </c:numRef>
          </c:val>
          <c:smooth val="0"/>
          <c:extLst>
            <c:ext xmlns:c16="http://schemas.microsoft.com/office/drawing/2014/chart" uri="{C3380CC4-5D6E-409C-BE32-E72D297353CC}">
              <c16:uniqueId val="{00000000-2836-4FDD-8474-5EBD36E26213}"/>
            </c:ext>
          </c:extLst>
        </c:ser>
        <c:ser>
          <c:idx val="1"/>
          <c:order val="1"/>
          <c:tx>
            <c:strRef>
              <c:f>'Tab 5 - Retention Segmentation'!$A$30</c:f>
              <c:strCache>
                <c:ptCount val="1"/>
                <c:pt idx="0">
                  <c:v>Technology</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'Tab 5 - Retention Segmentation'!$C$30:$Q$30</c:f>
              <c:numCache>
                <c:formatCode>0%</c:formatCode>
                <c:ptCount val="15"/>
                <c:pt idx="0">
                  <c:v>0.93906810035842292</c:v>
                </c:pt>
                <c:pt idx="1">
                  <c:v>0.87333333333333341</c:v>
                </c:pt>
                <c:pt idx="2">
                  <c:v>0.82966666666666666</c:v>
                </c:pt>
                <c:pt idx="3">
                  <c:v>0.78818333333333324</c:v>
                </c:pt>
                <c:pt idx="4">
                  <c:v>0.74877416666666663</c:v>
                </c:pt>
                <c:pt idx="5">
                  <c:v>0.67389674999999993</c:v>
                </c:pt>
                <c:pt idx="6">
                  <c:v>0.633462945</c:v>
                </c:pt>
                <c:pt idx="7">
                  <c:v>0.60178979774999997</c:v>
                </c:pt>
                <c:pt idx="8">
                  <c:v>0.57170030786249992</c:v>
                </c:pt>
                <c:pt idx="9">
                  <c:v>0.54311529246937484</c:v>
                </c:pt>
                <c:pt idx="10">
                  <c:v>0.51595952784590604</c:v>
                </c:pt>
                <c:pt idx="11">
                  <c:v>0.49016155145361073</c:v>
                </c:pt>
                <c:pt idx="12">
                  <c:v>0.46565347388093015</c:v>
                </c:pt>
                <c:pt idx="13">
                  <c:v>0.44237080018688363</c:v>
                </c:pt>
                <c:pt idx="14">
                  <c:v>0.42025226017753947</c:v>
                </c:pt>
              </c:numCache>
            </c:numRef>
          </c:val>
          <c:smooth val="0"/>
          <c:extLst>
            <c:ext xmlns:c16="http://schemas.microsoft.com/office/drawing/2014/chart" uri="{C3380CC4-5D6E-409C-BE32-E72D297353CC}">
              <c16:uniqueId val="{00000001-2836-4FDD-8474-5EBD36E26213}"/>
            </c:ext>
          </c:extLst>
        </c:ser>
        <c:ser>
          <c:idx val="2"/>
          <c:order val="2"/>
          <c:tx>
            <c:strRef>
              <c:f>'Tab 5 - Retention Segmentation'!$A$31</c:f>
              <c:strCache>
                <c:ptCount val="1"/>
                <c:pt idx="0">
                  <c:v>Retail </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'Tab 5 - Retention Segmentation'!$C$31:$Q$31</c:f>
              <c:numCache>
                <c:formatCode>0%</c:formatCode>
                <c:ptCount val="15"/>
                <c:pt idx="0">
                  <c:v>0.98300970873786397</c:v>
                </c:pt>
                <c:pt idx="1">
                  <c:v>0.93385922330097082</c:v>
                </c:pt>
                <c:pt idx="2">
                  <c:v>0.88716626213592231</c:v>
                </c:pt>
                <c:pt idx="3">
                  <c:v>0.84280794902912626</c:v>
                </c:pt>
                <c:pt idx="4">
                  <c:v>0.80066755157766989</c:v>
                </c:pt>
                <c:pt idx="5">
                  <c:v>0.76063417399878641</c:v>
                </c:pt>
                <c:pt idx="6">
                  <c:v>0.72260246529884697</c:v>
                </c:pt>
                <c:pt idx="7">
                  <c:v>0.68647234203390461</c:v>
                </c:pt>
                <c:pt idx="8">
                  <c:v>0.65214872493220932</c:v>
                </c:pt>
                <c:pt idx="9">
                  <c:v>0.61954128868559888</c:v>
                </c:pt>
                <c:pt idx="10">
                  <c:v>0.58856422425131893</c:v>
                </c:pt>
                <c:pt idx="11">
                  <c:v>0.55913601303875293</c:v>
                </c:pt>
                <c:pt idx="12">
                  <c:v>0.5311792123868152</c:v>
                </c:pt>
                <c:pt idx="13">
                  <c:v>0.50462025176747438</c:v>
                </c:pt>
                <c:pt idx="14">
                  <c:v>0.4793892391791007</c:v>
                </c:pt>
              </c:numCache>
            </c:numRef>
          </c:val>
          <c:smooth val="0"/>
          <c:extLst>
            <c:ext xmlns:c16="http://schemas.microsoft.com/office/drawing/2014/chart" uri="{C3380CC4-5D6E-409C-BE32-E72D297353CC}">
              <c16:uniqueId val="{00000002-2836-4FDD-8474-5EBD36E26213}"/>
            </c:ext>
          </c:extLst>
        </c:ser>
        <c:ser>
          <c:idx val="3"/>
          <c:order val="3"/>
          <c:tx>
            <c:strRef>
              <c:f>'Tab 5 - Retention Segmentation'!$A$32</c:f>
              <c:strCache>
                <c:ptCount val="1"/>
                <c:pt idx="0">
                  <c:v>Healthcare</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'Tab 5 - Retention Segmentation'!$C$32:$Q$32</c:f>
              <c:numCache>
                <c:formatCode>0%</c:formatCode>
                <c:ptCount val="15"/>
                <c:pt idx="0">
                  <c:v>0.95930232558139539</c:v>
                </c:pt>
                <c:pt idx="1">
                  <c:v>0.88255813953488382</c:v>
                </c:pt>
                <c:pt idx="2">
                  <c:v>0.83843023255813964</c:v>
                </c:pt>
                <c:pt idx="3">
                  <c:v>0.79650872093023262</c:v>
                </c:pt>
                <c:pt idx="4">
                  <c:v>0.75668328488372094</c:v>
                </c:pt>
                <c:pt idx="5">
                  <c:v>0.71884912063953488</c:v>
                </c:pt>
                <c:pt idx="6">
                  <c:v>0.682906664607558</c:v>
                </c:pt>
                <c:pt idx="7">
                  <c:v>0.64876133137718006</c:v>
                </c:pt>
                <c:pt idx="8">
                  <c:v>0.616323264808321</c:v>
                </c:pt>
                <c:pt idx="9">
                  <c:v>0.58550710156790498</c:v>
                </c:pt>
                <c:pt idx="10">
                  <c:v>0.55623174648950968</c:v>
                </c:pt>
                <c:pt idx="11">
                  <c:v>0.52842015916503415</c:v>
                </c:pt>
                <c:pt idx="12">
                  <c:v>0.50199915120678251</c:v>
                </c:pt>
                <c:pt idx="13">
                  <c:v>0.47689919364644334</c:v>
                </c:pt>
                <c:pt idx="14">
                  <c:v>0.45305423396412114</c:v>
                </c:pt>
              </c:numCache>
            </c:numRef>
          </c:val>
          <c:smooth val="0"/>
          <c:extLst>
            <c:ext xmlns:c16="http://schemas.microsoft.com/office/drawing/2014/chart" uri="{C3380CC4-5D6E-409C-BE32-E72D297353CC}">
              <c16:uniqueId val="{00000003-2836-4FDD-8474-5EBD36E26213}"/>
            </c:ext>
          </c:extLst>
        </c:ser>
        <c:ser>
          <c:idx val="4"/>
          <c:order val="4"/>
          <c:tx>
            <c:strRef>
              <c:f>'Tab 5 - Retention Segmentation'!$A$33</c:f>
              <c:strCache>
                <c:ptCount val="1"/>
                <c:pt idx="0">
                  <c:v>Financial Services</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val>
            <c:numRef>
              <c:f>'Tab 5 - Retention Segmentation'!$C$33:$Q$33</c:f>
              <c:numCache>
                <c:formatCode>0%</c:formatCode>
                <c:ptCount val="15"/>
                <c:pt idx="0">
                  <c:v>0.96014492753623182</c:v>
                </c:pt>
                <c:pt idx="1">
                  <c:v>0.93134057971014483</c:v>
                </c:pt>
                <c:pt idx="2">
                  <c:v>0.88477355072463748</c:v>
                </c:pt>
                <c:pt idx="3">
                  <c:v>0.8405348731884057</c:v>
                </c:pt>
                <c:pt idx="4">
                  <c:v>0.79850812952898531</c:v>
                </c:pt>
                <c:pt idx="5">
                  <c:v>0.75858272305253616</c:v>
                </c:pt>
                <c:pt idx="6">
                  <c:v>0.72065358689990922</c:v>
                </c:pt>
                <c:pt idx="7">
                  <c:v>0.68462090755491378</c:v>
                </c:pt>
                <c:pt idx="8">
                  <c:v>0.65038986217716799</c:v>
                </c:pt>
                <c:pt idx="9">
                  <c:v>0.61787036906830961</c:v>
                </c:pt>
                <c:pt idx="10">
                  <c:v>0.58697685061489402</c:v>
                </c:pt>
                <c:pt idx="11">
                  <c:v>0.55762800808414936</c:v>
                </c:pt>
                <c:pt idx="12">
                  <c:v>0.52974660767994186</c:v>
                </c:pt>
                <c:pt idx="13">
                  <c:v>0.50325927729594466</c:v>
                </c:pt>
                <c:pt idx="14">
                  <c:v>0.47809631343114739</c:v>
                </c:pt>
              </c:numCache>
            </c:numRef>
          </c:val>
          <c:smooth val="0"/>
          <c:extLst>
            <c:ext xmlns:c16="http://schemas.microsoft.com/office/drawing/2014/chart" uri="{C3380CC4-5D6E-409C-BE32-E72D297353CC}">
              <c16:uniqueId val="{00000004-2836-4FDD-8474-5EBD36E26213}"/>
            </c:ext>
          </c:extLst>
        </c:ser>
        <c:ser>
          <c:idx val="5"/>
          <c:order val="5"/>
          <c:tx>
            <c:strRef>
              <c:f>'Tab 5 - Retention Segmentation'!$A$34</c:f>
              <c:strCache>
                <c:ptCount val="1"/>
                <c:pt idx="0">
                  <c:v>Manufacturing</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val>
            <c:numRef>
              <c:f>'Tab 5 - Retention Segmentation'!$C$34:$Q$34</c:f>
              <c:numCache>
                <c:formatCode>0%</c:formatCode>
                <c:ptCount val="15"/>
                <c:pt idx="0">
                  <c:v>0.80357142857142849</c:v>
                </c:pt>
                <c:pt idx="1">
                  <c:v>0.74732142857142858</c:v>
                </c:pt>
                <c:pt idx="2">
                  <c:v>0.70995535714285707</c:v>
                </c:pt>
                <c:pt idx="3">
                  <c:v>0.6744575892857142</c:v>
                </c:pt>
                <c:pt idx="4">
                  <c:v>0.64073470982142844</c:v>
                </c:pt>
                <c:pt idx="5">
                  <c:v>0.60869797433035699</c:v>
                </c:pt>
                <c:pt idx="6">
                  <c:v>0.57826307561383916</c:v>
                </c:pt>
                <c:pt idx="7">
                  <c:v>0.54934992183314713</c:v>
                </c:pt>
                <c:pt idx="8">
                  <c:v>0.52188242574148969</c:v>
                </c:pt>
                <c:pt idx="9">
                  <c:v>0.49578830445441524</c:v>
                </c:pt>
                <c:pt idx="10">
                  <c:v>0.47099888923169442</c:v>
                </c:pt>
                <c:pt idx="11">
                  <c:v>0.44744894477010971</c:v>
                </c:pt>
                <c:pt idx="12">
                  <c:v>0.42507649753160415</c:v>
                </c:pt>
                <c:pt idx="13">
                  <c:v>0.40382267265502392</c:v>
                </c:pt>
                <c:pt idx="14">
                  <c:v>0.38363153902227265</c:v>
                </c:pt>
              </c:numCache>
            </c:numRef>
          </c:val>
          <c:smooth val="0"/>
          <c:extLst>
            <c:ext xmlns:c16="http://schemas.microsoft.com/office/drawing/2014/chart" uri="{C3380CC4-5D6E-409C-BE32-E72D297353CC}">
              <c16:uniqueId val="{00000005-2836-4FDD-8474-5EBD36E26213}"/>
            </c:ext>
          </c:extLst>
        </c:ser>
        <c:ser>
          <c:idx val="6"/>
          <c:order val="6"/>
          <c:tx>
            <c:strRef>
              <c:f>'Tab 5 - Retention Segmentation'!$A$35</c:f>
              <c:strCache>
                <c:ptCount val="1"/>
                <c:pt idx="0">
                  <c:v>Consume Goods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val>
            <c:numRef>
              <c:f>'Tab 5 - Retention Segmentation'!$C$35:$Q$35</c:f>
              <c:numCache>
                <c:formatCode>0%</c:formatCode>
                <c:ptCount val="15"/>
                <c:pt idx="0">
                  <c:v>0.92391304347826075</c:v>
                </c:pt>
                <c:pt idx="1">
                  <c:v>0.87771739130434767</c:v>
                </c:pt>
                <c:pt idx="2">
                  <c:v>0.83383152173913022</c:v>
                </c:pt>
                <c:pt idx="3">
                  <c:v>0.79213994565217372</c:v>
                </c:pt>
                <c:pt idx="4">
                  <c:v>0.75253294836956497</c:v>
                </c:pt>
                <c:pt idx="5">
                  <c:v>0.71490630095108665</c:v>
                </c:pt>
                <c:pt idx="6">
                  <c:v>0.67916098590353224</c:v>
                </c:pt>
                <c:pt idx="7">
                  <c:v>0.64520293660835559</c:v>
                </c:pt>
                <c:pt idx="8">
                  <c:v>0.61294278977793781</c:v>
                </c:pt>
                <c:pt idx="9">
                  <c:v>0.58229565028904096</c:v>
                </c:pt>
                <c:pt idx="10">
                  <c:v>0.55318086777458886</c:v>
                </c:pt>
                <c:pt idx="11">
                  <c:v>0.52552182438585937</c:v>
                </c:pt>
                <c:pt idx="12">
                  <c:v>0.4992457331665664</c:v>
                </c:pt>
                <c:pt idx="13">
                  <c:v>0.47428344650823806</c:v>
                </c:pt>
                <c:pt idx="14">
                  <c:v>0.45056927418282616</c:v>
                </c:pt>
              </c:numCache>
            </c:numRef>
          </c:val>
          <c:smooth val="0"/>
          <c:extLst>
            <c:ext xmlns:c16="http://schemas.microsoft.com/office/drawing/2014/chart" uri="{C3380CC4-5D6E-409C-BE32-E72D297353CC}">
              <c16:uniqueId val="{00000006-2836-4FDD-8474-5EBD36E26213}"/>
            </c:ext>
          </c:extLst>
        </c:ser>
        <c:ser>
          <c:idx val="7"/>
          <c:order val="7"/>
          <c:tx>
            <c:strRef>
              <c:f>'Tab 5 - Retention Segmentation'!$A$36</c:f>
              <c:strCache>
                <c:ptCount val="1"/>
                <c:pt idx="0">
                  <c:v>Transportation</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val>
            <c:numRef>
              <c:f>'Tab 5 - Retention Segmentation'!$C$36:$Q$36</c:f>
              <c:numCache>
                <c:formatCode>0%</c:formatCode>
                <c:ptCount val="15"/>
                <c:pt idx="0">
                  <c:v>0.90517241379310331</c:v>
                </c:pt>
                <c:pt idx="1">
                  <c:v>0.85086206896551708</c:v>
                </c:pt>
                <c:pt idx="2">
                  <c:v>0.80831896551724114</c:v>
                </c:pt>
                <c:pt idx="3">
                  <c:v>0.76790301724137899</c:v>
                </c:pt>
                <c:pt idx="4">
                  <c:v>0.72950786637931009</c:v>
                </c:pt>
                <c:pt idx="5">
                  <c:v>0.69303247306034454</c:v>
                </c:pt>
                <c:pt idx="6">
                  <c:v>0.65838084940732722</c:v>
                </c:pt>
                <c:pt idx="7">
                  <c:v>0.62546180693696085</c:v>
                </c:pt>
                <c:pt idx="8">
                  <c:v>0.59418871659011274</c:v>
                </c:pt>
                <c:pt idx="9">
                  <c:v>0.56447928076060716</c:v>
                </c:pt>
                <c:pt idx="10">
                  <c:v>0.53625531672257676</c:v>
                </c:pt>
                <c:pt idx="11">
                  <c:v>0.50944255088644785</c:v>
                </c:pt>
                <c:pt idx="12">
                  <c:v>0.48397042334212542</c:v>
                </c:pt>
                <c:pt idx="13">
                  <c:v>0.45977190217501918</c:v>
                </c:pt>
                <c:pt idx="14">
                  <c:v>0.43678330706626822</c:v>
                </c:pt>
              </c:numCache>
            </c:numRef>
          </c:val>
          <c:smooth val="0"/>
          <c:extLst>
            <c:ext xmlns:c16="http://schemas.microsoft.com/office/drawing/2014/chart" uri="{C3380CC4-5D6E-409C-BE32-E72D297353CC}">
              <c16:uniqueId val="{00000007-2836-4FDD-8474-5EBD36E26213}"/>
            </c:ext>
          </c:extLst>
        </c:ser>
        <c:ser>
          <c:idx val="8"/>
          <c:order val="8"/>
          <c:tx>
            <c:strRef>
              <c:f>'Tab 5 - Retention Segmentation'!$A$37</c:f>
              <c:strCache>
                <c:ptCount val="1"/>
                <c:pt idx="0">
                  <c:v>Oil and Gas</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val>
            <c:numRef>
              <c:f>'Tab 5 - Retention Segmentation'!$C$37:$Q$37</c:f>
              <c:numCache>
                <c:formatCode>0%</c:formatCode>
                <c:ptCount val="15"/>
                <c:pt idx="0">
                  <c:v>0.88541666666666652</c:v>
                </c:pt>
                <c:pt idx="1">
                  <c:v>0.84999999999999987</c:v>
                </c:pt>
                <c:pt idx="2">
                  <c:v>0.80749999999999988</c:v>
                </c:pt>
                <c:pt idx="3">
                  <c:v>0.76712499999999983</c:v>
                </c:pt>
                <c:pt idx="4">
                  <c:v>0.72876874999999985</c:v>
                </c:pt>
                <c:pt idx="5">
                  <c:v>0.69233031249999988</c:v>
                </c:pt>
                <c:pt idx="6">
                  <c:v>0.65771379687499987</c:v>
                </c:pt>
                <c:pt idx="7">
                  <c:v>0.6248281070312498</c:v>
                </c:pt>
                <c:pt idx="8">
                  <c:v>0.5935867016796873</c:v>
                </c:pt>
                <c:pt idx="9">
                  <c:v>0.56390736659570295</c:v>
                </c:pt>
                <c:pt idx="10">
                  <c:v>0.53571199826591775</c:v>
                </c:pt>
                <c:pt idx="11">
                  <c:v>0.50892639835262188</c:v>
                </c:pt>
                <c:pt idx="12">
                  <c:v>0.48348007843499075</c:v>
                </c:pt>
                <c:pt idx="13">
                  <c:v>0.45930607451324124</c:v>
                </c:pt>
                <c:pt idx="14">
                  <c:v>0.43634077078757916</c:v>
                </c:pt>
              </c:numCache>
            </c:numRef>
          </c:val>
          <c:smooth val="0"/>
          <c:extLst>
            <c:ext xmlns:c16="http://schemas.microsoft.com/office/drawing/2014/chart" uri="{C3380CC4-5D6E-409C-BE32-E72D297353CC}">
              <c16:uniqueId val="{00000008-2836-4FDD-8474-5EBD36E26213}"/>
            </c:ext>
          </c:extLst>
        </c:ser>
        <c:dLbls>
          <c:showLegendKey val="0"/>
          <c:showVal val="0"/>
          <c:showCatName val="0"/>
          <c:showSerName val="0"/>
          <c:showPercent val="0"/>
          <c:showBubbleSize val="0"/>
        </c:dLbls>
        <c:smooth val="0"/>
        <c:axId val="889358928"/>
        <c:axId val="889373488"/>
      </c:lineChart>
      <c:catAx>
        <c:axId val="889358928"/>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9373488"/>
        <c:crosses val="autoZero"/>
        <c:auto val="1"/>
        <c:lblAlgn val="ctr"/>
        <c:lblOffset val="100"/>
        <c:noMultiLvlLbl val="0"/>
      </c:catAx>
      <c:valAx>
        <c:axId val="88937348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935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chemeClr val="bg1"/>
                </a:solidFill>
              </a:rPr>
              <a:t>Retained</a:t>
            </a:r>
            <a:r>
              <a:rPr lang="en-US" sz="1400" baseline="0">
                <a:solidFill>
                  <a:schemeClr val="bg1"/>
                </a:solidFill>
              </a:rPr>
              <a:t> Users, # of New Users, Resurrected Users, Dormant Users</a:t>
            </a:r>
            <a:endParaRPr lang="en-US" sz="1400">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4.7580349356819797E-2"/>
          <c:y val="0.19709721985563697"/>
          <c:w val="0.91796251814363339"/>
          <c:h val="0.6744525321662268"/>
        </c:manualLayout>
      </c:layout>
      <c:barChart>
        <c:barDir val="bar"/>
        <c:grouping val="clustered"/>
        <c:varyColors val="0"/>
        <c:ser>
          <c:idx val="0"/>
          <c:order val="0"/>
          <c:tx>
            <c:strRef>
              <c:f>'[1]Tab 6 - Lifecycle Chart'!$B$43</c:f>
              <c:strCache>
                <c:ptCount val="1"/>
                <c:pt idx="0">
                  <c:v># of New Users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'[1]Tab 6 - Lifecycle Chart'!$B$44:$B$54</c:f>
              <c:numCache>
                <c:formatCode>General</c:formatCode>
                <c:ptCount val="11"/>
                <c:pt idx="0">
                  <c:v>240</c:v>
                </c:pt>
                <c:pt idx="1">
                  <c:v>324</c:v>
                </c:pt>
                <c:pt idx="2">
                  <c:v>425</c:v>
                </c:pt>
                <c:pt idx="3">
                  <c:v>634</c:v>
                </c:pt>
                <c:pt idx="4">
                  <c:v>796</c:v>
                </c:pt>
                <c:pt idx="5">
                  <c:v>918</c:v>
                </c:pt>
                <c:pt idx="6">
                  <c:v>1129</c:v>
                </c:pt>
                <c:pt idx="7">
                  <c:v>1298</c:v>
                </c:pt>
                <c:pt idx="8">
                  <c:v>1420</c:v>
                </c:pt>
                <c:pt idx="9">
                  <c:v>1670</c:v>
                </c:pt>
                <c:pt idx="10">
                  <c:v>1820</c:v>
                </c:pt>
              </c:numCache>
            </c:numRef>
          </c:val>
          <c:extLst>
            <c:ext xmlns:c16="http://schemas.microsoft.com/office/drawing/2014/chart" uri="{C3380CC4-5D6E-409C-BE32-E72D297353CC}">
              <c16:uniqueId val="{00000000-00C5-4535-930B-04B91BB58588}"/>
            </c:ext>
          </c:extLst>
        </c:ser>
        <c:ser>
          <c:idx val="1"/>
          <c:order val="1"/>
          <c:tx>
            <c:strRef>
              <c:f>'[1]Tab 6 - Lifecycle Chart'!$D$43</c:f>
              <c:strCache>
                <c:ptCount val="1"/>
                <c:pt idx="0">
                  <c:v>Dormant Uses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'[1]Tab 6 - Lifecycle Chart'!$D$44:$D$54</c:f>
              <c:numCache>
                <c:formatCode>General</c:formatCode>
                <c:ptCount val="11"/>
                <c:pt idx="0">
                  <c:v>3</c:v>
                </c:pt>
                <c:pt idx="1">
                  <c:v>75</c:v>
                </c:pt>
                <c:pt idx="2">
                  <c:v>97.199999999999989</c:v>
                </c:pt>
                <c:pt idx="3">
                  <c:v>139.6</c:v>
                </c:pt>
                <c:pt idx="4">
                  <c:v>213.19999999999993</c:v>
                </c:pt>
                <c:pt idx="5">
                  <c:v>269.79999999999995</c:v>
                </c:pt>
                <c:pt idx="6">
                  <c:v>334.8</c:v>
                </c:pt>
                <c:pt idx="7">
                  <c:v>459.99999999999989</c:v>
                </c:pt>
                <c:pt idx="8">
                  <c:v>492.79999999999995</c:v>
                </c:pt>
                <c:pt idx="9">
                  <c:v>588.19999999999993</c:v>
                </c:pt>
                <c:pt idx="10">
                  <c:v>736.4</c:v>
                </c:pt>
              </c:numCache>
            </c:numRef>
          </c:val>
          <c:extLst>
            <c:ext xmlns:c16="http://schemas.microsoft.com/office/drawing/2014/chart" uri="{C3380CC4-5D6E-409C-BE32-E72D297353CC}">
              <c16:uniqueId val="{00000001-00C5-4535-930B-04B91BB58588}"/>
            </c:ext>
          </c:extLst>
        </c:ser>
        <c:ser>
          <c:idx val="2"/>
          <c:order val="2"/>
          <c:tx>
            <c:strRef>
              <c:f>'[1]Tab 6 - Lifecycle Chart'!$F$43</c:f>
              <c:strCache>
                <c:ptCount val="1"/>
                <c:pt idx="0">
                  <c:v>Retained Users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'[1]Tab 6 - Lifecycle Chart'!$F$44:$F$54</c:f>
              <c:numCache>
                <c:formatCode>General</c:formatCode>
                <c:ptCount val="11"/>
                <c:pt idx="0">
                  <c:v>229.89</c:v>
                </c:pt>
                <c:pt idx="1">
                  <c:v>471.41999999999996</c:v>
                </c:pt>
                <c:pt idx="2">
                  <c:v>789.57999999999993</c:v>
                </c:pt>
                <c:pt idx="3">
                  <c:v>1269.1480000000001</c:v>
                </c:pt>
                <c:pt idx="4">
                  <c:v>1834.4639999999997</c:v>
                </c:pt>
                <c:pt idx="5">
                  <c:v>2463.2179999999994</c:v>
                </c:pt>
                <c:pt idx="6">
                  <c:v>3233.5919999999996</c:v>
                </c:pt>
                <c:pt idx="7">
                  <c:v>4046.4520000000002</c:v>
                </c:pt>
                <c:pt idx="8">
                  <c:v>4945.8360000000002</c:v>
                </c:pt>
                <c:pt idx="9">
                  <c:v>5995.1819999999998</c:v>
                </c:pt>
                <c:pt idx="10">
                  <c:v>7046.2740000000003</c:v>
                </c:pt>
              </c:numCache>
            </c:numRef>
          </c:val>
          <c:extLst>
            <c:ext xmlns:c16="http://schemas.microsoft.com/office/drawing/2014/chart" uri="{C3380CC4-5D6E-409C-BE32-E72D297353CC}">
              <c16:uniqueId val="{00000002-00C5-4535-930B-04B91BB58588}"/>
            </c:ext>
          </c:extLst>
        </c:ser>
        <c:ser>
          <c:idx val="3"/>
          <c:order val="3"/>
          <c:tx>
            <c:strRef>
              <c:f>'[1]Tab 6 - Lifecycle Chart'!$G$43</c:f>
              <c:strCache>
                <c:ptCount val="1"/>
                <c:pt idx="0">
                  <c:v>Resurrected Users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'[1]Tab 6 - Lifecycle Chart'!$G$44:$G$54</c:f>
              <c:numCache>
                <c:formatCode>General</c:formatCode>
                <c:ptCount val="11"/>
                <c:pt idx="0">
                  <c:v>7</c:v>
                </c:pt>
                <c:pt idx="1">
                  <c:v>14.580000000000041</c:v>
                </c:pt>
                <c:pt idx="2">
                  <c:v>24.420000000000073</c:v>
                </c:pt>
                <c:pt idx="3">
                  <c:v>39.251999999999953</c:v>
                </c:pt>
                <c:pt idx="4">
                  <c:v>56.736000000000104</c:v>
                </c:pt>
                <c:pt idx="5">
                  <c:v>76.182000000000244</c:v>
                </c:pt>
                <c:pt idx="6">
                  <c:v>100.00800000000027</c:v>
                </c:pt>
                <c:pt idx="7">
                  <c:v>125.14800000000014</c:v>
                </c:pt>
                <c:pt idx="8">
                  <c:v>152.96399999999994</c:v>
                </c:pt>
                <c:pt idx="9">
                  <c:v>185.41800000000057</c:v>
                </c:pt>
                <c:pt idx="10">
                  <c:v>217.92600000000039</c:v>
                </c:pt>
              </c:numCache>
            </c:numRef>
          </c:val>
          <c:extLst>
            <c:ext xmlns:c16="http://schemas.microsoft.com/office/drawing/2014/chart" uri="{C3380CC4-5D6E-409C-BE32-E72D297353CC}">
              <c16:uniqueId val="{00000003-00C5-4535-930B-04B91BB58588}"/>
            </c:ext>
          </c:extLst>
        </c:ser>
        <c:dLbls>
          <c:dLblPos val="inEnd"/>
          <c:showLegendKey val="0"/>
          <c:showVal val="1"/>
          <c:showCatName val="0"/>
          <c:showSerName val="0"/>
          <c:showPercent val="0"/>
          <c:showBubbleSize val="0"/>
        </c:dLbls>
        <c:gapWidth val="115"/>
        <c:overlap val="-20"/>
        <c:axId val="553213744"/>
        <c:axId val="553235792"/>
      </c:barChart>
      <c:catAx>
        <c:axId val="5532137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235792"/>
        <c:crosses val="autoZero"/>
        <c:auto val="1"/>
        <c:lblAlgn val="ctr"/>
        <c:lblOffset val="100"/>
        <c:noMultiLvlLbl val="0"/>
      </c:catAx>
      <c:valAx>
        <c:axId val="55323579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213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solidFill>
                  <a:schemeClr val="bg1"/>
                </a:solidFill>
              </a:rPr>
              <a:t>Retained</a:t>
            </a:r>
            <a:r>
              <a:rPr lang="en-US" sz="1100" baseline="0">
                <a:solidFill>
                  <a:schemeClr val="bg1"/>
                </a:solidFill>
              </a:rPr>
              <a:t> Users, # of New Users, resurrected Users, Dormant Users</a:t>
            </a:r>
            <a:endParaRPr lang="en-US" sz="1100">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'[1]Tab 6 - Lifecycle Chart'!$B$43</c:f>
              <c:strCache>
                <c:ptCount val="1"/>
                <c:pt idx="0">
                  <c:v># of New Users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'[1]Tab 6 - Lifecycle Chart'!$B$44:$B$54</c:f>
              <c:numCache>
                <c:formatCode>General</c:formatCode>
                <c:ptCount val="11"/>
                <c:pt idx="0">
                  <c:v>240</c:v>
                </c:pt>
                <c:pt idx="1">
                  <c:v>324</c:v>
                </c:pt>
                <c:pt idx="2">
                  <c:v>425</c:v>
                </c:pt>
                <c:pt idx="3">
                  <c:v>634</c:v>
                </c:pt>
                <c:pt idx="4">
                  <c:v>796</c:v>
                </c:pt>
                <c:pt idx="5">
                  <c:v>918</c:v>
                </c:pt>
                <c:pt idx="6">
                  <c:v>1129</c:v>
                </c:pt>
                <c:pt idx="7">
                  <c:v>1298</c:v>
                </c:pt>
                <c:pt idx="8">
                  <c:v>1420</c:v>
                </c:pt>
                <c:pt idx="9">
                  <c:v>1670</c:v>
                </c:pt>
                <c:pt idx="10">
                  <c:v>1820</c:v>
                </c:pt>
              </c:numCache>
            </c:numRef>
          </c:val>
          <c:smooth val="0"/>
          <c:extLst>
            <c:ext xmlns:c16="http://schemas.microsoft.com/office/drawing/2014/chart" uri="{C3380CC4-5D6E-409C-BE32-E72D297353CC}">
              <c16:uniqueId val="{00000000-D760-4DF5-8AC7-62E92A4B9955}"/>
            </c:ext>
          </c:extLst>
        </c:ser>
        <c:ser>
          <c:idx val="1"/>
          <c:order val="1"/>
          <c:tx>
            <c:strRef>
              <c:f>'[1]Tab 6 - Lifecycle Chart'!$D$43</c:f>
              <c:strCache>
                <c:ptCount val="1"/>
                <c:pt idx="0">
                  <c:v>Dormant Uses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'[1]Tab 6 - Lifecycle Chart'!$D$44:$D$54</c:f>
              <c:numCache>
                <c:formatCode>General</c:formatCode>
                <c:ptCount val="11"/>
                <c:pt idx="0">
                  <c:v>3</c:v>
                </c:pt>
                <c:pt idx="1">
                  <c:v>75</c:v>
                </c:pt>
                <c:pt idx="2">
                  <c:v>97.199999999999989</c:v>
                </c:pt>
                <c:pt idx="3">
                  <c:v>139.6</c:v>
                </c:pt>
                <c:pt idx="4">
                  <c:v>213.19999999999993</c:v>
                </c:pt>
                <c:pt idx="5">
                  <c:v>269.79999999999995</c:v>
                </c:pt>
                <c:pt idx="6">
                  <c:v>334.8</c:v>
                </c:pt>
                <c:pt idx="7">
                  <c:v>459.99999999999989</c:v>
                </c:pt>
                <c:pt idx="8">
                  <c:v>492.79999999999995</c:v>
                </c:pt>
                <c:pt idx="9">
                  <c:v>588.19999999999993</c:v>
                </c:pt>
                <c:pt idx="10">
                  <c:v>736.4</c:v>
                </c:pt>
              </c:numCache>
            </c:numRef>
          </c:val>
          <c:smooth val="0"/>
          <c:extLst>
            <c:ext xmlns:c16="http://schemas.microsoft.com/office/drawing/2014/chart" uri="{C3380CC4-5D6E-409C-BE32-E72D297353CC}">
              <c16:uniqueId val="{00000001-D760-4DF5-8AC7-62E92A4B9955}"/>
            </c:ext>
          </c:extLst>
        </c:ser>
        <c:ser>
          <c:idx val="2"/>
          <c:order val="2"/>
          <c:tx>
            <c:strRef>
              <c:f>'[1]Tab 6 - Lifecycle Chart'!$F$43</c:f>
              <c:strCache>
                <c:ptCount val="1"/>
                <c:pt idx="0">
                  <c:v>Retained Users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'[1]Tab 6 - Lifecycle Chart'!$F$44:$F$54</c:f>
              <c:numCache>
                <c:formatCode>General</c:formatCode>
                <c:ptCount val="11"/>
                <c:pt idx="0">
                  <c:v>229.89</c:v>
                </c:pt>
                <c:pt idx="1">
                  <c:v>471.41999999999996</c:v>
                </c:pt>
                <c:pt idx="2">
                  <c:v>789.57999999999993</c:v>
                </c:pt>
                <c:pt idx="3">
                  <c:v>1269.1480000000001</c:v>
                </c:pt>
                <c:pt idx="4">
                  <c:v>1834.4639999999997</c:v>
                </c:pt>
                <c:pt idx="5">
                  <c:v>2463.2179999999994</c:v>
                </c:pt>
                <c:pt idx="6">
                  <c:v>3233.5919999999996</c:v>
                </c:pt>
                <c:pt idx="7">
                  <c:v>4046.4520000000002</c:v>
                </c:pt>
                <c:pt idx="8">
                  <c:v>4945.8360000000002</c:v>
                </c:pt>
                <c:pt idx="9">
                  <c:v>5995.1819999999998</c:v>
                </c:pt>
                <c:pt idx="10">
                  <c:v>7046.2740000000003</c:v>
                </c:pt>
              </c:numCache>
            </c:numRef>
          </c:val>
          <c:smooth val="0"/>
          <c:extLst>
            <c:ext xmlns:c16="http://schemas.microsoft.com/office/drawing/2014/chart" uri="{C3380CC4-5D6E-409C-BE32-E72D297353CC}">
              <c16:uniqueId val="{00000002-D760-4DF5-8AC7-62E92A4B9955}"/>
            </c:ext>
          </c:extLst>
        </c:ser>
        <c:ser>
          <c:idx val="3"/>
          <c:order val="3"/>
          <c:tx>
            <c:strRef>
              <c:f>'[1]Tab 6 - Lifecycle Chart'!$G$43</c:f>
              <c:strCache>
                <c:ptCount val="1"/>
                <c:pt idx="0">
                  <c:v>Resurrected Users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'[1]Tab 6 - Lifecycle Chart'!$G$44:$G$54</c:f>
              <c:numCache>
                <c:formatCode>General</c:formatCode>
                <c:ptCount val="11"/>
                <c:pt idx="0">
                  <c:v>7</c:v>
                </c:pt>
                <c:pt idx="1">
                  <c:v>14.580000000000041</c:v>
                </c:pt>
                <c:pt idx="2">
                  <c:v>24.420000000000073</c:v>
                </c:pt>
                <c:pt idx="3">
                  <c:v>39.251999999999953</c:v>
                </c:pt>
                <c:pt idx="4">
                  <c:v>56.736000000000104</c:v>
                </c:pt>
                <c:pt idx="5">
                  <c:v>76.182000000000244</c:v>
                </c:pt>
                <c:pt idx="6">
                  <c:v>100.00800000000027</c:v>
                </c:pt>
                <c:pt idx="7">
                  <c:v>125.14800000000014</c:v>
                </c:pt>
                <c:pt idx="8">
                  <c:v>152.96399999999994</c:v>
                </c:pt>
                <c:pt idx="9">
                  <c:v>185.41800000000057</c:v>
                </c:pt>
                <c:pt idx="10">
                  <c:v>217.92600000000039</c:v>
                </c:pt>
              </c:numCache>
            </c:numRef>
          </c:val>
          <c:smooth val="0"/>
          <c:extLst>
            <c:ext xmlns:c16="http://schemas.microsoft.com/office/drawing/2014/chart" uri="{C3380CC4-5D6E-409C-BE32-E72D297353CC}">
              <c16:uniqueId val="{00000003-D760-4DF5-8AC7-62E92A4B9955}"/>
            </c:ext>
          </c:extLst>
        </c:ser>
        <c:dLbls>
          <c:dLblPos val="ctr"/>
          <c:showLegendKey val="0"/>
          <c:showVal val="1"/>
          <c:showCatName val="0"/>
          <c:showSerName val="0"/>
          <c:showPercent val="0"/>
          <c:showBubbleSize val="0"/>
        </c:dLbls>
        <c:smooth val="0"/>
        <c:axId val="778978864"/>
        <c:axId val="778999248"/>
      </c:lineChart>
      <c:catAx>
        <c:axId val="778978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8999248"/>
        <c:crosses val="autoZero"/>
        <c:auto val="1"/>
        <c:lblAlgn val="ctr"/>
        <c:lblOffset val="100"/>
        <c:noMultiLvlLbl val="0"/>
      </c:catAx>
      <c:valAx>
        <c:axId val="778999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8978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466725</xdr:colOff>
      <xdr:row>22</xdr:row>
      <xdr:rowOff>57150</xdr:rowOff>
    </xdr:from>
    <xdr:to>
      <xdr:col>10</xdr:col>
      <xdr:colOff>723900</xdr:colOff>
      <xdr:row>42</xdr:row>
      <xdr:rowOff>9525</xdr:rowOff>
    </xdr:to>
    <xdr:graphicFrame macro="">
      <xdr:nvGraphicFramePr>
        <xdr:cNvPr id="2" name="Chart 1">
          <a:extLst>
            <a:ext uri="{FF2B5EF4-FFF2-40B4-BE49-F238E27FC236}">
              <a16:creationId xmlns:a16="http://schemas.microsoft.com/office/drawing/2014/main" id="{172762C3-80F6-5402-C453-A82E938EF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962025</xdr:colOff>
      <xdr:row>8</xdr:row>
      <xdr:rowOff>190500</xdr:rowOff>
    </xdr:from>
    <xdr:ext cx="5734050" cy="3448050"/>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twoCellAnchor>
    <xdr:from>
      <xdr:col>0</xdr:col>
      <xdr:colOff>1143000</xdr:colOff>
      <xdr:row>145</xdr:row>
      <xdr:rowOff>13607</xdr:rowOff>
    </xdr:from>
    <xdr:to>
      <xdr:col>10</xdr:col>
      <xdr:colOff>27214</xdr:colOff>
      <xdr:row>166</xdr:row>
      <xdr:rowOff>13607</xdr:rowOff>
    </xdr:to>
    <xdr:graphicFrame macro="">
      <xdr:nvGraphicFramePr>
        <xdr:cNvPr id="12" name="Chart 11">
          <a:extLst>
            <a:ext uri="{FF2B5EF4-FFF2-40B4-BE49-F238E27FC236}">
              <a16:creationId xmlns:a16="http://schemas.microsoft.com/office/drawing/2014/main" id="{2388F207-CB5B-23D4-19B9-9BB9B6437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1129392</xdr:colOff>
      <xdr:row>192</xdr:row>
      <xdr:rowOff>186418</xdr:rowOff>
    </xdr:from>
    <xdr:to>
      <xdr:col>10</xdr:col>
      <xdr:colOff>54427</xdr:colOff>
      <xdr:row>214</xdr:row>
      <xdr:rowOff>54429</xdr:rowOff>
    </xdr:to>
    <xdr:graphicFrame macro="">
      <xdr:nvGraphicFramePr>
        <xdr:cNvPr id="13" name="Chart 12">
          <a:extLst>
            <a:ext uri="{FF2B5EF4-FFF2-40B4-BE49-F238E27FC236}">
              <a16:creationId xmlns:a16="http://schemas.microsoft.com/office/drawing/2014/main" id="{090F06A5-5855-4FFB-1ABB-43F871353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1088571</xdr:colOff>
      <xdr:row>92</xdr:row>
      <xdr:rowOff>200024</xdr:rowOff>
    </xdr:from>
    <xdr:to>
      <xdr:col>10</xdr:col>
      <xdr:colOff>40821</xdr:colOff>
      <xdr:row>115</xdr:row>
      <xdr:rowOff>13607</xdr:rowOff>
    </xdr:to>
    <xdr:graphicFrame macro="">
      <xdr:nvGraphicFramePr>
        <xdr:cNvPr id="14" name="Chart 13">
          <a:extLst>
            <a:ext uri="{FF2B5EF4-FFF2-40B4-BE49-F238E27FC236}">
              <a16:creationId xmlns:a16="http://schemas.microsoft.com/office/drawing/2014/main" id="{D6C3AAA3-4094-4E79-330A-ACB6F4347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1143001</xdr:colOff>
      <xdr:row>39</xdr:row>
      <xdr:rowOff>172810</xdr:rowOff>
    </xdr:from>
    <xdr:to>
      <xdr:col>10</xdr:col>
      <xdr:colOff>40821</xdr:colOff>
      <xdr:row>61</xdr:row>
      <xdr:rowOff>54429</xdr:rowOff>
    </xdr:to>
    <xdr:graphicFrame macro="">
      <xdr:nvGraphicFramePr>
        <xdr:cNvPr id="15" name="Chart 14">
          <a:extLst>
            <a:ext uri="{FF2B5EF4-FFF2-40B4-BE49-F238E27FC236}">
              <a16:creationId xmlns:a16="http://schemas.microsoft.com/office/drawing/2014/main" id="{F500E9D8-C68F-5AAE-BBD0-10DF80272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54</xdr:row>
      <xdr:rowOff>136073</xdr:rowOff>
    </xdr:from>
    <xdr:to>
      <xdr:col>5</xdr:col>
      <xdr:colOff>1052648</xdr:colOff>
      <xdr:row>76</xdr:row>
      <xdr:rowOff>105048</xdr:rowOff>
    </xdr:to>
    <xdr:graphicFrame macro="">
      <xdr:nvGraphicFramePr>
        <xdr:cNvPr id="4" name="Chart 3">
          <a:extLst>
            <a:ext uri="{FF2B5EF4-FFF2-40B4-BE49-F238E27FC236}">
              <a16:creationId xmlns:a16="http://schemas.microsoft.com/office/drawing/2014/main" id="{B1F6E53B-F16B-4331-833D-FB96BA19C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8164</xdr:colOff>
      <xdr:row>55</xdr:row>
      <xdr:rowOff>5444</xdr:rowOff>
    </xdr:from>
    <xdr:to>
      <xdr:col>12</xdr:col>
      <xdr:colOff>27214</xdr:colOff>
      <xdr:row>76</xdr:row>
      <xdr:rowOff>95251</xdr:rowOff>
    </xdr:to>
    <xdr:graphicFrame macro="">
      <xdr:nvGraphicFramePr>
        <xdr:cNvPr id="5" name="Chart 4">
          <a:extLst>
            <a:ext uri="{FF2B5EF4-FFF2-40B4-BE49-F238E27FC236}">
              <a16:creationId xmlns:a16="http://schemas.microsoft.com/office/drawing/2014/main" id="{1DAE8C72-86D7-4839-BB52-134B5D2E0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art/Desktop/Retention%20Analysis%20-%20FINAL%20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sheetName val="Tab 1 - Engagement Type Analysi"/>
      <sheetName val="Tab 2 - Engagement State Analys"/>
      <sheetName val="Tab 3 - Retention Cohort Analys"/>
      <sheetName val="Tab 4 - Retention Curve "/>
      <sheetName val="Tab 5 - Retention Segmentation"/>
      <sheetName val="Tab 6 - Lifecycle Chart"/>
      <sheetName val="Tab 7 - Churn &amp; LTV Analysis"/>
      <sheetName val="Tab 8 - Experment Brief"/>
    </sheetNames>
    <sheetDataSet>
      <sheetData sheetId="0" refreshError="1"/>
      <sheetData sheetId="1" refreshError="1"/>
      <sheetData sheetId="2" refreshError="1"/>
      <sheetData sheetId="3" refreshError="1"/>
      <sheetData sheetId="4" refreshError="1"/>
      <sheetData sheetId="5">
        <row r="28">
          <cell r="C28">
            <v>0</v>
          </cell>
          <cell r="D28">
            <v>1</v>
          </cell>
          <cell r="E28">
            <v>2</v>
          </cell>
          <cell r="F28">
            <v>3</v>
          </cell>
          <cell r="G28">
            <v>4</v>
          </cell>
          <cell r="H28">
            <v>5</v>
          </cell>
          <cell r="I28">
            <v>6</v>
          </cell>
          <cell r="J28">
            <v>7</v>
          </cell>
          <cell r="K28">
            <v>8</v>
          </cell>
          <cell r="L28">
            <v>9</v>
          </cell>
          <cell r="M28">
            <v>10</v>
          </cell>
          <cell r="N28">
            <v>11</v>
          </cell>
          <cell r="O28">
            <v>12</v>
          </cell>
          <cell r="P28">
            <v>13</v>
          </cell>
          <cell r="Q28">
            <v>14</v>
          </cell>
        </row>
        <row r="30">
          <cell r="A30" t="str">
            <v>Technology</v>
          </cell>
          <cell r="B30">
            <v>279</v>
          </cell>
          <cell r="C30">
            <v>0.93906810035842292</v>
          </cell>
          <cell r="D30">
            <v>0.87333333333333341</v>
          </cell>
          <cell r="E30">
            <v>0.82966666666666666</v>
          </cell>
          <cell r="F30">
            <v>0.78818333333333324</v>
          </cell>
          <cell r="G30">
            <v>0.74877416666666663</v>
          </cell>
          <cell r="H30">
            <v>0.67389674999999993</v>
          </cell>
          <cell r="I30">
            <v>0.633462945</v>
          </cell>
          <cell r="J30">
            <v>0.60178979774999997</v>
          </cell>
          <cell r="K30">
            <v>0.57170030786249992</v>
          </cell>
          <cell r="L30">
            <v>0.54311529246937484</v>
          </cell>
          <cell r="M30">
            <v>0.51595952784590604</v>
          </cell>
          <cell r="N30">
            <v>0.49016155145361073</v>
          </cell>
          <cell r="O30">
            <v>0.46565347388093015</v>
          </cell>
          <cell r="P30">
            <v>0.44237080018688363</v>
          </cell>
          <cell r="Q30">
            <v>0.42025226017753947</v>
          </cell>
        </row>
        <row r="31">
          <cell r="A31" t="str">
            <v xml:space="preserve">Retail </v>
          </cell>
          <cell r="B31">
            <v>164.8</v>
          </cell>
          <cell r="C31">
            <v>0.98300970873786397</v>
          </cell>
          <cell r="D31">
            <v>0.93385922330097082</v>
          </cell>
          <cell r="E31">
            <v>0.88716626213592231</v>
          </cell>
          <cell r="F31">
            <v>0.84280794902912626</v>
          </cell>
          <cell r="G31">
            <v>0.80066755157766989</v>
          </cell>
          <cell r="H31">
            <v>0.76063417399878641</v>
          </cell>
          <cell r="I31">
            <v>0.72260246529884697</v>
          </cell>
          <cell r="J31">
            <v>0.68647234203390461</v>
          </cell>
          <cell r="K31">
            <v>0.65214872493220932</v>
          </cell>
          <cell r="L31">
            <v>0.61954128868559888</v>
          </cell>
          <cell r="M31">
            <v>0.58856422425131893</v>
          </cell>
          <cell r="N31">
            <v>0.55913601303875293</v>
          </cell>
          <cell r="O31">
            <v>0.5311792123868152</v>
          </cell>
          <cell r="P31">
            <v>0.50462025176747438</v>
          </cell>
          <cell r="Q31">
            <v>0.4793892391791007</v>
          </cell>
        </row>
        <row r="32">
          <cell r="A32" t="str">
            <v>Healthcare</v>
          </cell>
          <cell r="B32">
            <v>137.6</v>
          </cell>
          <cell r="C32">
            <v>0.95930232558139539</v>
          </cell>
          <cell r="D32">
            <v>0.88255813953488382</v>
          </cell>
          <cell r="E32">
            <v>0.83843023255813964</v>
          </cell>
          <cell r="F32">
            <v>0.79650872093023262</v>
          </cell>
          <cell r="G32">
            <v>0.75668328488372094</v>
          </cell>
          <cell r="H32">
            <v>0.71884912063953488</v>
          </cell>
          <cell r="I32">
            <v>0.682906664607558</v>
          </cell>
          <cell r="J32">
            <v>0.64876133137718006</v>
          </cell>
          <cell r="K32">
            <v>0.616323264808321</v>
          </cell>
          <cell r="L32">
            <v>0.58550710156790498</v>
          </cell>
          <cell r="M32">
            <v>0.55623174648950968</v>
          </cell>
          <cell r="N32">
            <v>0.52842015916503415</v>
          </cell>
          <cell r="O32">
            <v>0.50199915120678251</v>
          </cell>
          <cell r="P32">
            <v>0.47689919364644334</v>
          </cell>
          <cell r="Q32">
            <v>0.45305423396412114</v>
          </cell>
        </row>
        <row r="33">
          <cell r="A33" t="str">
            <v>Financial Services</v>
          </cell>
          <cell r="B33">
            <v>110.4</v>
          </cell>
          <cell r="C33">
            <v>0.96014492753623182</v>
          </cell>
          <cell r="D33">
            <v>0.93134057971014483</v>
          </cell>
          <cell r="E33">
            <v>0.88477355072463748</v>
          </cell>
          <cell r="F33">
            <v>0.8405348731884057</v>
          </cell>
          <cell r="G33">
            <v>0.79850812952898531</v>
          </cell>
          <cell r="H33">
            <v>0.75858272305253616</v>
          </cell>
          <cell r="I33">
            <v>0.72065358689990922</v>
          </cell>
          <cell r="J33">
            <v>0.68462090755491378</v>
          </cell>
          <cell r="K33">
            <v>0.65038986217716799</v>
          </cell>
          <cell r="L33">
            <v>0.61787036906830961</v>
          </cell>
          <cell r="M33">
            <v>0.58697685061489402</v>
          </cell>
          <cell r="N33">
            <v>0.55762800808414936</v>
          </cell>
          <cell r="O33">
            <v>0.52974660767994186</v>
          </cell>
          <cell r="P33">
            <v>0.50325927729594466</v>
          </cell>
          <cell r="Q33">
            <v>0.47809631343114739</v>
          </cell>
        </row>
        <row r="34">
          <cell r="A34" t="str">
            <v>Manufacturing</v>
          </cell>
          <cell r="B34">
            <v>89.600000000000009</v>
          </cell>
          <cell r="C34">
            <v>0.80357142857142849</v>
          </cell>
          <cell r="D34">
            <v>0.74732142857142858</v>
          </cell>
          <cell r="E34">
            <v>0.70995535714285707</v>
          </cell>
          <cell r="F34">
            <v>0.6744575892857142</v>
          </cell>
          <cell r="G34">
            <v>0.64073470982142844</v>
          </cell>
          <cell r="H34">
            <v>0.60869797433035699</v>
          </cell>
          <cell r="I34">
            <v>0.57826307561383916</v>
          </cell>
          <cell r="J34">
            <v>0.54934992183314713</v>
          </cell>
          <cell r="K34">
            <v>0.52188242574148969</v>
          </cell>
          <cell r="L34">
            <v>0.49578830445441524</v>
          </cell>
          <cell r="M34">
            <v>0.47099888923169442</v>
          </cell>
          <cell r="N34">
            <v>0.44744894477010971</v>
          </cell>
          <cell r="O34">
            <v>0.42507649753160415</v>
          </cell>
          <cell r="P34">
            <v>0.40382267265502392</v>
          </cell>
          <cell r="Q34">
            <v>0.38363153902227265</v>
          </cell>
        </row>
        <row r="35">
          <cell r="A35" t="str">
            <v>Consume Goods</v>
          </cell>
          <cell r="B35">
            <v>73.600000000000009</v>
          </cell>
          <cell r="C35">
            <v>0.92391304347826075</v>
          </cell>
          <cell r="D35">
            <v>0.87771739130434767</v>
          </cell>
          <cell r="E35">
            <v>0.83383152173913022</v>
          </cell>
          <cell r="F35">
            <v>0.79213994565217372</v>
          </cell>
          <cell r="G35">
            <v>0.75253294836956497</v>
          </cell>
          <cell r="H35">
            <v>0.71490630095108665</v>
          </cell>
          <cell r="I35">
            <v>0.67916098590353224</v>
          </cell>
          <cell r="J35">
            <v>0.64520293660835559</v>
          </cell>
          <cell r="K35">
            <v>0.61294278977793781</v>
          </cell>
          <cell r="L35">
            <v>0.58229565028904096</v>
          </cell>
          <cell r="M35">
            <v>0.55318086777458886</v>
          </cell>
          <cell r="N35">
            <v>0.52552182438585937</v>
          </cell>
          <cell r="O35">
            <v>0.4992457331665664</v>
          </cell>
          <cell r="P35">
            <v>0.47428344650823806</v>
          </cell>
          <cell r="Q35">
            <v>0.45056927418282616</v>
          </cell>
        </row>
        <row r="36">
          <cell r="A36" t="str">
            <v>Transportation</v>
          </cell>
          <cell r="B36">
            <v>46.400000000000006</v>
          </cell>
          <cell r="C36">
            <v>0.90517241379310331</v>
          </cell>
          <cell r="D36">
            <v>0.85086206896551708</v>
          </cell>
          <cell r="E36">
            <v>0.80831896551724114</v>
          </cell>
          <cell r="F36">
            <v>0.76790301724137899</v>
          </cell>
          <cell r="G36">
            <v>0.72950786637931009</v>
          </cell>
          <cell r="H36">
            <v>0.69303247306034454</v>
          </cell>
          <cell r="I36">
            <v>0.65838084940732722</v>
          </cell>
          <cell r="J36">
            <v>0.62546180693696085</v>
          </cell>
          <cell r="K36">
            <v>0.59418871659011274</v>
          </cell>
          <cell r="L36">
            <v>0.56447928076060716</v>
          </cell>
          <cell r="M36">
            <v>0.53625531672257676</v>
          </cell>
          <cell r="N36">
            <v>0.50944255088644785</v>
          </cell>
          <cell r="O36">
            <v>0.48397042334212542</v>
          </cell>
          <cell r="P36">
            <v>0.45977190217501918</v>
          </cell>
          <cell r="Q36">
            <v>0.43678330706626822</v>
          </cell>
        </row>
        <row r="37">
          <cell r="A37" t="str">
            <v>Oil and Gas</v>
          </cell>
          <cell r="B37">
            <v>19.200000000000003</v>
          </cell>
          <cell r="C37">
            <v>0.88541666666666652</v>
          </cell>
          <cell r="D37">
            <v>0.84999999999999987</v>
          </cell>
          <cell r="E37">
            <v>0.80749999999999988</v>
          </cell>
          <cell r="F37">
            <v>0.76712499999999983</v>
          </cell>
          <cell r="G37">
            <v>0.72876874999999985</v>
          </cell>
          <cell r="H37">
            <v>0.69233031249999988</v>
          </cell>
          <cell r="I37">
            <v>0.65771379687499987</v>
          </cell>
          <cell r="J37">
            <v>0.6248281070312498</v>
          </cell>
          <cell r="K37">
            <v>0.5935867016796873</v>
          </cell>
          <cell r="L37">
            <v>0.56390736659570295</v>
          </cell>
          <cell r="M37">
            <v>0.53571199826591775</v>
          </cell>
          <cell r="N37">
            <v>0.50892639835262188</v>
          </cell>
          <cell r="O37">
            <v>0.48348007843499075</v>
          </cell>
          <cell r="P37">
            <v>0.45930607451324124</v>
          </cell>
          <cell r="Q37">
            <v>0.43634077078757916</v>
          </cell>
        </row>
        <row r="38">
          <cell r="C38">
            <v>0.92328873496926378</v>
          </cell>
          <cell r="D38">
            <v>0.86849168257921272</v>
          </cell>
          <cell r="E38">
            <v>0.8231350251647136</v>
          </cell>
          <cell r="F38">
            <v>0.78018144575092718</v>
          </cell>
          <cell r="G38">
            <v>0.74367894874037388</v>
          </cell>
          <cell r="H38">
            <v>0.70151633023138926</v>
          </cell>
          <cell r="I38">
            <v>0.66800079669831935</v>
          </cell>
          <cell r="J38">
            <v>0.63233788086114051</v>
          </cell>
          <cell r="K38">
            <v>0.59725124361461357</v>
          </cell>
          <cell r="L38">
            <v>0.56926234276375665</v>
          </cell>
          <cell r="M38">
            <v>0.54324747642993709</v>
          </cell>
          <cell r="N38">
            <v>0.51608510260844009</v>
          </cell>
          <cell r="O38">
            <v>0.48797826759650981</v>
          </cell>
          <cell r="P38">
            <v>0.46096016960146863</v>
          </cell>
          <cell r="Q38">
            <v>0.43932652081361162</v>
          </cell>
        </row>
        <row r="82">
          <cell r="B82" t="str">
            <v>New Users Acquired</v>
          </cell>
          <cell r="C82">
            <v>0</v>
          </cell>
          <cell r="D82">
            <v>1</v>
          </cell>
          <cell r="E82">
            <v>2</v>
          </cell>
          <cell r="F82">
            <v>3</v>
          </cell>
          <cell r="G82">
            <v>4</v>
          </cell>
          <cell r="H82">
            <v>5</v>
          </cell>
          <cell r="I82">
            <v>6</v>
          </cell>
          <cell r="J82">
            <v>7</v>
          </cell>
          <cell r="K82">
            <v>8</v>
          </cell>
          <cell r="L82">
            <v>9</v>
          </cell>
          <cell r="M82">
            <v>10</v>
          </cell>
          <cell r="N82">
            <v>11</v>
          </cell>
          <cell r="O82">
            <v>12</v>
          </cell>
          <cell r="P82">
            <v>13</v>
          </cell>
          <cell r="Q82">
            <v>14</v>
          </cell>
        </row>
        <row r="83">
          <cell r="A83" t="str">
            <v>Total</v>
          </cell>
          <cell r="B83">
            <v>1450</v>
          </cell>
        </row>
        <row r="84">
          <cell r="A84" t="str">
            <v>1-5</v>
          </cell>
          <cell r="B84">
            <v>280</v>
          </cell>
          <cell r="C84">
            <v>0.69129287598944589</v>
          </cell>
          <cell r="D84">
            <v>0.64290237467018474</v>
          </cell>
          <cell r="E84">
            <v>0.61075725593667551</v>
          </cell>
          <cell r="F84">
            <v>0.58021939313984161</v>
          </cell>
          <cell r="G84">
            <v>0.5512084234828496</v>
          </cell>
          <cell r="H84">
            <v>0.49608758113456464</v>
          </cell>
          <cell r="I84">
            <v>0.46632232626649073</v>
          </cell>
          <cell r="J84">
            <v>0.4430062099531662</v>
          </cell>
          <cell r="K84">
            <v>0.42085589945550783</v>
          </cell>
          <cell r="L84">
            <v>0.39981310448273238</v>
          </cell>
          <cell r="M84">
            <v>0.37982244925859576</v>
          </cell>
          <cell r="N84">
            <v>0.36083132679566593</v>
          </cell>
          <cell r="O84">
            <v>0.34278976045588261</v>
          </cell>
          <cell r="P84">
            <v>0.32565027243308847</v>
          </cell>
          <cell r="Q84">
            <v>0.30936775881143408</v>
          </cell>
        </row>
        <row r="85">
          <cell r="A85" t="str">
            <v>6-10</v>
          </cell>
          <cell r="B85">
            <v>370</v>
          </cell>
          <cell r="C85">
            <v>0.57857142857142863</v>
          </cell>
          <cell r="D85">
            <v>0.54964285714285721</v>
          </cell>
          <cell r="E85">
            <v>0.52216071428571431</v>
          </cell>
          <cell r="F85">
            <v>0.49605267857142865</v>
          </cell>
          <cell r="G85">
            <v>0.47125004464285719</v>
          </cell>
          <cell r="H85">
            <v>0.44768754241071429</v>
          </cell>
          <cell r="I85">
            <v>0.42530316529017853</v>
          </cell>
          <cell r="J85">
            <v>0.40403800702566961</v>
          </cell>
          <cell r="K85">
            <v>0.38383610667438611</v>
          </cell>
          <cell r="L85">
            <v>0.36464430134066678</v>
          </cell>
          <cell r="M85">
            <v>0.34641208627363346</v>
          </cell>
          <cell r="N85">
            <v>0.32909148195995175</v>
          </cell>
          <cell r="O85">
            <v>0.31263690786195414</v>
          </cell>
          <cell r="P85">
            <v>0.29700506246885638</v>
          </cell>
          <cell r="Q85">
            <v>0.28215480934541359</v>
          </cell>
        </row>
        <row r="86">
          <cell r="A86" t="str">
            <v>11-20</v>
          </cell>
          <cell r="B86">
            <v>200</v>
          </cell>
          <cell r="C86">
            <v>0.66</v>
          </cell>
          <cell r="D86">
            <v>0.60720000000000007</v>
          </cell>
          <cell r="E86">
            <v>0.57684000000000002</v>
          </cell>
          <cell r="F86">
            <v>0.5479980000000001</v>
          </cell>
          <cell r="G86">
            <v>0.52059809999999995</v>
          </cell>
          <cell r="H86">
            <v>0.49456819499999993</v>
          </cell>
          <cell r="I86">
            <v>0.46983978524999992</v>
          </cell>
          <cell r="J86">
            <v>0.44634779598749985</v>
          </cell>
          <cell r="K86">
            <v>0.42403040618812482</v>
          </cell>
          <cell r="L86">
            <v>0.40282888587871857</v>
          </cell>
          <cell r="M86">
            <v>0.38268744158478263</v>
          </cell>
          <cell r="N86">
            <v>0.3635530695055435</v>
          </cell>
          <cell r="O86">
            <v>0.34537541603026634</v>
          </cell>
          <cell r="P86">
            <v>0.32810664522875299</v>
          </cell>
          <cell r="Q86">
            <v>0.31170131296731535</v>
          </cell>
        </row>
        <row r="87">
          <cell r="A87" t="str">
            <v>21-50</v>
          </cell>
          <cell r="B87">
            <v>175</v>
          </cell>
          <cell r="C87">
            <v>0.60571428571428576</v>
          </cell>
          <cell r="D87">
            <v>0.58754285714285714</v>
          </cell>
          <cell r="E87">
            <v>0.55816571428571427</v>
          </cell>
          <cell r="F87">
            <v>0.53025742857142855</v>
          </cell>
          <cell r="G87">
            <v>0.50374455714285704</v>
          </cell>
          <cell r="H87">
            <v>0.47855732928571426</v>
          </cell>
          <cell r="I87">
            <v>0.45462946282142852</v>
          </cell>
          <cell r="J87">
            <v>0.43189798968035703</v>
          </cell>
          <cell r="K87">
            <v>0.41030309019633915</v>
          </cell>
          <cell r="L87">
            <v>0.3897879356865222</v>
          </cell>
          <cell r="M87">
            <v>0.37029853890219605</v>
          </cell>
          <cell r="N87">
            <v>0.35178361195708624</v>
          </cell>
          <cell r="O87">
            <v>0.33419443135923188</v>
          </cell>
          <cell r="P87">
            <v>0.31748470979127025</v>
          </cell>
          <cell r="Q87">
            <v>0.30161047430170673</v>
          </cell>
        </row>
        <row r="88">
          <cell r="A88" t="str">
            <v>51-100</v>
          </cell>
          <cell r="B88">
            <v>120</v>
          </cell>
          <cell r="C88">
            <v>0.6</v>
          </cell>
          <cell r="D88">
            <v>0.55800000000000005</v>
          </cell>
          <cell r="E88">
            <v>0.53010000000000002</v>
          </cell>
          <cell r="F88">
            <v>0.50359500000000001</v>
          </cell>
          <cell r="G88">
            <v>0.47841524999999996</v>
          </cell>
          <cell r="H88">
            <v>0.45449448749999993</v>
          </cell>
          <cell r="I88">
            <v>0.43176976312499993</v>
          </cell>
          <cell r="J88">
            <v>0.4101812749687499</v>
          </cell>
          <cell r="K88">
            <v>0.38967221122031237</v>
          </cell>
          <cell r="L88">
            <v>0.37018860065929676</v>
          </cell>
          <cell r="M88">
            <v>0.35167917062633186</v>
          </cell>
          <cell r="N88">
            <v>0.33409521209501525</v>
          </cell>
          <cell r="O88">
            <v>0.31739045149026446</v>
          </cell>
          <cell r="P88">
            <v>0.30152092891575122</v>
          </cell>
          <cell r="Q88">
            <v>0.28644488246996358</v>
          </cell>
        </row>
        <row r="89">
          <cell r="A89" t="str">
            <v>101-250</v>
          </cell>
          <cell r="B89">
            <v>75</v>
          </cell>
          <cell r="C89">
            <v>0.68</v>
          </cell>
          <cell r="D89">
            <v>0.64599999999999991</v>
          </cell>
          <cell r="E89">
            <v>0.61369999999999991</v>
          </cell>
          <cell r="F89">
            <v>0.58301499999999995</v>
          </cell>
          <cell r="G89">
            <v>0.55386424999999984</v>
          </cell>
          <cell r="H89">
            <v>0.52617103749999983</v>
          </cell>
          <cell r="I89">
            <v>0.4998624856249998</v>
          </cell>
          <cell r="J89">
            <v>0.4748693613437498</v>
          </cell>
          <cell r="K89">
            <v>0.45112589327656233</v>
          </cell>
          <cell r="L89">
            <v>0.42856959861273419</v>
          </cell>
          <cell r="M89">
            <v>0.4071411186820974</v>
          </cell>
          <cell r="N89">
            <v>0.38678406274799249</v>
          </cell>
          <cell r="O89">
            <v>0.36744485961059292</v>
          </cell>
          <cell r="P89">
            <v>0.34907261663006323</v>
          </cell>
          <cell r="Q89">
            <v>0.33161898579856008</v>
          </cell>
        </row>
        <row r="90">
          <cell r="A90" t="str">
            <v>251-500</v>
          </cell>
          <cell r="B90">
            <v>130</v>
          </cell>
          <cell r="C90">
            <v>0.32307692307692309</v>
          </cell>
          <cell r="D90">
            <v>0.30369230769230765</v>
          </cell>
          <cell r="E90">
            <v>0.28850769230769224</v>
          </cell>
          <cell r="F90">
            <v>0.27408230769230763</v>
          </cell>
          <cell r="G90">
            <v>0.26037819230769227</v>
          </cell>
          <cell r="H90">
            <v>0.24735928269230761</v>
          </cell>
          <cell r="I90">
            <v>0.2349913185576922</v>
          </cell>
          <cell r="J90">
            <v>0.22324175262980761</v>
          </cell>
          <cell r="K90">
            <v>0.21207966499831721</v>
          </cell>
          <cell r="L90">
            <v>0.20147568174840133</v>
          </cell>
          <cell r="M90">
            <v>0.19140189766098126</v>
          </cell>
          <cell r="N90">
            <v>0.18183180277793218</v>
          </cell>
          <cell r="O90">
            <v>0.17274021263903555</v>
          </cell>
          <cell r="P90">
            <v>0.16410320200708378</v>
          </cell>
          <cell r="Q90">
            <v>0.1558980419067296</v>
          </cell>
        </row>
        <row r="91">
          <cell r="A91" t="str">
            <v>501+</v>
          </cell>
          <cell r="B91">
            <v>100</v>
          </cell>
          <cell r="C91">
            <v>0.17</v>
          </cell>
          <cell r="D91">
            <v>0.16320000000000001</v>
          </cell>
          <cell r="E91">
            <v>0.15503999999999998</v>
          </cell>
          <cell r="F91">
            <v>0.147288</v>
          </cell>
          <cell r="G91">
            <v>0.13992360000000001</v>
          </cell>
          <cell r="H91">
            <v>0.13292741999999999</v>
          </cell>
          <cell r="I91">
            <v>0.12628104899999998</v>
          </cell>
          <cell r="J91">
            <v>0.11996699654999998</v>
          </cell>
          <cell r="K91">
            <v>0.11396864672249998</v>
          </cell>
          <cell r="L91">
            <v>0.10827021438637498</v>
          </cell>
          <cell r="M91">
            <v>0.10285670366705622</v>
          </cell>
          <cell r="N91">
            <v>9.7713868483703406E-2</v>
          </cell>
          <cell r="O91">
            <v>9.2828175059518236E-2</v>
          </cell>
          <cell r="P91">
            <v>8.8186766306542333E-2</v>
          </cell>
          <cell r="Q91">
            <v>8.3777427991215209E-2</v>
          </cell>
        </row>
        <row r="92">
          <cell r="C92">
            <v>0.54387876473603558</v>
          </cell>
          <cell r="D92">
            <v>0.51083705515318512</v>
          </cell>
          <cell r="E92">
            <v>0.48409663995168029</v>
          </cell>
          <cell r="F92">
            <v>0.45877714488131993</v>
          </cell>
          <cell r="G92">
            <v>0.43739324262377677</v>
          </cell>
          <cell r="H92">
            <v>0.41195335951097467</v>
          </cell>
          <cell r="I92">
            <v>0.39223690764552799</v>
          </cell>
          <cell r="J92">
            <v>0.37122128622033834</v>
          </cell>
          <cell r="K92">
            <v>0.35050776531018779</v>
          </cell>
          <cell r="L92">
            <v>0.33414470360821052</v>
          </cell>
          <cell r="M92">
            <v>0.31895624180414867</v>
          </cell>
          <cell r="N92">
            <v>0.30300842971394121</v>
          </cell>
          <cell r="O92">
            <v>0.28642960186778826</v>
          </cell>
          <cell r="P92">
            <v>0.27048330953938021</v>
          </cell>
          <cell r="Q92">
            <v>0.25783654266932127</v>
          </cell>
        </row>
        <row r="134">
          <cell r="B134" t="str">
            <v>New Users</v>
          </cell>
          <cell r="C134">
            <v>0</v>
          </cell>
          <cell r="D134">
            <v>1</v>
          </cell>
          <cell r="E134">
            <v>2</v>
          </cell>
          <cell r="F134">
            <v>3</v>
          </cell>
          <cell r="G134">
            <v>4</v>
          </cell>
          <cell r="H134">
            <v>5</v>
          </cell>
          <cell r="I134">
            <v>6</v>
          </cell>
          <cell r="J134">
            <v>7</v>
          </cell>
          <cell r="K134">
            <v>8</v>
          </cell>
          <cell r="L134">
            <v>9</v>
          </cell>
          <cell r="M134">
            <v>10</v>
          </cell>
          <cell r="N134">
            <v>11</v>
          </cell>
          <cell r="O134">
            <v>12</v>
          </cell>
          <cell r="P134">
            <v>13</v>
          </cell>
          <cell r="Q134">
            <v>14</v>
          </cell>
        </row>
        <row r="135">
          <cell r="A135" t="str">
            <v>Total</v>
          </cell>
          <cell r="B135">
            <v>1700</v>
          </cell>
        </row>
        <row r="136">
          <cell r="A136" t="str">
            <v>1 - 2</v>
          </cell>
          <cell r="B136">
            <v>300</v>
          </cell>
        </row>
        <row r="137">
          <cell r="A137" t="str">
            <v>2 - 5</v>
          </cell>
          <cell r="B137">
            <v>250</v>
          </cell>
        </row>
        <row r="138">
          <cell r="A138" t="str">
            <v>5 - 10</v>
          </cell>
          <cell r="B138">
            <v>210</v>
          </cell>
        </row>
        <row r="139">
          <cell r="A139" t="str">
            <v>10 - 20</v>
          </cell>
          <cell r="B139">
            <v>250</v>
          </cell>
        </row>
        <row r="140">
          <cell r="A140" t="str">
            <v>20 - 50</v>
          </cell>
          <cell r="B140">
            <v>220</v>
          </cell>
        </row>
        <row r="141">
          <cell r="A141" t="str">
            <v>50 - 100</v>
          </cell>
          <cell r="B141">
            <v>270</v>
          </cell>
        </row>
        <row r="142">
          <cell r="A142" t="str">
            <v>100+</v>
          </cell>
          <cell r="B142">
            <v>200</v>
          </cell>
        </row>
        <row r="143">
          <cell r="C143">
            <v>0.43394884306726411</v>
          </cell>
          <cell r="D143">
            <v>0.54238575668970412</v>
          </cell>
          <cell r="E143">
            <v>0.53083831096048195</v>
          </cell>
          <cell r="F143">
            <v>0.51519195857035271</v>
          </cell>
          <cell r="G143">
            <v>0.50267367503657179</v>
          </cell>
          <cell r="H143">
            <v>0.48635731200954591</v>
          </cell>
          <cell r="I143">
            <v>0.47470305224637521</v>
          </cell>
          <cell r="J143">
            <v>0.46160942379003345</v>
          </cell>
          <cell r="K143">
            <v>0.44851262297302985</v>
          </cell>
          <cell r="L143">
            <v>0.43898330982322942</v>
          </cell>
          <cell r="M143">
            <v>0.32704507070218791</v>
          </cell>
          <cell r="N143">
            <v>0.24116044448916701</v>
          </cell>
          <cell r="O143">
            <v>0.22784730414956067</v>
          </cell>
          <cell r="P143">
            <v>0.21502724208610183</v>
          </cell>
          <cell r="Q143">
            <v>0.2050468362840264</v>
          </cell>
        </row>
        <row r="184">
          <cell r="B184" t="str">
            <v>New Users</v>
          </cell>
          <cell r="C184">
            <v>0</v>
          </cell>
          <cell r="D184">
            <v>1</v>
          </cell>
          <cell r="E184">
            <v>2</v>
          </cell>
          <cell r="F184">
            <v>3</v>
          </cell>
          <cell r="G184">
            <v>4</v>
          </cell>
          <cell r="H184">
            <v>5</v>
          </cell>
          <cell r="I184">
            <v>6</v>
          </cell>
          <cell r="J184">
            <v>7</v>
          </cell>
          <cell r="K184">
            <v>8</v>
          </cell>
          <cell r="L184">
            <v>9</v>
          </cell>
          <cell r="M184">
            <v>10</v>
          </cell>
          <cell r="N184">
            <v>11</v>
          </cell>
          <cell r="O184">
            <v>12</v>
          </cell>
          <cell r="P184">
            <v>13</v>
          </cell>
          <cell r="Q184">
            <v>14</v>
          </cell>
        </row>
        <row r="185">
          <cell r="A185" t="str">
            <v>Total</v>
          </cell>
          <cell r="B185">
            <v>1490</v>
          </cell>
        </row>
        <row r="186">
          <cell r="A186" t="str">
            <v>Pricing Page</v>
          </cell>
          <cell r="B186">
            <v>250</v>
          </cell>
        </row>
        <row r="187">
          <cell r="A187" t="str">
            <v>Free Trial Page</v>
          </cell>
          <cell r="B187">
            <v>310</v>
          </cell>
        </row>
        <row r="188">
          <cell r="A188" t="str">
            <v>Referral link</v>
          </cell>
          <cell r="B188">
            <v>390</v>
          </cell>
        </row>
        <row r="189">
          <cell r="A189" t="str">
            <v>Team Invitation</v>
          </cell>
          <cell r="B189">
            <v>430</v>
          </cell>
        </row>
        <row r="190">
          <cell r="A190" t="str">
            <v>Blog Page</v>
          </cell>
          <cell r="B190">
            <v>110</v>
          </cell>
        </row>
        <row r="191">
          <cell r="C191">
            <v>0.53455420280970956</v>
          </cell>
          <cell r="D191">
            <v>0.498667600587198</v>
          </cell>
          <cell r="E191">
            <v>0.47194361653099243</v>
          </cell>
          <cell r="F191">
            <v>0.44668117395947643</v>
          </cell>
          <cell r="G191">
            <v>0.42667015539573078</v>
          </cell>
          <cell r="H191">
            <v>0.40011394185517329</v>
          </cell>
          <cell r="I191">
            <v>0.38144473705521942</v>
          </cell>
          <cell r="J191">
            <v>0.36027531532224044</v>
          </cell>
          <cell r="K191">
            <v>0.33904586607312748</v>
          </cell>
          <cell r="L191">
            <v>0.32383004185029157</v>
          </cell>
          <cell r="M191">
            <v>0.30990752602338245</v>
          </cell>
          <cell r="N191">
            <v>0.29441214972221325</v>
          </cell>
          <cell r="O191">
            <v>0.27755756065330067</v>
          </cell>
          <cell r="P191">
            <v>0.26125227857019845</v>
          </cell>
          <cell r="Q191">
            <v>0.2495004628289246</v>
          </cell>
        </row>
      </sheetData>
      <sheetData sheetId="6">
        <row r="43">
          <cell r="B43" t="str">
            <v># of New Users</v>
          </cell>
          <cell r="D43" t="str">
            <v>Dormant Uses</v>
          </cell>
          <cell r="F43" t="str">
            <v>Retained Users</v>
          </cell>
          <cell r="G43" t="str">
            <v>Resurrected Users</v>
          </cell>
        </row>
        <row r="44">
          <cell r="B44">
            <v>240</v>
          </cell>
          <cell r="D44">
            <v>3</v>
          </cell>
          <cell r="F44">
            <v>229.89</v>
          </cell>
          <cell r="G44">
            <v>7</v>
          </cell>
        </row>
        <row r="45">
          <cell r="B45">
            <v>324</v>
          </cell>
          <cell r="D45">
            <v>75</v>
          </cell>
          <cell r="F45">
            <v>471.41999999999996</v>
          </cell>
          <cell r="G45">
            <v>14.580000000000041</v>
          </cell>
        </row>
        <row r="46">
          <cell r="B46">
            <v>425</v>
          </cell>
          <cell r="D46">
            <v>97.199999999999989</v>
          </cell>
          <cell r="F46">
            <v>789.57999999999993</v>
          </cell>
          <cell r="G46">
            <v>24.420000000000073</v>
          </cell>
        </row>
        <row r="47">
          <cell r="B47">
            <v>634</v>
          </cell>
          <cell r="D47">
            <v>139.6</v>
          </cell>
          <cell r="F47">
            <v>1269.1480000000001</v>
          </cell>
          <cell r="G47">
            <v>39.251999999999953</v>
          </cell>
        </row>
        <row r="48">
          <cell r="B48">
            <v>796</v>
          </cell>
          <cell r="D48">
            <v>213.19999999999993</v>
          </cell>
          <cell r="F48">
            <v>1834.4639999999997</v>
          </cell>
          <cell r="G48">
            <v>56.736000000000104</v>
          </cell>
        </row>
        <row r="49">
          <cell r="B49">
            <v>918</v>
          </cell>
          <cell r="D49">
            <v>269.79999999999995</v>
          </cell>
          <cell r="F49">
            <v>2463.2179999999994</v>
          </cell>
          <cell r="G49">
            <v>76.182000000000244</v>
          </cell>
        </row>
        <row r="50">
          <cell r="B50">
            <v>1129</v>
          </cell>
          <cell r="D50">
            <v>334.8</v>
          </cell>
          <cell r="F50">
            <v>3233.5919999999996</v>
          </cell>
          <cell r="G50">
            <v>100.00800000000027</v>
          </cell>
        </row>
        <row r="51">
          <cell r="B51">
            <v>1298</v>
          </cell>
          <cell r="D51">
            <v>459.99999999999989</v>
          </cell>
          <cell r="F51">
            <v>4046.4520000000002</v>
          </cell>
          <cell r="G51">
            <v>125.14800000000014</v>
          </cell>
        </row>
        <row r="52">
          <cell r="B52">
            <v>1420</v>
          </cell>
          <cell r="D52">
            <v>492.79999999999995</v>
          </cell>
          <cell r="F52">
            <v>4945.8360000000002</v>
          </cell>
          <cell r="G52">
            <v>152.96399999999994</v>
          </cell>
        </row>
        <row r="53">
          <cell r="B53">
            <v>1670</v>
          </cell>
          <cell r="D53">
            <v>588.19999999999993</v>
          </cell>
          <cell r="F53">
            <v>5995.1819999999998</v>
          </cell>
          <cell r="G53">
            <v>185.41800000000057</v>
          </cell>
        </row>
        <row r="54">
          <cell r="B54">
            <v>1820</v>
          </cell>
          <cell r="D54">
            <v>736.4</v>
          </cell>
          <cell r="F54">
            <v>7046.2740000000003</v>
          </cell>
          <cell r="G54">
            <v>217.92600000000039</v>
          </cell>
        </row>
      </sheetData>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7"/>
  <sheetViews>
    <sheetView topLeftCell="A2" workbookViewId="0">
      <selection sqref="A1:E1"/>
    </sheetView>
  </sheetViews>
  <sheetFormatPr defaultColWidth="12.5703125" defaultRowHeight="15.75" customHeight="1"/>
  <cols>
    <col min="5" max="5" width="28.7109375" customWidth="1"/>
  </cols>
  <sheetData>
    <row r="1" spans="1:5" ht="38.25">
      <c r="A1" s="151" t="s">
        <v>0</v>
      </c>
      <c r="B1" s="152"/>
      <c r="C1" s="152"/>
      <c r="D1" s="152"/>
      <c r="E1" s="152"/>
    </row>
    <row r="2" spans="1:5" ht="150" customHeight="1">
      <c r="A2" s="153" t="s">
        <v>1</v>
      </c>
      <c r="B2" s="143"/>
      <c r="C2" s="143"/>
      <c r="D2" s="143"/>
      <c r="E2" s="144"/>
    </row>
    <row r="3" spans="1:5" ht="12.75">
      <c r="A3" s="154" t="s">
        <v>2</v>
      </c>
      <c r="B3" s="152"/>
      <c r="C3" s="152"/>
      <c r="D3" s="152"/>
      <c r="E3" s="152"/>
    </row>
    <row r="5" spans="1:5" ht="12.75">
      <c r="A5" s="1" t="s">
        <v>3</v>
      </c>
      <c r="B5" s="2" t="s">
        <v>4</v>
      </c>
      <c r="C5" s="149" t="s">
        <v>5</v>
      </c>
      <c r="D5" s="143"/>
      <c r="E5" s="144"/>
    </row>
    <row r="6" spans="1:5" ht="12.75">
      <c r="A6" s="3"/>
      <c r="B6" s="4"/>
      <c r="C6" s="149" t="s">
        <v>6</v>
      </c>
      <c r="D6" s="143"/>
      <c r="E6" s="144"/>
    </row>
    <row r="7" spans="1:5" ht="12.75">
      <c r="A7" s="5">
        <v>1</v>
      </c>
      <c r="B7" s="6" t="b">
        <v>0</v>
      </c>
      <c r="C7" s="142" t="s">
        <v>7</v>
      </c>
      <c r="D7" s="143"/>
      <c r="E7" s="144"/>
    </row>
    <row r="8" spans="1:5" ht="12.75">
      <c r="A8" s="5">
        <v>2</v>
      </c>
      <c r="B8" s="6" t="b">
        <v>0</v>
      </c>
      <c r="C8" s="142" t="s">
        <v>8</v>
      </c>
      <c r="D8" s="143"/>
      <c r="E8" s="144"/>
    </row>
    <row r="9" spans="1:5" ht="12.75">
      <c r="A9" s="3"/>
      <c r="B9" s="4"/>
      <c r="C9" s="149" t="s">
        <v>9</v>
      </c>
      <c r="D9" s="143"/>
      <c r="E9" s="144"/>
    </row>
    <row r="10" spans="1:5" ht="12.75">
      <c r="A10" s="5">
        <v>3</v>
      </c>
      <c r="B10" s="6" t="b">
        <v>0</v>
      </c>
      <c r="C10" s="142" t="s">
        <v>10</v>
      </c>
      <c r="D10" s="143"/>
      <c r="E10" s="144"/>
    </row>
    <row r="11" spans="1:5" ht="12.75">
      <c r="A11" s="5">
        <v>4</v>
      </c>
      <c r="B11" s="6" t="b">
        <v>0</v>
      </c>
      <c r="C11" s="142" t="s">
        <v>11</v>
      </c>
      <c r="D11" s="143"/>
      <c r="E11" s="144"/>
    </row>
    <row r="12" spans="1:5" ht="12.75">
      <c r="A12" s="5">
        <v>5</v>
      </c>
      <c r="B12" s="6" t="b">
        <v>0</v>
      </c>
      <c r="C12" s="142" t="s">
        <v>12</v>
      </c>
      <c r="D12" s="143"/>
      <c r="E12" s="144"/>
    </row>
    <row r="13" spans="1:5" ht="12.75">
      <c r="A13" s="7"/>
      <c r="B13" s="7"/>
      <c r="C13" s="150" t="s">
        <v>13</v>
      </c>
      <c r="D13" s="143"/>
      <c r="E13" s="144"/>
    </row>
    <row r="14" spans="1:5" ht="12.75">
      <c r="A14" s="8">
        <v>6</v>
      </c>
      <c r="B14" s="9" t="b">
        <v>0</v>
      </c>
      <c r="C14" s="148" t="s">
        <v>14</v>
      </c>
      <c r="D14" s="146"/>
      <c r="E14" s="147"/>
    </row>
    <row r="15" spans="1:5" ht="12.75">
      <c r="A15" s="8">
        <v>7</v>
      </c>
      <c r="B15" s="9" t="b">
        <v>0</v>
      </c>
      <c r="C15" s="148" t="s">
        <v>15</v>
      </c>
      <c r="D15" s="146"/>
      <c r="E15" s="147"/>
    </row>
    <row r="16" spans="1:5" ht="12.75">
      <c r="A16" s="10"/>
      <c r="B16" s="7"/>
      <c r="C16" s="145" t="s">
        <v>16</v>
      </c>
      <c r="D16" s="146"/>
      <c r="E16" s="147"/>
    </row>
    <row r="17" spans="1:5" ht="12.75">
      <c r="A17" s="8">
        <v>8</v>
      </c>
      <c r="B17" s="9" t="b">
        <v>0</v>
      </c>
      <c r="C17" s="148" t="s">
        <v>17</v>
      </c>
      <c r="D17" s="146"/>
      <c r="E17" s="147"/>
    </row>
  </sheetData>
  <mergeCells count="16">
    <mergeCell ref="A1:E1"/>
    <mergeCell ref="A2:E2"/>
    <mergeCell ref="A3:E3"/>
    <mergeCell ref="C5:E5"/>
    <mergeCell ref="C6:E6"/>
    <mergeCell ref="C7:E7"/>
    <mergeCell ref="C8:E8"/>
    <mergeCell ref="C16:E16"/>
    <mergeCell ref="C17:E17"/>
    <mergeCell ref="C9:E9"/>
    <mergeCell ref="C10:E10"/>
    <mergeCell ref="C11:E11"/>
    <mergeCell ref="C12:E12"/>
    <mergeCell ref="C13:E13"/>
    <mergeCell ref="C14:E14"/>
    <mergeCell ref="C15:E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76"/>
  <sheetViews>
    <sheetView showGridLines="0" topLeftCell="A72" workbookViewId="0">
      <selection activeCell="D77" sqref="D77"/>
    </sheetView>
  </sheetViews>
  <sheetFormatPr defaultColWidth="12.5703125" defaultRowHeight="15.75" customHeight="1"/>
  <cols>
    <col min="2" max="2" width="26" customWidth="1"/>
  </cols>
  <sheetData>
    <row r="1" spans="1:10" ht="37.5">
      <c r="A1" s="179" t="s">
        <v>7</v>
      </c>
      <c r="B1" s="143"/>
      <c r="C1" s="143"/>
      <c r="D1" s="143"/>
      <c r="E1" s="143"/>
      <c r="F1" s="143"/>
      <c r="G1" s="143"/>
      <c r="H1" s="143"/>
      <c r="I1" s="143"/>
      <c r="J1" s="144"/>
    </row>
    <row r="2" spans="1:10" ht="12.75">
      <c r="A2" s="180" t="s">
        <v>18</v>
      </c>
      <c r="B2" s="143"/>
      <c r="C2" s="143"/>
      <c r="D2" s="143"/>
      <c r="E2" s="143"/>
      <c r="F2" s="143"/>
      <c r="G2" s="143"/>
      <c r="H2" s="143"/>
      <c r="I2" s="143"/>
      <c r="J2" s="144"/>
    </row>
    <row r="3" spans="1:10" ht="12.75">
      <c r="A3" s="180" t="s">
        <v>19</v>
      </c>
      <c r="B3" s="143"/>
      <c r="C3" s="143"/>
      <c r="D3" s="143"/>
      <c r="E3" s="143"/>
      <c r="F3" s="143"/>
      <c r="G3" s="143"/>
      <c r="H3" s="143"/>
      <c r="I3" s="143"/>
      <c r="J3" s="144"/>
    </row>
    <row r="4" spans="1:10" ht="12.75">
      <c r="A4" s="181" t="s">
        <v>20</v>
      </c>
      <c r="B4" s="143"/>
      <c r="C4" s="143"/>
      <c r="D4" s="143"/>
      <c r="E4" s="143"/>
      <c r="F4" s="143"/>
      <c r="G4" s="143"/>
      <c r="H4" s="143"/>
      <c r="I4" s="143"/>
      <c r="J4" s="144"/>
    </row>
    <row r="5" spans="1:10" ht="12.75">
      <c r="A5" s="182" t="s">
        <v>21</v>
      </c>
      <c r="B5" s="143"/>
      <c r="C5" s="143"/>
      <c r="D5" s="143"/>
      <c r="E5" s="143"/>
      <c r="F5" s="143"/>
      <c r="G5" s="143"/>
      <c r="H5" s="143"/>
      <c r="I5" s="143"/>
      <c r="J5" s="144"/>
    </row>
    <row r="6" spans="1:10" ht="12.75">
      <c r="A6" s="178" t="s">
        <v>22</v>
      </c>
      <c r="B6" s="143"/>
      <c r="C6" s="143"/>
      <c r="D6" s="143"/>
      <c r="E6" s="143"/>
      <c r="F6" s="143"/>
      <c r="G6" s="143"/>
      <c r="H6" s="143"/>
      <c r="I6" s="143"/>
      <c r="J6" s="144"/>
    </row>
    <row r="7" spans="1:10" ht="12.75">
      <c r="A7" s="178" t="s">
        <v>23</v>
      </c>
      <c r="B7" s="143"/>
      <c r="C7" s="143"/>
      <c r="D7" s="143"/>
      <c r="E7" s="143"/>
      <c r="F7" s="143"/>
      <c r="G7" s="143"/>
      <c r="H7" s="143"/>
      <c r="I7" s="143"/>
      <c r="J7" s="144"/>
    </row>
    <row r="8" spans="1:10" ht="12.75">
      <c r="A8" s="178" t="s">
        <v>24</v>
      </c>
      <c r="B8" s="143"/>
      <c r="C8" s="143"/>
      <c r="D8" s="143"/>
      <c r="E8" s="143"/>
      <c r="F8" s="143"/>
      <c r="G8" s="143"/>
      <c r="H8" s="143"/>
      <c r="I8" s="143"/>
      <c r="J8" s="144"/>
    </row>
    <row r="9" spans="1:10" ht="12.75">
      <c r="A9" s="178" t="s">
        <v>25</v>
      </c>
      <c r="B9" s="143"/>
      <c r="C9" s="143"/>
      <c r="D9" s="143"/>
      <c r="E9" s="143"/>
      <c r="F9" s="143"/>
      <c r="G9" s="143"/>
      <c r="H9" s="143"/>
      <c r="I9" s="143"/>
      <c r="J9" s="144"/>
    </row>
    <row r="10" spans="1:10" ht="12.75">
      <c r="A10" s="178" t="s">
        <v>26</v>
      </c>
      <c r="B10" s="143"/>
      <c r="C10" s="143"/>
      <c r="D10" s="143"/>
      <c r="E10" s="143"/>
      <c r="F10" s="143"/>
      <c r="G10" s="143"/>
      <c r="H10" s="143"/>
      <c r="I10" s="143"/>
      <c r="J10" s="144"/>
    </row>
    <row r="11" spans="1:10" ht="12.75">
      <c r="A11" s="176" t="s">
        <v>27</v>
      </c>
      <c r="B11" s="143"/>
      <c r="C11" s="143"/>
      <c r="D11" s="143"/>
      <c r="E11" s="143"/>
      <c r="F11" s="143"/>
      <c r="G11" s="143"/>
      <c r="H11" s="143"/>
      <c r="I11" s="143"/>
      <c r="J11" s="144"/>
    </row>
    <row r="12" spans="1:10" ht="12.75">
      <c r="A12" s="11"/>
      <c r="B12" s="11"/>
      <c r="C12" s="12"/>
      <c r="D12" s="11"/>
      <c r="E12" s="11"/>
      <c r="F12" s="11"/>
      <c r="G12" s="11"/>
      <c r="H12" s="11"/>
      <c r="I12" s="11"/>
      <c r="J12" s="11"/>
    </row>
    <row r="13" spans="1:10" ht="14.25">
      <c r="A13" s="13"/>
      <c r="B13" s="13"/>
    </row>
    <row r="14" spans="1:10" ht="26.25">
      <c r="A14" s="170" t="s">
        <v>28</v>
      </c>
      <c r="B14" s="144"/>
    </row>
    <row r="15" spans="1:10" ht="12.75">
      <c r="A15" s="177" t="s">
        <v>29</v>
      </c>
      <c r="B15" s="144"/>
    </row>
    <row r="16" spans="1:10" ht="51">
      <c r="A16" s="14" t="s">
        <v>30</v>
      </c>
      <c r="B16" s="15" t="s">
        <v>31</v>
      </c>
    </row>
    <row r="17" spans="1:7" ht="38.25">
      <c r="A17" s="14" t="s">
        <v>32</v>
      </c>
      <c r="B17" s="16" t="s">
        <v>33</v>
      </c>
    </row>
    <row r="18" spans="1:7" ht="38.25">
      <c r="A18" s="14" t="s">
        <v>34</v>
      </c>
      <c r="B18" s="16" t="s">
        <v>35</v>
      </c>
    </row>
    <row r="19" spans="1:7" ht="38.25">
      <c r="A19" s="14" t="s">
        <v>36</v>
      </c>
      <c r="B19" s="16" t="s">
        <v>37</v>
      </c>
    </row>
    <row r="20" spans="1:7" ht="38.25">
      <c r="A20" s="14" t="s">
        <v>38</v>
      </c>
      <c r="B20" s="16" t="s">
        <v>39</v>
      </c>
    </row>
    <row r="21" spans="1:7" ht="25.5">
      <c r="A21" s="14" t="s">
        <v>40</v>
      </c>
      <c r="B21" s="16" t="s">
        <v>41</v>
      </c>
    </row>
    <row r="23" spans="1:7" ht="12.75">
      <c r="A23" s="162" t="s">
        <v>42</v>
      </c>
      <c r="B23" s="163"/>
      <c r="C23" s="155" t="s">
        <v>232</v>
      </c>
      <c r="D23" s="163"/>
    </row>
    <row r="24" spans="1:7" ht="12.75">
      <c r="A24" s="164"/>
      <c r="B24" s="165"/>
      <c r="C24" s="164"/>
      <c r="D24" s="165"/>
    </row>
    <row r="25" spans="1:7" ht="12.75">
      <c r="A25" s="164"/>
      <c r="B25" s="165"/>
      <c r="C25" s="164"/>
      <c r="D25" s="165"/>
    </row>
    <row r="26" spans="1:7" ht="30.75" customHeight="1">
      <c r="A26" s="166"/>
      <c r="B26" s="147"/>
      <c r="C26" s="166"/>
      <c r="D26" s="147"/>
    </row>
    <row r="28" spans="1:7" ht="12.75">
      <c r="A28" s="167" t="s">
        <v>43</v>
      </c>
      <c r="B28" s="14">
        <v>1</v>
      </c>
      <c r="C28" s="173" t="s">
        <v>44</v>
      </c>
      <c r="D28" s="143"/>
      <c r="E28" s="143"/>
      <c r="F28" s="143"/>
      <c r="G28" s="144"/>
    </row>
    <row r="29" spans="1:7" ht="12.75">
      <c r="A29" s="168"/>
      <c r="B29" s="14">
        <v>2</v>
      </c>
      <c r="C29" s="174" t="s">
        <v>233</v>
      </c>
      <c r="D29" s="143"/>
      <c r="E29" s="143"/>
      <c r="F29" s="143"/>
      <c r="G29" s="144"/>
    </row>
    <row r="30" spans="1:7" ht="12.75">
      <c r="A30" s="168"/>
      <c r="B30" s="14">
        <v>3</v>
      </c>
      <c r="C30" s="174" t="s">
        <v>234</v>
      </c>
      <c r="D30" s="143"/>
      <c r="E30" s="143"/>
      <c r="F30" s="143"/>
      <c r="G30" s="144"/>
    </row>
    <row r="31" spans="1:7" ht="12.75">
      <c r="A31" s="168"/>
      <c r="B31" s="14">
        <v>4</v>
      </c>
      <c r="C31" s="174" t="s">
        <v>235</v>
      </c>
      <c r="D31" s="143"/>
      <c r="E31" s="143"/>
      <c r="F31" s="143"/>
      <c r="G31" s="144"/>
    </row>
    <row r="32" spans="1:7" ht="12.75">
      <c r="A32" s="169"/>
      <c r="B32" s="14">
        <v>5</v>
      </c>
      <c r="C32" s="174" t="s">
        <v>236</v>
      </c>
      <c r="D32" s="143"/>
      <c r="E32" s="143"/>
      <c r="F32" s="143"/>
      <c r="G32" s="144"/>
    </row>
    <row r="34" spans="1:7" ht="26.25">
      <c r="A34" s="170" t="s">
        <v>45</v>
      </c>
      <c r="B34" s="144"/>
    </row>
    <row r="35" spans="1:7" ht="12.75">
      <c r="A35" s="171" t="s">
        <v>46</v>
      </c>
      <c r="B35" s="163"/>
    </row>
    <row r="36" spans="1:7" ht="12.75">
      <c r="A36" s="164"/>
      <c r="B36" s="165"/>
    </row>
    <row r="37" spans="1:7" ht="12.75">
      <c r="A37" s="164"/>
      <c r="B37" s="165"/>
    </row>
    <row r="38" spans="1:7" ht="12.75">
      <c r="A38" s="166"/>
      <c r="B38" s="147"/>
    </row>
    <row r="39" spans="1:7" ht="12.75">
      <c r="A39" s="155" t="s">
        <v>237</v>
      </c>
      <c r="B39" s="163"/>
    </row>
    <row r="40" spans="1:7" ht="12.75">
      <c r="A40" s="164"/>
      <c r="B40" s="165"/>
    </row>
    <row r="41" spans="1:7" ht="12.75">
      <c r="A41" s="164"/>
      <c r="B41" s="165"/>
    </row>
    <row r="42" spans="1:7" ht="12.75">
      <c r="A42" s="166"/>
      <c r="B42" s="147"/>
    </row>
    <row r="44" spans="1:7" ht="12.75">
      <c r="A44" s="167" t="s">
        <v>47</v>
      </c>
      <c r="B44" s="14">
        <v>1</v>
      </c>
      <c r="C44" s="175" t="s">
        <v>48</v>
      </c>
      <c r="D44" s="143"/>
      <c r="E44" s="143"/>
      <c r="F44" s="143"/>
      <c r="G44" s="144"/>
    </row>
    <row r="45" spans="1:7" ht="12.75">
      <c r="A45" s="168"/>
      <c r="B45" s="14">
        <v>2</v>
      </c>
      <c r="C45" s="172" t="s">
        <v>238</v>
      </c>
      <c r="D45" s="143"/>
      <c r="E45" s="143"/>
      <c r="F45" s="143"/>
      <c r="G45" s="144"/>
    </row>
    <row r="46" spans="1:7" ht="12.75">
      <c r="A46" s="168"/>
      <c r="B46" s="14">
        <v>3</v>
      </c>
      <c r="C46" s="172" t="s">
        <v>238</v>
      </c>
      <c r="D46" s="143"/>
      <c r="E46" s="143"/>
      <c r="F46" s="143"/>
      <c r="G46" s="144"/>
    </row>
    <row r="47" spans="1:7" ht="12.75">
      <c r="A47" s="168"/>
      <c r="B47" s="14">
        <v>4</v>
      </c>
      <c r="C47" s="172" t="s">
        <v>238</v>
      </c>
      <c r="D47" s="143"/>
      <c r="E47" s="143"/>
      <c r="F47" s="143"/>
      <c r="G47" s="144"/>
    </row>
    <row r="48" spans="1:7" ht="12.75">
      <c r="A48" s="169"/>
      <c r="B48" s="14">
        <v>5</v>
      </c>
      <c r="C48" s="172" t="s">
        <v>238</v>
      </c>
      <c r="D48" s="143"/>
      <c r="E48" s="143"/>
      <c r="F48" s="143"/>
      <c r="G48" s="144"/>
    </row>
    <row r="50" spans="1:2" ht="26.25">
      <c r="A50" s="170" t="s">
        <v>49</v>
      </c>
      <c r="B50" s="144"/>
    </row>
    <row r="51" spans="1:2" ht="12.75">
      <c r="A51" s="171" t="s">
        <v>50</v>
      </c>
      <c r="B51" s="163"/>
    </row>
    <row r="52" spans="1:2" ht="12.75">
      <c r="A52" s="164"/>
      <c r="B52" s="165"/>
    </row>
    <row r="53" spans="1:2" ht="12.75">
      <c r="A53" s="166"/>
      <c r="B53" s="147"/>
    </row>
    <row r="54" spans="1:2" ht="12.75">
      <c r="A54" s="171" t="s">
        <v>51</v>
      </c>
      <c r="B54" s="163"/>
    </row>
    <row r="55" spans="1:2" ht="12.75">
      <c r="A55" s="164"/>
      <c r="B55" s="165"/>
    </row>
    <row r="56" spans="1:2" ht="12.75">
      <c r="A56" s="166"/>
      <c r="B56" s="147"/>
    </row>
    <row r="57" spans="1:2" ht="12.75">
      <c r="A57" s="155" t="s">
        <v>239</v>
      </c>
      <c r="B57" s="163"/>
    </row>
    <row r="58" spans="1:2" ht="12.75">
      <c r="A58" s="164"/>
      <c r="B58" s="165"/>
    </row>
    <row r="59" spans="1:2" ht="12.75">
      <c r="A59" s="164"/>
      <c r="B59" s="165"/>
    </row>
    <row r="60" spans="1:2" ht="12.75">
      <c r="A60" s="166"/>
      <c r="B60" s="147"/>
    </row>
    <row r="62" spans="1:2" ht="26.25">
      <c r="A62" s="170" t="s">
        <v>52</v>
      </c>
      <c r="B62" s="144"/>
    </row>
    <row r="63" spans="1:2" ht="12.75">
      <c r="A63" s="171" t="s">
        <v>53</v>
      </c>
      <c r="B63" s="163"/>
    </row>
    <row r="64" spans="1:2" ht="12.75">
      <c r="A64" s="164"/>
      <c r="B64" s="165"/>
    </row>
    <row r="65" spans="1:2" ht="12.75">
      <c r="A65" s="164"/>
      <c r="B65" s="165"/>
    </row>
    <row r="66" spans="1:2" ht="12.75">
      <c r="A66" s="166"/>
      <c r="B66" s="147"/>
    </row>
    <row r="67" spans="1:2" ht="12.75">
      <c r="A67" s="155" t="s">
        <v>240</v>
      </c>
      <c r="B67" s="156"/>
    </row>
    <row r="68" spans="1:2" ht="12.75">
      <c r="A68" s="157"/>
      <c r="B68" s="158"/>
    </row>
    <row r="69" spans="1:2" ht="12.75">
      <c r="A69" s="157"/>
      <c r="B69" s="158"/>
    </row>
    <row r="70" spans="1:2" ht="12.75">
      <c r="A70" s="159"/>
      <c r="B70" s="160"/>
    </row>
    <row r="72" spans="1:2" ht="26.25">
      <c r="A72" s="161" t="s">
        <v>54</v>
      </c>
      <c r="B72" s="144"/>
    </row>
    <row r="73" spans="1:2" ht="25.5">
      <c r="A73" s="14" t="s">
        <v>28</v>
      </c>
      <c r="B73" s="15" t="s">
        <v>241</v>
      </c>
    </row>
    <row r="74" spans="1:2" ht="12.75">
      <c r="A74" s="14" t="s">
        <v>55</v>
      </c>
      <c r="B74" s="15" t="s">
        <v>242</v>
      </c>
    </row>
    <row r="75" spans="1:2" ht="25.5">
      <c r="A75" s="14" t="s">
        <v>56</v>
      </c>
      <c r="B75" s="15" t="s">
        <v>243</v>
      </c>
    </row>
    <row r="76" spans="1:2" ht="12.75">
      <c r="A76" s="14" t="s">
        <v>57</v>
      </c>
      <c r="B76" s="15" t="s">
        <v>244</v>
      </c>
    </row>
  </sheetData>
  <mergeCells count="38">
    <mergeCell ref="A1:J1"/>
    <mergeCell ref="A2:J2"/>
    <mergeCell ref="A3:J3"/>
    <mergeCell ref="A4:J4"/>
    <mergeCell ref="A5:J5"/>
    <mergeCell ref="A6:J6"/>
    <mergeCell ref="A7:J7"/>
    <mergeCell ref="A8:J8"/>
    <mergeCell ref="A9:J9"/>
    <mergeCell ref="A10:J10"/>
    <mergeCell ref="A11:J11"/>
    <mergeCell ref="A14:B14"/>
    <mergeCell ref="A15:B15"/>
    <mergeCell ref="C23:D26"/>
    <mergeCell ref="C46:G46"/>
    <mergeCell ref="C47:G47"/>
    <mergeCell ref="C48:G48"/>
    <mergeCell ref="C28:G28"/>
    <mergeCell ref="C29:G29"/>
    <mergeCell ref="C30:G30"/>
    <mergeCell ref="C31:G31"/>
    <mergeCell ref="C32:G32"/>
    <mergeCell ref="C44:G44"/>
    <mergeCell ref="C45:G45"/>
    <mergeCell ref="A67:B70"/>
    <mergeCell ref="A72:B72"/>
    <mergeCell ref="A23:B26"/>
    <mergeCell ref="A28:A32"/>
    <mergeCell ref="A34:B34"/>
    <mergeCell ref="A35:B38"/>
    <mergeCell ref="A39:B42"/>
    <mergeCell ref="A44:A48"/>
    <mergeCell ref="A50:B50"/>
    <mergeCell ref="A51:B53"/>
    <mergeCell ref="A54:B56"/>
    <mergeCell ref="A57:B60"/>
    <mergeCell ref="A62:B62"/>
    <mergeCell ref="A63:B6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5"/>
  <sheetViews>
    <sheetView showGridLines="0" workbookViewId="0">
      <selection activeCell="C16" sqref="C16"/>
    </sheetView>
  </sheetViews>
  <sheetFormatPr defaultColWidth="12.5703125" defaultRowHeight="15.75" customHeight="1"/>
  <cols>
    <col min="1" max="1" width="36.42578125" customWidth="1"/>
    <col min="2" max="2" width="23.42578125" customWidth="1"/>
    <col min="3" max="3" width="35.42578125" customWidth="1"/>
  </cols>
  <sheetData>
    <row r="1" spans="1:3" ht="15.75" customHeight="1">
      <c r="A1" s="184" t="s">
        <v>8</v>
      </c>
      <c r="B1" s="143"/>
      <c r="C1" s="144"/>
    </row>
    <row r="2" spans="1:3" ht="12.75">
      <c r="A2" s="180" t="s">
        <v>58</v>
      </c>
      <c r="B2" s="143"/>
      <c r="C2" s="144"/>
    </row>
    <row r="3" spans="1:3" ht="12.75">
      <c r="A3" s="180" t="s">
        <v>59</v>
      </c>
      <c r="B3" s="143"/>
      <c r="C3" s="144"/>
    </row>
    <row r="4" spans="1:3" ht="12.75">
      <c r="A4" s="185" t="s">
        <v>60</v>
      </c>
      <c r="B4" s="143"/>
      <c r="C4" s="144"/>
    </row>
    <row r="5" spans="1:3" ht="12.75">
      <c r="A5" s="183" t="s">
        <v>20</v>
      </c>
      <c r="B5" s="143"/>
      <c r="C5" s="144"/>
    </row>
    <row r="6" spans="1:3" ht="12.75">
      <c r="A6" s="183" t="s">
        <v>61</v>
      </c>
      <c r="B6" s="143"/>
      <c r="C6" s="144"/>
    </row>
    <row r="7" spans="1:3" ht="12.75">
      <c r="A7" s="183" t="s">
        <v>62</v>
      </c>
      <c r="B7" s="143"/>
      <c r="C7" s="144"/>
    </row>
    <row r="8" spans="1:3" ht="12.75">
      <c r="A8" s="183" t="s">
        <v>63</v>
      </c>
      <c r="B8" s="143"/>
      <c r="C8" s="144"/>
    </row>
    <row r="9" spans="1:3" ht="12.75">
      <c r="A9" s="186" t="s">
        <v>27</v>
      </c>
      <c r="B9" s="152"/>
      <c r="C9" s="152"/>
    </row>
    <row r="10" spans="1:3" ht="15.75" customHeight="1">
      <c r="A10" s="17" t="s">
        <v>64</v>
      </c>
      <c r="B10" s="17" t="s">
        <v>65</v>
      </c>
      <c r="C10" s="17" t="s">
        <v>66</v>
      </c>
    </row>
    <row r="11" spans="1:3" ht="38.25">
      <c r="A11" s="18" t="s">
        <v>67</v>
      </c>
      <c r="B11" s="18" t="s">
        <v>68</v>
      </c>
      <c r="C11" s="18" t="s">
        <v>69</v>
      </c>
    </row>
    <row r="12" spans="1:3" ht="12.75">
      <c r="A12" s="187" t="s">
        <v>245</v>
      </c>
      <c r="B12" s="188" t="s">
        <v>70</v>
      </c>
      <c r="C12" s="187" t="s">
        <v>246</v>
      </c>
    </row>
    <row r="13" spans="1:3" ht="12.75">
      <c r="A13" s="168"/>
      <c r="B13" s="168"/>
      <c r="C13" s="168"/>
    </row>
    <row r="14" spans="1:3" ht="12.75">
      <c r="A14" s="168"/>
      <c r="B14" s="168"/>
      <c r="C14" s="168"/>
    </row>
    <row r="15" spans="1:3" ht="12.75">
      <c r="A15" s="169"/>
      <c r="B15" s="169"/>
      <c r="C15" s="169"/>
    </row>
  </sheetData>
  <mergeCells count="12">
    <mergeCell ref="A8:C8"/>
    <mergeCell ref="A9:C9"/>
    <mergeCell ref="A12:A15"/>
    <mergeCell ref="B12:B15"/>
    <mergeCell ref="C12:C15"/>
    <mergeCell ref="A6:C6"/>
    <mergeCell ref="A7:C7"/>
    <mergeCell ref="A1:C1"/>
    <mergeCell ref="A2:C2"/>
    <mergeCell ref="A3:C3"/>
    <mergeCell ref="A4:C4"/>
    <mergeCell ref="A5: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46"/>
  <sheetViews>
    <sheetView showGridLines="0" topLeftCell="A43" workbookViewId="0">
      <selection activeCell="C39" sqref="C39"/>
    </sheetView>
  </sheetViews>
  <sheetFormatPr defaultColWidth="12.5703125" defaultRowHeight="15.75" customHeight="1"/>
  <cols>
    <col min="1" max="1" width="15" customWidth="1"/>
    <col min="2" max="2" width="14.42578125" customWidth="1"/>
  </cols>
  <sheetData>
    <row r="1" spans="1:13" ht="15.75" customHeight="1">
      <c r="A1" s="195" t="s">
        <v>10</v>
      </c>
      <c r="B1" s="143"/>
      <c r="C1" s="143"/>
      <c r="D1" s="143"/>
      <c r="E1" s="143"/>
      <c r="F1" s="143"/>
      <c r="G1" s="143"/>
      <c r="H1" s="143"/>
      <c r="I1" s="143"/>
      <c r="J1" s="143"/>
      <c r="K1" s="143"/>
      <c r="L1" s="143"/>
      <c r="M1" s="144"/>
    </row>
    <row r="2" spans="1:13" ht="12.75">
      <c r="A2" s="180" t="s">
        <v>71</v>
      </c>
      <c r="B2" s="143"/>
      <c r="C2" s="143"/>
      <c r="D2" s="143"/>
      <c r="E2" s="143"/>
      <c r="F2" s="143"/>
      <c r="G2" s="143"/>
      <c r="H2" s="143"/>
      <c r="I2" s="144"/>
      <c r="J2" s="19"/>
      <c r="K2" s="19"/>
    </row>
    <row r="3" spans="1:13" ht="12.75">
      <c r="A3" s="196" t="s">
        <v>72</v>
      </c>
      <c r="B3" s="152"/>
      <c r="C3" s="152"/>
      <c r="D3" s="152"/>
      <c r="E3" s="152"/>
      <c r="F3" s="152"/>
      <c r="G3" s="152"/>
      <c r="H3" s="152"/>
      <c r="I3" s="165"/>
      <c r="J3" s="19"/>
      <c r="K3" s="19"/>
    </row>
    <row r="4" spans="1:13" ht="12.75">
      <c r="A4" s="196" t="s">
        <v>73</v>
      </c>
      <c r="B4" s="152"/>
      <c r="C4" s="152"/>
      <c r="D4" s="152"/>
      <c r="E4" s="152"/>
      <c r="F4" s="152"/>
      <c r="G4" s="152"/>
      <c r="H4" s="152"/>
      <c r="I4" s="165"/>
      <c r="J4" s="19"/>
      <c r="K4" s="19"/>
    </row>
    <row r="5" spans="1:13" ht="12.75">
      <c r="A5" s="196" t="s">
        <v>74</v>
      </c>
      <c r="B5" s="152"/>
      <c r="C5" s="152"/>
      <c r="D5" s="152"/>
      <c r="E5" s="152"/>
      <c r="F5" s="152"/>
      <c r="G5" s="152"/>
      <c r="H5" s="152"/>
      <c r="I5" s="165"/>
      <c r="J5" s="19"/>
      <c r="K5" s="19"/>
    </row>
    <row r="6" spans="1:13" ht="12.75">
      <c r="A6" s="180" t="s">
        <v>75</v>
      </c>
      <c r="B6" s="143"/>
      <c r="C6" s="143"/>
      <c r="D6" s="143"/>
      <c r="E6" s="143"/>
      <c r="F6" s="143"/>
      <c r="G6" s="143"/>
      <c r="H6" s="143"/>
      <c r="I6" s="144"/>
      <c r="J6" s="19"/>
      <c r="K6" s="19"/>
    </row>
    <row r="7" spans="1:13" ht="12.75">
      <c r="A7" s="185" t="s">
        <v>76</v>
      </c>
      <c r="B7" s="143"/>
      <c r="C7" s="143"/>
      <c r="D7" s="143"/>
      <c r="E7" s="143"/>
      <c r="F7" s="143"/>
      <c r="G7" s="143"/>
      <c r="H7" s="143"/>
      <c r="I7" s="144"/>
      <c r="J7" s="19"/>
      <c r="K7" s="19"/>
    </row>
    <row r="8" spans="1:13" ht="12.75">
      <c r="A8" s="183" t="s">
        <v>20</v>
      </c>
      <c r="B8" s="143"/>
      <c r="C8" s="143"/>
      <c r="D8" s="143"/>
      <c r="E8" s="143"/>
      <c r="F8" s="143"/>
      <c r="G8" s="143"/>
      <c r="H8" s="143"/>
      <c r="I8" s="144"/>
      <c r="J8" s="20"/>
      <c r="K8" s="20"/>
    </row>
    <row r="9" spans="1:13" ht="12.75">
      <c r="A9" s="183" t="s">
        <v>77</v>
      </c>
      <c r="B9" s="143"/>
      <c r="C9" s="143"/>
      <c r="D9" s="143"/>
      <c r="E9" s="143"/>
      <c r="F9" s="143"/>
      <c r="G9" s="143"/>
      <c r="H9" s="143"/>
      <c r="I9" s="144"/>
      <c r="J9" s="20"/>
      <c r="K9" s="20"/>
      <c r="L9" s="21" t="s">
        <v>78</v>
      </c>
    </row>
    <row r="10" spans="1:13" ht="12.75">
      <c r="A10" s="183" t="s">
        <v>79</v>
      </c>
      <c r="B10" s="143"/>
      <c r="C10" s="143"/>
      <c r="D10" s="143"/>
      <c r="E10" s="143"/>
      <c r="F10" s="143"/>
      <c r="G10" s="143"/>
      <c r="H10" s="143"/>
      <c r="I10" s="144"/>
      <c r="J10" s="20"/>
      <c r="K10" s="20"/>
    </row>
    <row r="11" spans="1:13" ht="12.75">
      <c r="A11" s="192" t="s">
        <v>80</v>
      </c>
      <c r="B11" s="143"/>
      <c r="C11" s="143"/>
      <c r="D11" s="143"/>
      <c r="E11" s="143"/>
      <c r="F11" s="143"/>
      <c r="G11" s="143"/>
      <c r="H11" s="143"/>
      <c r="I11" s="144"/>
    </row>
    <row r="12" spans="1:13" ht="15.75" customHeight="1">
      <c r="A12" s="193" t="s">
        <v>81</v>
      </c>
      <c r="B12" s="190"/>
      <c r="C12" s="190"/>
      <c r="D12" s="190"/>
      <c r="E12" s="190"/>
      <c r="F12" s="190"/>
      <c r="G12" s="190"/>
      <c r="H12" s="190"/>
      <c r="I12" s="190"/>
      <c r="J12" s="190"/>
      <c r="K12" s="190"/>
      <c r="L12" s="190"/>
      <c r="M12" s="163"/>
    </row>
    <row r="13" spans="1:13" ht="15.75" customHeight="1">
      <c r="A13" s="22" t="s">
        <v>82</v>
      </c>
      <c r="B13" s="23" t="s">
        <v>83</v>
      </c>
      <c r="C13" s="194" t="s">
        <v>84</v>
      </c>
      <c r="D13" s="190"/>
      <c r="E13" s="190"/>
      <c r="F13" s="190"/>
      <c r="G13" s="190"/>
      <c r="H13" s="190"/>
      <c r="I13" s="190"/>
      <c r="J13" s="190"/>
      <c r="K13" s="190"/>
      <c r="L13" s="190"/>
      <c r="M13" s="163"/>
    </row>
    <row r="14" spans="1:13" ht="15.75" customHeight="1">
      <c r="A14" s="24"/>
      <c r="B14" s="25"/>
      <c r="C14" s="26">
        <v>0</v>
      </c>
      <c r="D14" s="26">
        <v>1</v>
      </c>
      <c r="E14" s="26">
        <v>2</v>
      </c>
      <c r="F14" s="26">
        <v>3</v>
      </c>
      <c r="G14" s="26">
        <v>4</v>
      </c>
      <c r="H14" s="26">
        <v>5</v>
      </c>
      <c r="I14" s="26">
        <v>6</v>
      </c>
      <c r="J14" s="26">
        <v>7</v>
      </c>
      <c r="K14" s="26">
        <v>8</v>
      </c>
      <c r="L14" s="26">
        <v>9</v>
      </c>
      <c r="M14" s="27">
        <v>10</v>
      </c>
    </row>
    <row r="15" spans="1:13" ht="12.75">
      <c r="A15" s="28">
        <v>43617</v>
      </c>
      <c r="B15" s="29">
        <v>240</v>
      </c>
      <c r="C15" s="30">
        <v>237</v>
      </c>
      <c r="D15" s="31">
        <f>224*0.8</f>
        <v>179.20000000000002</v>
      </c>
      <c r="E15" s="31">
        <f>217*0.8</f>
        <v>173.60000000000002</v>
      </c>
      <c r="F15" s="31">
        <f>203*0.8</f>
        <v>162.4</v>
      </c>
      <c r="G15" s="31">
        <f>192*0.8</f>
        <v>153.60000000000002</v>
      </c>
      <c r="H15" s="31">
        <f>179*0.8</f>
        <v>143.20000000000002</v>
      </c>
      <c r="I15" s="31">
        <f>163*0.8</f>
        <v>130.4</v>
      </c>
      <c r="J15" s="31">
        <f>158*0.8</f>
        <v>126.4</v>
      </c>
      <c r="K15" s="31">
        <f>150*0.8</f>
        <v>120</v>
      </c>
      <c r="L15" s="31">
        <f>147*0.8</f>
        <v>117.60000000000001</v>
      </c>
      <c r="M15" s="32">
        <f>143*0.8</f>
        <v>114.4</v>
      </c>
    </row>
    <row r="16" spans="1:13" ht="12.75">
      <c r="A16" s="28">
        <v>43623</v>
      </c>
      <c r="B16" s="29">
        <v>324</v>
      </c>
      <c r="C16" s="30">
        <v>307</v>
      </c>
      <c r="D16" s="31">
        <f>283*0.8</f>
        <v>226.4</v>
      </c>
      <c r="E16" s="31">
        <f>268*0.8</f>
        <v>214.4</v>
      </c>
      <c r="F16" s="31">
        <f>242*0.8</f>
        <v>193.60000000000002</v>
      </c>
      <c r="G16" s="31">
        <f>229*0.8</f>
        <v>183.20000000000002</v>
      </c>
      <c r="H16" s="31">
        <f>213*0.8</f>
        <v>170.4</v>
      </c>
      <c r="I16" s="31">
        <f>195*0.8</f>
        <v>156</v>
      </c>
      <c r="J16" s="31">
        <f>190*0.8</f>
        <v>152</v>
      </c>
      <c r="K16" s="31">
        <f>182*0.8</f>
        <v>145.6</v>
      </c>
      <c r="L16" s="31">
        <v>143</v>
      </c>
      <c r="M16" s="33"/>
    </row>
    <row r="17" spans="1:13" ht="12.75">
      <c r="A17" s="28">
        <v>43630</v>
      </c>
      <c r="B17" s="29">
        <v>425</v>
      </c>
      <c r="C17" s="30">
        <v>414</v>
      </c>
      <c r="D17" s="31">
        <f>392*0.8</f>
        <v>313.60000000000002</v>
      </c>
      <c r="E17" s="31">
        <f>378*0.8</f>
        <v>302.40000000000003</v>
      </c>
      <c r="F17" s="31">
        <f>353*0.8</f>
        <v>282.40000000000003</v>
      </c>
      <c r="G17" s="31">
        <f>337*0.8</f>
        <v>269.60000000000002</v>
      </c>
      <c r="H17" s="31">
        <f>305*0.8</f>
        <v>244</v>
      </c>
      <c r="I17" s="31">
        <f>293*0.8</f>
        <v>234.4</v>
      </c>
      <c r="J17" s="31">
        <f>285*0.8</f>
        <v>228</v>
      </c>
      <c r="K17" s="31">
        <f>271*0.8</f>
        <v>216.8</v>
      </c>
      <c r="L17" s="34"/>
      <c r="M17" s="33"/>
    </row>
    <row r="18" spans="1:13" ht="12.75">
      <c r="A18" s="28">
        <v>43637</v>
      </c>
      <c r="B18" s="29">
        <v>634</v>
      </c>
      <c r="C18" s="30">
        <v>618</v>
      </c>
      <c r="D18" s="31">
        <f>587*0.8</f>
        <v>469.6</v>
      </c>
      <c r="E18" s="31">
        <f>554*0.8</f>
        <v>443.20000000000005</v>
      </c>
      <c r="F18" s="31">
        <f>530*0.8</f>
        <v>424</v>
      </c>
      <c r="G18" s="31">
        <f>507*0.8</f>
        <v>405.6</v>
      </c>
      <c r="H18" s="31">
        <f>482*0.8</f>
        <v>385.6</v>
      </c>
      <c r="I18" s="31">
        <f>458*0.8</f>
        <v>366.40000000000003</v>
      </c>
      <c r="J18" s="31">
        <f>442*0.8</f>
        <v>353.6</v>
      </c>
      <c r="K18" s="34"/>
      <c r="L18" s="34"/>
      <c r="M18" s="33"/>
    </row>
    <row r="19" spans="1:13" ht="12.75">
      <c r="A19" s="28">
        <v>43644</v>
      </c>
      <c r="B19" s="29">
        <v>796</v>
      </c>
      <c r="C19" s="30">
        <v>772</v>
      </c>
      <c r="D19" s="31">
        <f>753*0.8</f>
        <v>602.4</v>
      </c>
      <c r="E19" s="31">
        <f>729*0.8</f>
        <v>583.20000000000005</v>
      </c>
      <c r="F19" s="31">
        <f>694*0.8</f>
        <v>555.20000000000005</v>
      </c>
      <c r="G19" s="31">
        <f>649*0.8</f>
        <v>519.20000000000005</v>
      </c>
      <c r="H19" s="31">
        <f>612*0.8</f>
        <v>489.6</v>
      </c>
      <c r="I19" s="31">
        <f>586*0.8</f>
        <v>468.8</v>
      </c>
      <c r="M19" s="35"/>
    </row>
    <row r="20" spans="1:13" ht="12.75">
      <c r="A20" s="28">
        <v>43651</v>
      </c>
      <c r="B20" s="29">
        <v>918</v>
      </c>
      <c r="C20" s="30">
        <v>885</v>
      </c>
      <c r="D20" s="31">
        <f>840*0.8</f>
        <v>672</v>
      </c>
      <c r="E20" s="31">
        <f>803*0.8</f>
        <v>642.40000000000009</v>
      </c>
      <c r="F20" s="31">
        <f>773*0.8</f>
        <v>618.40000000000009</v>
      </c>
      <c r="G20" s="31">
        <f>748*0.8</f>
        <v>598.4</v>
      </c>
      <c r="H20" s="31">
        <f>704*0.8</f>
        <v>563.20000000000005</v>
      </c>
      <c r="M20" s="35"/>
    </row>
    <row r="21" spans="1:13" ht="12.75">
      <c r="A21" s="28">
        <v>43658</v>
      </c>
      <c r="B21" s="29">
        <v>1129</v>
      </c>
      <c r="C21" s="30">
        <v>1084</v>
      </c>
      <c r="D21" s="31">
        <f>1030*0.8</f>
        <v>824</v>
      </c>
      <c r="E21" s="31">
        <f>974*0.8</f>
        <v>779.2</v>
      </c>
      <c r="F21" s="31">
        <f>928*0.8</f>
        <v>742.40000000000009</v>
      </c>
      <c r="G21" s="31">
        <f>894*0.8</f>
        <v>715.2</v>
      </c>
      <c r="M21" s="35"/>
    </row>
    <row r="22" spans="1:13" ht="12.75">
      <c r="A22" s="28">
        <v>43665</v>
      </c>
      <c r="B22" s="29">
        <v>1298</v>
      </c>
      <c r="C22" s="30">
        <v>1218</v>
      </c>
      <c r="D22" s="31">
        <f>1175*0.8</f>
        <v>940</v>
      </c>
      <c r="E22" s="31">
        <f>1085*0.8</f>
        <v>868</v>
      </c>
      <c r="F22" s="31">
        <f>1005*0.8</f>
        <v>804</v>
      </c>
      <c r="M22" s="35"/>
    </row>
    <row r="23" spans="1:13" ht="12.75">
      <c r="A23" s="28">
        <v>43672</v>
      </c>
      <c r="B23" s="29">
        <v>1420</v>
      </c>
      <c r="C23" s="30">
        <v>1350</v>
      </c>
      <c r="D23" s="31">
        <f>1297*0.8</f>
        <v>1037.6000000000001</v>
      </c>
      <c r="E23" s="31">
        <f>1207*0.8</f>
        <v>965.6</v>
      </c>
      <c r="M23" s="35"/>
    </row>
    <row r="24" spans="1:13" ht="12.75">
      <c r="A24" s="28">
        <v>43680</v>
      </c>
      <c r="B24" s="29">
        <v>1670</v>
      </c>
      <c r="C24" s="30">
        <v>1587</v>
      </c>
      <c r="D24" s="31">
        <f>1502*0.8</f>
        <v>1201.6000000000001</v>
      </c>
      <c r="M24" s="35"/>
    </row>
    <row r="25" spans="1:13" ht="12.75">
      <c r="A25" s="28">
        <v>43687</v>
      </c>
      <c r="B25" s="29">
        <v>1820</v>
      </c>
      <c r="C25" s="30">
        <v>1718</v>
      </c>
      <c r="M25" s="35"/>
    </row>
    <row r="26" spans="1:13" ht="12.75">
      <c r="A26" s="36">
        <v>43694</v>
      </c>
      <c r="B26" s="37">
        <v>2018</v>
      </c>
      <c r="C26" s="38"/>
      <c r="D26" s="38"/>
      <c r="E26" s="38"/>
      <c r="F26" s="38"/>
      <c r="G26" s="38"/>
      <c r="H26" s="38"/>
      <c r="I26" s="38"/>
      <c r="J26" s="38"/>
      <c r="K26" s="38"/>
      <c r="L26" s="38"/>
      <c r="M26" s="39"/>
    </row>
    <row r="27" spans="1:13" ht="12.75">
      <c r="A27" s="40"/>
    </row>
    <row r="28" spans="1:13" ht="12.75">
      <c r="A28" s="40"/>
    </row>
    <row r="29" spans="1:13" ht="26.25">
      <c r="A29" s="193" t="s">
        <v>85</v>
      </c>
      <c r="B29" s="190"/>
      <c r="C29" s="190"/>
      <c r="D29" s="190"/>
      <c r="E29" s="190"/>
      <c r="F29" s="190"/>
      <c r="G29" s="190"/>
      <c r="H29" s="190"/>
      <c r="I29" s="190"/>
      <c r="J29" s="190"/>
      <c r="K29" s="190"/>
      <c r="L29" s="190"/>
      <c r="M29" s="163"/>
    </row>
    <row r="30" spans="1:13" ht="15">
      <c r="A30" s="41" t="s">
        <v>82</v>
      </c>
      <c r="B30" s="23" t="s">
        <v>83</v>
      </c>
      <c r="C30" s="189" t="s">
        <v>84</v>
      </c>
      <c r="D30" s="190"/>
      <c r="E30" s="190"/>
      <c r="F30" s="190"/>
      <c r="G30" s="190"/>
      <c r="H30" s="190"/>
      <c r="I30" s="190"/>
      <c r="J30" s="190"/>
      <c r="K30" s="190"/>
      <c r="L30" s="190"/>
      <c r="M30" s="163"/>
    </row>
    <row r="31" spans="1:13" ht="15">
      <c r="A31" s="42"/>
      <c r="B31" s="25"/>
      <c r="C31" s="43">
        <v>0</v>
      </c>
      <c r="D31" s="26">
        <v>1</v>
      </c>
      <c r="E31" s="26">
        <v>2</v>
      </c>
      <c r="F31" s="26">
        <v>3</v>
      </c>
      <c r="G31" s="26">
        <v>4</v>
      </c>
      <c r="H31" s="26">
        <v>5</v>
      </c>
      <c r="I31" s="26">
        <v>6</v>
      </c>
      <c r="J31" s="26">
        <v>7</v>
      </c>
      <c r="K31" s="26">
        <v>8</v>
      </c>
      <c r="L31" s="26">
        <v>9</v>
      </c>
      <c r="M31" s="27">
        <v>10</v>
      </c>
    </row>
    <row r="32" spans="1:13">
      <c r="A32" s="44">
        <v>43617</v>
      </c>
      <c r="B32" s="45">
        <v>240</v>
      </c>
      <c r="C32" s="46">
        <v>0.99</v>
      </c>
      <c r="D32" s="47">
        <f>D15/B15</f>
        <v>0.7466666666666667</v>
      </c>
      <c r="E32" s="47">
        <f>E15/B15</f>
        <v>0.72333333333333338</v>
      </c>
      <c r="F32" s="47">
        <f>F15/B15</f>
        <v>0.67666666666666664</v>
      </c>
      <c r="G32" s="47">
        <f>G15/B15</f>
        <v>0.64000000000000012</v>
      </c>
      <c r="H32" s="47">
        <f>H15/B15</f>
        <v>0.59666666666666679</v>
      </c>
      <c r="I32" s="47">
        <f>I15/B15</f>
        <v>0.54333333333333333</v>
      </c>
      <c r="J32" s="47">
        <f>J15/B15</f>
        <v>0.52666666666666673</v>
      </c>
      <c r="K32" s="47">
        <f>K15/B15</f>
        <v>0.5</v>
      </c>
      <c r="L32" s="47">
        <f>L15/B15</f>
        <v>0.49000000000000005</v>
      </c>
      <c r="M32" s="48">
        <f>M15/B15</f>
        <v>0.47666666666666668</v>
      </c>
    </row>
    <row r="33" spans="1:13">
      <c r="A33" s="44">
        <v>43623</v>
      </c>
      <c r="B33" s="45">
        <v>324</v>
      </c>
      <c r="C33" s="49">
        <f>C16/B16</f>
        <v>0.94753086419753085</v>
      </c>
      <c r="D33" s="47">
        <f t="shared" ref="D33:D41" si="0">D16/B16</f>
        <v>0.6987654320987654</v>
      </c>
      <c r="E33" s="47">
        <f t="shared" ref="E33:E40" si="1">E16/B16</f>
        <v>0.66172839506172842</v>
      </c>
      <c r="F33" s="47">
        <f t="shared" ref="F33:F39" si="2">F16/B16</f>
        <v>0.59753086419753099</v>
      </c>
      <c r="G33" s="47">
        <f t="shared" ref="G33:G38" si="3">G16/B16</f>
        <v>0.5654320987654321</v>
      </c>
      <c r="H33" s="47">
        <f t="shared" ref="H33:H37" si="4">H16/B16</f>
        <v>0.52592592592592591</v>
      </c>
      <c r="I33" s="47">
        <f t="shared" ref="I33:I36" si="5">I16/B16</f>
        <v>0.48148148148148145</v>
      </c>
      <c r="J33" s="47">
        <f t="shared" ref="J33:J35" si="6">J16/B16</f>
        <v>0.46913580246913578</v>
      </c>
      <c r="K33" s="47">
        <f t="shared" ref="K33:K34" si="7">K16/B16</f>
        <v>0.44938271604938268</v>
      </c>
      <c r="L33" s="47">
        <f>L16/B16</f>
        <v>0.44135802469135804</v>
      </c>
      <c r="M33" s="35"/>
    </row>
    <row r="34" spans="1:13">
      <c r="A34" s="44">
        <v>43630</v>
      </c>
      <c r="B34" s="45">
        <v>425</v>
      </c>
      <c r="C34" s="49">
        <f t="shared" ref="C34:C42" si="8">C17/B17</f>
        <v>0.97411764705882353</v>
      </c>
      <c r="D34" s="47">
        <f t="shared" si="0"/>
        <v>0.73788235294117654</v>
      </c>
      <c r="E34" s="47">
        <f t="shared" si="1"/>
        <v>0.71152941176470597</v>
      </c>
      <c r="F34" s="47">
        <f t="shared" si="2"/>
        <v>0.66447058823529415</v>
      </c>
      <c r="G34" s="47">
        <f t="shared" si="3"/>
        <v>0.63435294117647067</v>
      </c>
      <c r="H34" s="47">
        <f t="shared" si="4"/>
        <v>0.57411764705882351</v>
      </c>
      <c r="I34" s="47">
        <f t="shared" si="5"/>
        <v>0.55152941176470593</v>
      </c>
      <c r="J34" s="47">
        <f t="shared" si="6"/>
        <v>0.53647058823529414</v>
      </c>
      <c r="K34" s="47">
        <f t="shared" si="7"/>
        <v>0.51011764705882356</v>
      </c>
      <c r="M34" s="35"/>
    </row>
    <row r="35" spans="1:13">
      <c r="A35" s="44">
        <v>43637</v>
      </c>
      <c r="B35" s="45">
        <v>634</v>
      </c>
      <c r="C35" s="49">
        <f t="shared" si="8"/>
        <v>0.97476340694006314</v>
      </c>
      <c r="D35" s="47">
        <f t="shared" si="0"/>
        <v>0.74069400630914828</v>
      </c>
      <c r="E35" s="47">
        <f t="shared" si="1"/>
        <v>0.69905362776025248</v>
      </c>
      <c r="F35" s="47">
        <f t="shared" si="2"/>
        <v>0.66876971608832803</v>
      </c>
      <c r="G35" s="47">
        <f t="shared" si="3"/>
        <v>0.63974763406940072</v>
      </c>
      <c r="H35" s="47">
        <f t="shared" si="4"/>
        <v>0.60820189274447956</v>
      </c>
      <c r="I35" s="47">
        <f t="shared" si="5"/>
        <v>0.57791798107255521</v>
      </c>
      <c r="J35" s="47">
        <f t="shared" si="6"/>
        <v>0.55772870662460572</v>
      </c>
      <c r="M35" s="35"/>
    </row>
    <row r="36" spans="1:13">
      <c r="A36" s="44">
        <v>43644</v>
      </c>
      <c r="B36" s="45">
        <v>796</v>
      </c>
      <c r="C36" s="49">
        <f t="shared" si="8"/>
        <v>0.96984924623115576</v>
      </c>
      <c r="D36" s="47">
        <f t="shared" si="0"/>
        <v>0.75678391959798996</v>
      </c>
      <c r="E36" s="47">
        <f t="shared" si="1"/>
        <v>0.73266331658291461</v>
      </c>
      <c r="F36" s="47">
        <f t="shared" si="2"/>
        <v>0.69748743718592976</v>
      </c>
      <c r="G36" s="47">
        <f t="shared" si="3"/>
        <v>0.65226130653266334</v>
      </c>
      <c r="H36" s="47">
        <f t="shared" si="4"/>
        <v>0.61507537688442215</v>
      </c>
      <c r="I36" s="47">
        <f t="shared" si="5"/>
        <v>0.58894472361809047</v>
      </c>
      <c r="M36" s="35"/>
    </row>
    <row r="37" spans="1:13">
      <c r="A37" s="44">
        <v>43651</v>
      </c>
      <c r="B37" s="45">
        <v>918</v>
      </c>
      <c r="C37" s="49">
        <f t="shared" si="8"/>
        <v>0.96405228758169936</v>
      </c>
      <c r="D37" s="47">
        <f t="shared" si="0"/>
        <v>0.73202614379084963</v>
      </c>
      <c r="E37" s="47">
        <f t="shared" si="1"/>
        <v>0.69978213507625286</v>
      </c>
      <c r="F37" s="47">
        <f t="shared" si="2"/>
        <v>0.67363834422657964</v>
      </c>
      <c r="G37" s="47">
        <f t="shared" si="3"/>
        <v>0.65185185185185179</v>
      </c>
      <c r="H37" s="47">
        <f t="shared" si="4"/>
        <v>0.61350762527233116</v>
      </c>
      <c r="M37" s="35"/>
    </row>
    <row r="38" spans="1:13">
      <c r="A38" s="44">
        <v>43658</v>
      </c>
      <c r="B38" s="45">
        <v>1129</v>
      </c>
      <c r="C38" s="49">
        <f t="shared" si="8"/>
        <v>0.96014171833480955</v>
      </c>
      <c r="D38" s="47">
        <f t="shared" si="0"/>
        <v>0.7298494242692648</v>
      </c>
      <c r="E38" s="47">
        <f t="shared" si="1"/>
        <v>0.69016829052258644</v>
      </c>
      <c r="F38" s="47">
        <f t="shared" si="2"/>
        <v>0.65757307351638628</v>
      </c>
      <c r="G38" s="47">
        <f t="shared" si="3"/>
        <v>0.63348095659876003</v>
      </c>
      <c r="M38" s="35"/>
    </row>
    <row r="39" spans="1:13">
      <c r="A39" s="44">
        <v>43665</v>
      </c>
      <c r="B39" s="45">
        <v>1298</v>
      </c>
      <c r="C39" s="49">
        <f t="shared" si="8"/>
        <v>0.93836671802773497</v>
      </c>
      <c r="D39" s="47">
        <f t="shared" si="0"/>
        <v>0.72419106317411397</v>
      </c>
      <c r="E39" s="47">
        <f t="shared" si="1"/>
        <v>0.66872110939907548</v>
      </c>
      <c r="F39" s="47">
        <f t="shared" si="2"/>
        <v>0.61941448382126352</v>
      </c>
      <c r="M39" s="35"/>
    </row>
    <row r="40" spans="1:13">
      <c r="A40" s="44">
        <v>43672</v>
      </c>
      <c r="B40" s="45">
        <v>1420</v>
      </c>
      <c r="C40" s="49">
        <f t="shared" si="8"/>
        <v>0.95070422535211263</v>
      </c>
      <c r="D40" s="47">
        <f t="shared" si="0"/>
        <v>0.73070422535211277</v>
      </c>
      <c r="E40" s="47">
        <f t="shared" si="1"/>
        <v>0.68</v>
      </c>
      <c r="M40" s="35"/>
    </row>
    <row r="41" spans="1:13">
      <c r="A41" s="44">
        <v>43680</v>
      </c>
      <c r="B41" s="45">
        <v>1670</v>
      </c>
      <c r="C41" s="49">
        <f t="shared" si="8"/>
        <v>0.95029940119760481</v>
      </c>
      <c r="D41" s="47">
        <f t="shared" si="0"/>
        <v>0.71952095808383243</v>
      </c>
      <c r="M41" s="35"/>
    </row>
    <row r="42" spans="1:13">
      <c r="A42" s="44">
        <v>43687</v>
      </c>
      <c r="B42" s="45">
        <v>1820</v>
      </c>
      <c r="C42" s="49">
        <f t="shared" si="8"/>
        <v>0.94395604395604393</v>
      </c>
      <c r="M42" s="35"/>
    </row>
    <row r="43" spans="1:13" ht="12.75">
      <c r="A43" s="50">
        <v>43694</v>
      </c>
      <c r="B43" s="37">
        <v>2018</v>
      </c>
      <c r="C43" s="51"/>
      <c r="M43" s="35"/>
    </row>
    <row r="44" spans="1:13" ht="12.75">
      <c r="A44" s="191" t="s">
        <v>86</v>
      </c>
      <c r="B44" s="144"/>
      <c r="C44" s="115">
        <f>AVERAGE(C32:C42)</f>
        <v>0.96034377807977978</v>
      </c>
      <c r="D44" s="115">
        <f t="shared" ref="D44:M44" si="9">AVERAGE(D32:D42)</f>
        <v>0.73170841922839203</v>
      </c>
      <c r="E44" s="115">
        <f t="shared" si="9"/>
        <v>0.69633106883342766</v>
      </c>
      <c r="F44" s="115">
        <f t="shared" si="9"/>
        <v>0.6569438967422474</v>
      </c>
      <c r="G44" s="115">
        <f t="shared" si="9"/>
        <v>0.63101811271351138</v>
      </c>
      <c r="H44" s="115">
        <f t="shared" si="9"/>
        <v>0.58891585575877492</v>
      </c>
      <c r="I44" s="115">
        <f t="shared" si="9"/>
        <v>0.54864138625403336</v>
      </c>
      <c r="J44" s="115">
        <f t="shared" si="9"/>
        <v>0.52250044099892556</v>
      </c>
      <c r="K44" s="115">
        <f t="shared" si="9"/>
        <v>0.48650012103606871</v>
      </c>
      <c r="L44" s="115">
        <f t="shared" si="9"/>
        <v>0.46567901234567904</v>
      </c>
      <c r="M44" s="115">
        <f t="shared" si="9"/>
        <v>0.47666666666666668</v>
      </c>
    </row>
    <row r="45" spans="1:13" ht="12.75">
      <c r="A45" s="40"/>
    </row>
    <row r="46" spans="1:13" ht="12.75">
      <c r="A46" s="40"/>
    </row>
  </sheetData>
  <mergeCells count="16">
    <mergeCell ref="A1:M1"/>
    <mergeCell ref="A2:I2"/>
    <mergeCell ref="A3:I3"/>
    <mergeCell ref="A4:I4"/>
    <mergeCell ref="A5:I5"/>
    <mergeCell ref="A6:I6"/>
    <mergeCell ref="A7:I7"/>
    <mergeCell ref="C30:M30"/>
    <mergeCell ref="A44:B44"/>
    <mergeCell ref="A8:I8"/>
    <mergeCell ref="A9:I9"/>
    <mergeCell ref="A10:I10"/>
    <mergeCell ref="A11:I11"/>
    <mergeCell ref="A12:M12"/>
    <mergeCell ref="C13:M13"/>
    <mergeCell ref="A29:M2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42"/>
  <sheetViews>
    <sheetView showGridLines="0" topLeftCell="A25" workbookViewId="0">
      <selection activeCell="C43" sqref="C43"/>
    </sheetView>
  </sheetViews>
  <sheetFormatPr defaultColWidth="12.5703125" defaultRowHeight="15.75" customHeight="1"/>
  <sheetData>
    <row r="1" spans="1:8" ht="15.75" customHeight="1">
      <c r="A1" s="198" t="s">
        <v>11</v>
      </c>
      <c r="B1" s="143"/>
      <c r="C1" s="143"/>
      <c r="D1" s="143"/>
      <c r="E1" s="143"/>
      <c r="F1" s="143"/>
      <c r="G1" s="143"/>
      <c r="H1" s="144"/>
    </row>
    <row r="2" spans="1:8" ht="12.75">
      <c r="A2" s="180" t="s">
        <v>87</v>
      </c>
      <c r="B2" s="143"/>
      <c r="C2" s="143"/>
      <c r="D2" s="143"/>
      <c r="E2" s="143"/>
      <c r="F2" s="143"/>
      <c r="G2" s="143"/>
      <c r="H2" s="144"/>
    </row>
    <row r="3" spans="1:8" ht="12.75">
      <c r="A3" s="180" t="s">
        <v>88</v>
      </c>
      <c r="B3" s="143"/>
      <c r="C3" s="143"/>
      <c r="D3" s="143"/>
      <c r="E3" s="143"/>
      <c r="F3" s="143"/>
      <c r="G3" s="143"/>
      <c r="H3" s="144"/>
    </row>
    <row r="4" spans="1:8" ht="12.75">
      <c r="A4" s="199" t="s">
        <v>89</v>
      </c>
      <c r="B4" s="143"/>
      <c r="C4" s="143"/>
      <c r="D4" s="143"/>
      <c r="E4" s="143"/>
      <c r="F4" s="143"/>
      <c r="G4" s="143"/>
      <c r="H4" s="144"/>
    </row>
    <row r="5" spans="1:8" ht="12.75">
      <c r="A5" s="199" t="s">
        <v>90</v>
      </c>
      <c r="B5" s="143"/>
      <c r="C5" s="143"/>
      <c r="D5" s="143"/>
      <c r="E5" s="143"/>
      <c r="F5" s="143"/>
      <c r="G5" s="143"/>
      <c r="H5" s="144"/>
    </row>
    <row r="6" spans="1:8" ht="12.75">
      <c r="A6" s="199" t="s">
        <v>91</v>
      </c>
      <c r="B6" s="143"/>
      <c r="C6" s="143"/>
      <c r="D6" s="143"/>
      <c r="E6" s="143"/>
      <c r="F6" s="143"/>
      <c r="G6" s="143"/>
      <c r="H6" s="144"/>
    </row>
    <row r="8" spans="1:8" ht="12.75">
      <c r="B8" s="200"/>
      <c r="C8" s="190"/>
      <c r="D8" s="190"/>
      <c r="E8" s="190"/>
      <c r="F8" s="190"/>
      <c r="G8" s="163"/>
    </row>
    <row r="9" spans="1:8" ht="12.75">
      <c r="B9" s="164"/>
      <c r="C9" s="152"/>
      <c r="D9" s="152"/>
      <c r="E9" s="152"/>
      <c r="F9" s="152"/>
      <c r="G9" s="165"/>
    </row>
    <row r="10" spans="1:8" ht="12.75">
      <c r="B10" s="164"/>
      <c r="C10" s="152"/>
      <c r="D10" s="152"/>
      <c r="E10" s="152"/>
      <c r="F10" s="152"/>
      <c r="G10" s="165"/>
    </row>
    <row r="11" spans="1:8" ht="12.75">
      <c r="B11" s="164"/>
      <c r="C11" s="152"/>
      <c r="D11" s="152"/>
      <c r="E11" s="152"/>
      <c r="F11" s="152"/>
      <c r="G11" s="165"/>
    </row>
    <row r="12" spans="1:8" ht="12.75">
      <c r="B12" s="164"/>
      <c r="C12" s="152"/>
      <c r="D12" s="152"/>
      <c r="E12" s="152"/>
      <c r="F12" s="152"/>
      <c r="G12" s="165"/>
    </row>
    <row r="13" spans="1:8" ht="12.75">
      <c r="B13" s="164"/>
      <c r="C13" s="152"/>
      <c r="D13" s="152"/>
      <c r="E13" s="152"/>
      <c r="F13" s="152"/>
      <c r="G13" s="165"/>
    </row>
    <row r="14" spans="1:8" ht="12.75">
      <c r="B14" s="164"/>
      <c r="C14" s="152"/>
      <c r="D14" s="152"/>
      <c r="E14" s="152"/>
      <c r="F14" s="152"/>
      <c r="G14" s="165"/>
    </row>
    <row r="15" spans="1:8" ht="12.75">
      <c r="B15" s="164"/>
      <c r="C15" s="152"/>
      <c r="D15" s="152"/>
      <c r="E15" s="152"/>
      <c r="F15" s="152"/>
      <c r="G15" s="165"/>
    </row>
    <row r="16" spans="1:8" ht="12.75">
      <c r="B16" s="164"/>
      <c r="C16" s="152"/>
      <c r="D16" s="152"/>
      <c r="E16" s="152"/>
      <c r="F16" s="152"/>
      <c r="G16" s="165"/>
    </row>
    <row r="17" spans="1:7" ht="12.75">
      <c r="B17" s="164"/>
      <c r="C17" s="152"/>
      <c r="D17" s="152"/>
      <c r="E17" s="152"/>
      <c r="F17" s="152"/>
      <c r="G17" s="165"/>
    </row>
    <row r="18" spans="1:7" ht="12.75">
      <c r="B18" s="164"/>
      <c r="C18" s="152"/>
      <c r="D18" s="152"/>
      <c r="E18" s="152"/>
      <c r="F18" s="152"/>
      <c r="G18" s="165"/>
    </row>
    <row r="19" spans="1:7" ht="12.75">
      <c r="B19" s="164"/>
      <c r="C19" s="152"/>
      <c r="D19" s="152"/>
      <c r="E19" s="152"/>
      <c r="F19" s="152"/>
      <c r="G19" s="165"/>
    </row>
    <row r="20" spans="1:7" ht="12.75">
      <c r="B20" s="164"/>
      <c r="C20" s="152"/>
      <c r="D20" s="152"/>
      <c r="E20" s="152"/>
      <c r="F20" s="152"/>
      <c r="G20" s="165"/>
    </row>
    <row r="21" spans="1:7" ht="12.75">
      <c r="B21" s="164"/>
      <c r="C21" s="152"/>
      <c r="D21" s="152"/>
      <c r="E21" s="152"/>
      <c r="F21" s="152"/>
      <c r="G21" s="165"/>
    </row>
    <row r="22" spans="1:7" ht="12.75">
      <c r="B22" s="164"/>
      <c r="C22" s="152"/>
      <c r="D22" s="152"/>
      <c r="E22" s="152"/>
      <c r="F22" s="152"/>
      <c r="G22" s="165"/>
    </row>
    <row r="23" spans="1:7" ht="12.75">
      <c r="B23" s="164"/>
      <c r="C23" s="152"/>
      <c r="D23" s="152"/>
      <c r="E23" s="152"/>
      <c r="F23" s="152"/>
      <c r="G23" s="165"/>
    </row>
    <row r="24" spans="1:7" ht="12.75">
      <c r="B24" s="164"/>
      <c r="C24" s="152"/>
      <c r="D24" s="152"/>
      <c r="E24" s="152"/>
      <c r="F24" s="152"/>
      <c r="G24" s="165"/>
    </row>
    <row r="25" spans="1:7" ht="12.75">
      <c r="B25" s="164"/>
      <c r="C25" s="152"/>
      <c r="D25" s="152"/>
      <c r="E25" s="152"/>
      <c r="F25" s="152"/>
      <c r="G25" s="165"/>
    </row>
    <row r="26" spans="1:7" ht="12.75">
      <c r="B26" s="164"/>
      <c r="C26" s="152"/>
      <c r="D26" s="152"/>
      <c r="E26" s="152"/>
      <c r="F26" s="152"/>
      <c r="G26" s="165"/>
    </row>
    <row r="27" spans="1:7" ht="12.75">
      <c r="B27" s="164"/>
      <c r="C27" s="152"/>
      <c r="D27" s="152"/>
      <c r="E27" s="152"/>
      <c r="F27" s="152"/>
      <c r="G27" s="165"/>
    </row>
    <row r="28" spans="1:7" ht="12.75">
      <c r="B28" s="164"/>
      <c r="C28" s="152"/>
      <c r="D28" s="152"/>
      <c r="E28" s="152"/>
      <c r="F28" s="152"/>
      <c r="G28" s="165"/>
    </row>
    <row r="29" spans="1:7" ht="12.75">
      <c r="B29" s="166"/>
      <c r="C29" s="146"/>
      <c r="D29" s="146"/>
      <c r="E29" s="146"/>
      <c r="F29" s="146"/>
      <c r="G29" s="147"/>
    </row>
    <row r="32" spans="1:7" ht="12.75">
      <c r="A32" s="197" t="s">
        <v>92</v>
      </c>
      <c r="B32" s="163"/>
      <c r="C32" s="201">
        <v>0.48</v>
      </c>
      <c r="D32" s="163"/>
    </row>
    <row r="33" spans="1:7" ht="12.75">
      <c r="A33" s="166"/>
      <c r="B33" s="147"/>
      <c r="C33" s="166"/>
      <c r="D33" s="147"/>
    </row>
    <row r="34" spans="1:7" ht="12.75">
      <c r="A34" s="52"/>
      <c r="B34" s="52"/>
      <c r="C34" s="52"/>
      <c r="D34" s="52"/>
    </row>
    <row r="35" spans="1:7" ht="12.75">
      <c r="A35" s="197" t="s">
        <v>93</v>
      </c>
      <c r="B35" s="163"/>
      <c r="C35" s="155" t="s">
        <v>247</v>
      </c>
      <c r="D35" s="163"/>
    </row>
    <row r="36" spans="1:7" ht="12.75">
      <c r="A36" s="166"/>
      <c r="B36" s="147"/>
      <c r="C36" s="166"/>
      <c r="D36" s="147"/>
    </row>
    <row r="37" spans="1:7" ht="12.75">
      <c r="A37" s="52"/>
      <c r="B37" s="52"/>
    </row>
    <row r="38" spans="1:7" ht="12.75">
      <c r="A38" s="197" t="s">
        <v>94</v>
      </c>
      <c r="B38" s="163"/>
      <c r="C38" s="155" t="s">
        <v>248</v>
      </c>
      <c r="D38" s="190"/>
      <c r="E38" s="190"/>
      <c r="F38" s="190"/>
      <c r="G38" s="163"/>
    </row>
    <row r="39" spans="1:7" ht="12.75">
      <c r="A39" s="166"/>
      <c r="B39" s="147"/>
      <c r="C39" s="166"/>
      <c r="D39" s="146"/>
      <c r="E39" s="146"/>
      <c r="F39" s="146"/>
      <c r="G39" s="147"/>
    </row>
    <row r="40" spans="1:7" ht="12.75">
      <c r="A40" s="52"/>
      <c r="B40" s="52"/>
      <c r="C40" s="52"/>
      <c r="D40" s="52"/>
      <c r="E40" s="52"/>
    </row>
    <row r="41" spans="1:7" ht="12.75">
      <c r="A41" s="197" t="s">
        <v>95</v>
      </c>
      <c r="B41" s="163"/>
      <c r="C41" s="155" t="s">
        <v>249</v>
      </c>
      <c r="D41" s="190"/>
      <c r="E41" s="190"/>
      <c r="F41" s="190"/>
      <c r="G41" s="163"/>
    </row>
    <row r="42" spans="1:7" ht="12.75">
      <c r="A42" s="166"/>
      <c r="B42" s="147"/>
      <c r="C42" s="166"/>
      <c r="D42" s="146"/>
      <c r="E42" s="146"/>
      <c r="F42" s="146"/>
      <c r="G42" s="147"/>
    </row>
  </sheetData>
  <mergeCells count="15">
    <mergeCell ref="A41:B42"/>
    <mergeCell ref="C41:G42"/>
    <mergeCell ref="A1:H1"/>
    <mergeCell ref="A2:H2"/>
    <mergeCell ref="A3:H3"/>
    <mergeCell ref="A4:H4"/>
    <mergeCell ref="A5:H5"/>
    <mergeCell ref="A6:H6"/>
    <mergeCell ref="B8:G29"/>
    <mergeCell ref="A32:B33"/>
    <mergeCell ref="C32:D33"/>
    <mergeCell ref="A35:B36"/>
    <mergeCell ref="C35:D36"/>
    <mergeCell ref="A38:B39"/>
    <mergeCell ref="C38:G3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214"/>
  <sheetViews>
    <sheetView showGridLines="0" tabSelected="1" zoomScale="70" zoomScaleNormal="70" workbookViewId="0">
      <selection sqref="A1:Q1"/>
    </sheetView>
  </sheetViews>
  <sheetFormatPr defaultColWidth="14.42578125" defaultRowHeight="15.75" customHeight="1"/>
  <cols>
    <col min="1" max="1" width="17.7109375" style="116" customWidth="1"/>
    <col min="2" max="16384" width="14.42578125" style="116"/>
  </cols>
  <sheetData>
    <row r="1" spans="1:17" ht="30" customHeight="1">
      <c r="A1" s="198" t="s">
        <v>96</v>
      </c>
      <c r="B1" s="143"/>
      <c r="C1" s="143"/>
      <c r="D1" s="143"/>
      <c r="E1" s="143"/>
      <c r="F1" s="143"/>
      <c r="G1" s="143"/>
      <c r="H1" s="143"/>
      <c r="I1" s="143"/>
      <c r="J1" s="143"/>
      <c r="K1" s="143"/>
      <c r="L1" s="143"/>
      <c r="M1" s="143"/>
      <c r="N1" s="143"/>
      <c r="O1" s="143"/>
      <c r="P1" s="143"/>
      <c r="Q1" s="144"/>
    </row>
    <row r="2" spans="1:17" ht="12.75">
      <c r="A2" s="224" t="s">
        <v>97</v>
      </c>
      <c r="B2" s="143"/>
      <c r="C2" s="143"/>
      <c r="D2" s="143"/>
      <c r="E2" s="143"/>
      <c r="F2" s="143"/>
      <c r="G2" s="143"/>
      <c r="H2" s="143"/>
      <c r="I2" s="143"/>
      <c r="J2" s="143"/>
      <c r="K2" s="143"/>
      <c r="L2" s="143"/>
      <c r="M2" s="144"/>
    </row>
    <row r="3" spans="1:17" ht="12.75">
      <c r="A3" s="225" t="s">
        <v>98</v>
      </c>
      <c r="B3" s="190"/>
      <c r="C3" s="190"/>
      <c r="D3" s="190"/>
      <c r="E3" s="190"/>
      <c r="F3" s="190"/>
      <c r="G3" s="190"/>
      <c r="H3" s="190"/>
      <c r="I3" s="190"/>
      <c r="J3" s="190"/>
      <c r="K3" s="190"/>
      <c r="L3" s="190"/>
      <c r="M3" s="163"/>
    </row>
    <row r="4" spans="1:17" ht="12.75">
      <c r="A4" s="226" t="s">
        <v>99</v>
      </c>
      <c r="B4" s="190"/>
      <c r="C4" s="190"/>
      <c r="D4" s="190"/>
      <c r="E4" s="190"/>
      <c r="F4" s="190"/>
      <c r="G4" s="190"/>
      <c r="H4" s="190"/>
      <c r="I4" s="190"/>
      <c r="J4" s="190"/>
      <c r="K4" s="190"/>
      <c r="L4" s="190"/>
      <c r="M4" s="163"/>
    </row>
    <row r="5" spans="1:17" ht="12.75">
      <c r="A5" s="221" t="s">
        <v>100</v>
      </c>
      <c r="B5" s="205"/>
      <c r="C5" s="205"/>
      <c r="D5" s="205"/>
      <c r="E5" s="205"/>
      <c r="F5" s="205"/>
      <c r="G5" s="205"/>
      <c r="H5" s="205"/>
      <c r="I5" s="205"/>
      <c r="J5" s="205"/>
      <c r="K5" s="205"/>
      <c r="L5" s="205"/>
      <c r="M5" s="165"/>
    </row>
    <row r="6" spans="1:17" ht="12.75">
      <c r="A6" s="221" t="s">
        <v>101</v>
      </c>
      <c r="B6" s="205"/>
      <c r="C6" s="205"/>
      <c r="D6" s="205"/>
      <c r="E6" s="205"/>
      <c r="F6" s="205"/>
      <c r="G6" s="205"/>
      <c r="H6" s="205"/>
      <c r="I6" s="205"/>
      <c r="J6" s="205"/>
      <c r="K6" s="205"/>
      <c r="L6" s="205"/>
      <c r="M6" s="165"/>
    </row>
    <row r="7" spans="1:17" ht="12.75">
      <c r="A7" s="221" t="s">
        <v>102</v>
      </c>
      <c r="B7" s="205"/>
      <c r="C7" s="205"/>
      <c r="D7" s="205"/>
      <c r="E7" s="205"/>
      <c r="F7" s="205"/>
      <c r="G7" s="205"/>
      <c r="H7" s="205"/>
      <c r="I7" s="205"/>
      <c r="J7" s="205"/>
      <c r="K7" s="205"/>
      <c r="L7" s="205"/>
      <c r="M7" s="165"/>
    </row>
    <row r="8" spans="1:17" ht="12.75">
      <c r="A8" s="222" t="s">
        <v>103</v>
      </c>
      <c r="B8" s="146"/>
      <c r="C8" s="146"/>
      <c r="D8" s="146"/>
      <c r="E8" s="146"/>
      <c r="F8" s="146"/>
      <c r="G8" s="146"/>
      <c r="H8" s="146"/>
      <c r="I8" s="146"/>
      <c r="J8" s="146"/>
      <c r="K8" s="146"/>
      <c r="L8" s="146"/>
      <c r="M8" s="147"/>
    </row>
    <row r="9" spans="1:17" ht="15">
      <c r="A9" s="223" t="s">
        <v>104</v>
      </c>
      <c r="B9" s="143"/>
      <c r="C9" s="143"/>
      <c r="D9" s="143"/>
      <c r="E9" s="143"/>
      <c r="F9" s="143"/>
      <c r="G9" s="143"/>
      <c r="H9" s="143"/>
      <c r="I9" s="143"/>
      <c r="J9" s="143"/>
      <c r="K9" s="143"/>
      <c r="L9" s="143"/>
      <c r="M9" s="144"/>
    </row>
    <row r="10" spans="1:17" ht="14.25">
      <c r="A10" s="117"/>
      <c r="B10" s="117"/>
      <c r="D10" s="113"/>
    </row>
    <row r="11" spans="1:17" ht="12.75">
      <c r="A11" s="203"/>
      <c r="B11" s="163"/>
      <c r="C11" s="149" t="s">
        <v>105</v>
      </c>
      <c r="D11" s="143"/>
      <c r="E11" s="143"/>
      <c r="F11" s="143"/>
      <c r="G11" s="143"/>
      <c r="H11" s="143"/>
      <c r="I11" s="143"/>
      <c r="J11" s="143"/>
      <c r="K11" s="143"/>
      <c r="L11" s="143"/>
      <c r="M11" s="143"/>
      <c r="N11" s="143"/>
      <c r="O11" s="143"/>
      <c r="P11" s="143"/>
      <c r="Q11" s="144"/>
    </row>
    <row r="12" spans="1:17" ht="12.75">
      <c r="A12" s="166"/>
      <c r="B12" s="147"/>
      <c r="C12" s="149" t="s">
        <v>106</v>
      </c>
      <c r="D12" s="143"/>
      <c r="E12" s="143"/>
      <c r="F12" s="143"/>
      <c r="G12" s="143"/>
      <c r="H12" s="143"/>
      <c r="I12" s="143"/>
      <c r="J12" s="143"/>
      <c r="K12" s="143"/>
      <c r="L12" s="143"/>
      <c r="M12" s="143"/>
      <c r="N12" s="143"/>
      <c r="O12" s="143"/>
      <c r="P12" s="143"/>
      <c r="Q12" s="144"/>
    </row>
    <row r="13" spans="1:17" ht="25.5">
      <c r="A13" s="53" t="s">
        <v>107</v>
      </c>
      <c r="B13" s="54" t="s">
        <v>108</v>
      </c>
      <c r="C13" s="118">
        <v>0</v>
      </c>
      <c r="D13" s="118">
        <v>1</v>
      </c>
      <c r="E13" s="118">
        <v>2</v>
      </c>
      <c r="F13" s="118">
        <v>3</v>
      </c>
      <c r="G13" s="118">
        <v>4</v>
      </c>
      <c r="H13" s="118">
        <v>5</v>
      </c>
      <c r="I13" s="118">
        <v>6</v>
      </c>
      <c r="J13" s="118">
        <v>7</v>
      </c>
      <c r="K13" s="118">
        <v>8</v>
      </c>
      <c r="L13" s="118">
        <v>9</v>
      </c>
      <c r="M13" s="118">
        <v>10</v>
      </c>
      <c r="N13" s="118">
        <v>11</v>
      </c>
      <c r="O13" s="118">
        <v>12</v>
      </c>
      <c r="P13" s="118">
        <v>13</v>
      </c>
      <c r="Q13" s="118">
        <v>14</v>
      </c>
    </row>
    <row r="14" spans="1:17" ht="15.75" customHeight="1">
      <c r="A14" s="55" t="s">
        <v>109</v>
      </c>
      <c r="B14" s="56">
        <f>SUM(B15:B22)</f>
        <v>920.6</v>
      </c>
      <c r="C14" s="119">
        <v>870</v>
      </c>
      <c r="D14" s="120">
        <f>C14*0.92</f>
        <v>800.40000000000009</v>
      </c>
      <c r="E14" s="120">
        <f t="shared" ref="E14:F14" si="0">D14*0.93</f>
        <v>744.37200000000007</v>
      </c>
      <c r="F14" s="120">
        <f t="shared" si="0"/>
        <v>692.26596000000006</v>
      </c>
      <c r="G14" s="120">
        <f>F14*0.98</f>
        <v>678.4206408</v>
      </c>
      <c r="H14" s="120">
        <f>G14*0.94</f>
        <v>637.71540235199996</v>
      </c>
      <c r="I14" s="120">
        <f>H14*0.98</f>
        <v>624.96109430495994</v>
      </c>
      <c r="J14" s="120">
        <f>I14*0.92</f>
        <v>574.96420676056312</v>
      </c>
      <c r="K14" s="120">
        <f>J14*0.9</f>
        <v>517.46778608450677</v>
      </c>
      <c r="L14" s="120">
        <f>K14*0.98</f>
        <v>507.11843036281664</v>
      </c>
      <c r="M14" s="120">
        <f>L14*0.99</f>
        <v>502.04724605918847</v>
      </c>
      <c r="N14" s="120">
        <f>M14*0.95</f>
        <v>476.94488375622905</v>
      </c>
      <c r="O14" s="120">
        <f>N14*0.91</f>
        <v>434.01984421816843</v>
      </c>
      <c r="P14" s="120">
        <f>O14*0.9</f>
        <v>390.61785979635158</v>
      </c>
      <c r="Q14" s="121">
        <f>P14*0.98</f>
        <v>382.80550260042452</v>
      </c>
    </row>
    <row r="15" spans="1:17" ht="15.75" customHeight="1">
      <c r="A15" s="57" t="s">
        <v>110</v>
      </c>
      <c r="B15" s="60">
        <f>310*0.9</f>
        <v>279</v>
      </c>
      <c r="C15" s="122">
        <v>262</v>
      </c>
      <c r="D15" s="123">
        <f>C15*0.93</f>
        <v>243.66000000000003</v>
      </c>
      <c r="E15" s="123">
        <f t="shared" ref="E15:G15" si="1">D15*0.95</f>
        <v>231.477</v>
      </c>
      <c r="F15" s="123">
        <f t="shared" si="1"/>
        <v>219.90314999999998</v>
      </c>
      <c r="G15" s="123">
        <f t="shared" si="1"/>
        <v>208.90799249999998</v>
      </c>
      <c r="H15" s="123">
        <f>G15*0.9</f>
        <v>188.01719324999999</v>
      </c>
      <c r="I15" s="123">
        <f>H15*0.94</f>
        <v>176.73616165499999</v>
      </c>
      <c r="J15" s="123">
        <f t="shared" ref="J15:Q15" si="2">I15*0.95</f>
        <v>167.89935357224999</v>
      </c>
      <c r="K15" s="123">
        <f t="shared" si="2"/>
        <v>159.50438589363748</v>
      </c>
      <c r="L15" s="123">
        <f t="shared" si="2"/>
        <v>151.52916659895558</v>
      </c>
      <c r="M15" s="123">
        <f t="shared" si="2"/>
        <v>143.95270826900779</v>
      </c>
      <c r="N15" s="123">
        <f t="shared" si="2"/>
        <v>136.75507285555739</v>
      </c>
      <c r="O15" s="123">
        <f t="shared" si="2"/>
        <v>129.91731921277952</v>
      </c>
      <c r="P15" s="123">
        <f t="shared" si="2"/>
        <v>123.42145325214054</v>
      </c>
      <c r="Q15" s="124">
        <f t="shared" si="2"/>
        <v>117.25038058953351</v>
      </c>
    </row>
    <row r="16" spans="1:17" ht="15.75" customHeight="1">
      <c r="A16" s="57" t="s">
        <v>111</v>
      </c>
      <c r="B16" s="60">
        <f>206*0.8</f>
        <v>164.8</v>
      </c>
      <c r="C16" s="122">
        <v>162</v>
      </c>
      <c r="D16" s="123">
        <f t="shared" ref="D16:Q19" si="3">C16*0.95</f>
        <v>153.9</v>
      </c>
      <c r="E16" s="123">
        <f t="shared" si="3"/>
        <v>146.20500000000001</v>
      </c>
      <c r="F16" s="123">
        <f t="shared" si="3"/>
        <v>138.89475000000002</v>
      </c>
      <c r="G16" s="123">
        <f t="shared" si="3"/>
        <v>131.95001250000001</v>
      </c>
      <c r="H16" s="123">
        <f t="shared" si="3"/>
        <v>125.352511875</v>
      </c>
      <c r="I16" s="123">
        <f t="shared" si="3"/>
        <v>119.08488628124999</v>
      </c>
      <c r="J16" s="123">
        <f t="shared" si="3"/>
        <v>113.13064196718749</v>
      </c>
      <c r="K16" s="123">
        <f t="shared" si="3"/>
        <v>107.47410986882811</v>
      </c>
      <c r="L16" s="123">
        <f t="shared" si="3"/>
        <v>102.1004043753867</v>
      </c>
      <c r="M16" s="123">
        <f t="shared" si="3"/>
        <v>96.995384156617362</v>
      </c>
      <c r="N16" s="123">
        <f t="shared" si="3"/>
        <v>92.145614948786488</v>
      </c>
      <c r="O16" s="123">
        <f t="shared" si="3"/>
        <v>87.538334201347155</v>
      </c>
      <c r="P16" s="123">
        <f t="shared" si="3"/>
        <v>83.161417491279792</v>
      </c>
      <c r="Q16" s="124">
        <f t="shared" si="3"/>
        <v>79.003346616715802</v>
      </c>
    </row>
    <row r="17" spans="1:17" ht="15.75" customHeight="1">
      <c r="A17" s="57" t="s">
        <v>112</v>
      </c>
      <c r="B17" s="60">
        <f>172*0.8</f>
        <v>137.6</v>
      </c>
      <c r="C17" s="122">
        <v>132</v>
      </c>
      <c r="D17" s="123">
        <f>C17*0.92</f>
        <v>121.44000000000001</v>
      </c>
      <c r="E17" s="123">
        <f t="shared" si="3"/>
        <v>115.36800000000001</v>
      </c>
      <c r="F17" s="123">
        <f t="shared" si="3"/>
        <v>109.59960000000001</v>
      </c>
      <c r="G17" s="123">
        <f t="shared" si="3"/>
        <v>104.11962</v>
      </c>
      <c r="H17" s="123">
        <f t="shared" si="3"/>
        <v>98.913638999999989</v>
      </c>
      <c r="I17" s="123">
        <f t="shared" si="3"/>
        <v>93.967957049999981</v>
      </c>
      <c r="J17" s="123">
        <f t="shared" si="3"/>
        <v>89.269559197499973</v>
      </c>
      <c r="K17" s="123">
        <f t="shared" si="3"/>
        <v>84.806081237624966</v>
      </c>
      <c r="L17" s="123">
        <f t="shared" si="3"/>
        <v>80.565777175743719</v>
      </c>
      <c r="M17" s="123">
        <f t="shared" si="3"/>
        <v>76.537488316956527</v>
      </c>
      <c r="N17" s="123">
        <f t="shared" si="3"/>
        <v>72.710613901108701</v>
      </c>
      <c r="O17" s="123">
        <f t="shared" si="3"/>
        <v>69.075083206053264</v>
      </c>
      <c r="P17" s="123">
        <f t="shared" si="3"/>
        <v>65.621329045750599</v>
      </c>
      <c r="Q17" s="124">
        <f t="shared" si="3"/>
        <v>62.340262593463066</v>
      </c>
    </row>
    <row r="18" spans="1:17" ht="15.75" customHeight="1">
      <c r="A18" s="57" t="s">
        <v>113</v>
      </c>
      <c r="B18" s="60">
        <f>138*0.8</f>
        <v>110.4</v>
      </c>
      <c r="C18" s="122">
        <v>106</v>
      </c>
      <c r="D18" s="123">
        <f>C18*0.97</f>
        <v>102.82</v>
      </c>
      <c r="E18" s="123">
        <f t="shared" si="3"/>
        <v>97.678999999999988</v>
      </c>
      <c r="F18" s="123">
        <f t="shared" si="3"/>
        <v>92.795049999999989</v>
      </c>
      <c r="G18" s="123">
        <f t="shared" si="3"/>
        <v>88.155297499999989</v>
      </c>
      <c r="H18" s="123">
        <f t="shared" si="3"/>
        <v>83.747532624999991</v>
      </c>
      <c r="I18" s="123">
        <f t="shared" si="3"/>
        <v>79.560155993749987</v>
      </c>
      <c r="J18" s="123">
        <f t="shared" si="3"/>
        <v>75.582148194062484</v>
      </c>
      <c r="K18" s="123">
        <f t="shared" si="3"/>
        <v>71.803040784359354</v>
      </c>
      <c r="L18" s="123">
        <f t="shared" si="3"/>
        <v>68.212888745141385</v>
      </c>
      <c r="M18" s="123">
        <f t="shared" si="3"/>
        <v>64.802244307884308</v>
      </c>
      <c r="N18" s="123">
        <f t="shared" si="3"/>
        <v>61.562132092490089</v>
      </c>
      <c r="O18" s="123">
        <f t="shared" si="3"/>
        <v>58.48402548786558</v>
      </c>
      <c r="P18" s="123">
        <f t="shared" si="3"/>
        <v>55.559824213472297</v>
      </c>
      <c r="Q18" s="124">
        <f t="shared" si="3"/>
        <v>52.781833002798678</v>
      </c>
    </row>
    <row r="19" spans="1:17" ht="15.75" customHeight="1">
      <c r="A19" s="57" t="s">
        <v>114</v>
      </c>
      <c r="B19" s="60">
        <f>112*0.8</f>
        <v>89.600000000000009</v>
      </c>
      <c r="C19" s="122">
        <v>72</v>
      </c>
      <c r="D19" s="123">
        <f>C19*0.93</f>
        <v>66.960000000000008</v>
      </c>
      <c r="E19" s="123">
        <f t="shared" si="3"/>
        <v>63.612000000000002</v>
      </c>
      <c r="F19" s="123">
        <f t="shared" si="3"/>
        <v>60.431399999999996</v>
      </c>
      <c r="G19" s="123">
        <f t="shared" si="3"/>
        <v>57.409829999999992</v>
      </c>
      <c r="H19" s="123">
        <f t="shared" si="3"/>
        <v>54.539338499999992</v>
      </c>
      <c r="I19" s="123">
        <f t="shared" si="3"/>
        <v>51.812371574999993</v>
      </c>
      <c r="J19" s="123">
        <f t="shared" si="3"/>
        <v>49.22175299624999</v>
      </c>
      <c r="K19" s="123">
        <f t="shared" si="3"/>
        <v>46.760665346437484</v>
      </c>
      <c r="L19" s="123">
        <f t="shared" si="3"/>
        <v>44.422632079115608</v>
      </c>
      <c r="M19" s="123">
        <f t="shared" si="3"/>
        <v>42.201500475159825</v>
      </c>
      <c r="N19" s="123">
        <f t="shared" si="3"/>
        <v>40.091425451401832</v>
      </c>
      <c r="O19" s="123">
        <f t="shared" si="3"/>
        <v>38.086854178831736</v>
      </c>
      <c r="P19" s="123">
        <f t="shared" si="3"/>
        <v>36.182511469890144</v>
      </c>
      <c r="Q19" s="124">
        <f t="shared" si="3"/>
        <v>34.373385896395632</v>
      </c>
    </row>
    <row r="20" spans="1:17" ht="15.75" customHeight="1">
      <c r="A20" s="57" t="s">
        <v>115</v>
      </c>
      <c r="B20" s="60">
        <f>92*0.8</f>
        <v>73.600000000000009</v>
      </c>
      <c r="C20" s="122">
        <v>68</v>
      </c>
      <c r="D20" s="123">
        <f t="shared" ref="D20:Q22" si="4">C20*0.95</f>
        <v>64.599999999999994</v>
      </c>
      <c r="E20" s="123">
        <f t="shared" si="4"/>
        <v>61.36999999999999</v>
      </c>
      <c r="F20" s="123">
        <f t="shared" si="4"/>
        <v>58.30149999999999</v>
      </c>
      <c r="G20" s="123">
        <f t="shared" si="4"/>
        <v>55.386424999999988</v>
      </c>
      <c r="H20" s="123">
        <f t="shared" si="4"/>
        <v>52.617103749999984</v>
      </c>
      <c r="I20" s="123">
        <f t="shared" si="4"/>
        <v>49.986248562499981</v>
      </c>
      <c r="J20" s="123">
        <f t="shared" si="4"/>
        <v>47.486936134374979</v>
      </c>
      <c r="K20" s="123">
        <f t="shared" si="4"/>
        <v>45.112589327656231</v>
      </c>
      <c r="L20" s="123">
        <f t="shared" si="4"/>
        <v>42.856959861273417</v>
      </c>
      <c r="M20" s="123">
        <f t="shared" si="4"/>
        <v>40.714111868209741</v>
      </c>
      <c r="N20" s="123">
        <f t="shared" si="4"/>
        <v>38.678406274799251</v>
      </c>
      <c r="O20" s="123">
        <f t="shared" si="4"/>
        <v>36.74448596105929</v>
      </c>
      <c r="P20" s="123">
        <f t="shared" si="4"/>
        <v>34.907261663006324</v>
      </c>
      <c r="Q20" s="124">
        <f t="shared" si="4"/>
        <v>33.161898579856008</v>
      </c>
    </row>
    <row r="21" spans="1:17" ht="15.75" customHeight="1">
      <c r="A21" s="57" t="s">
        <v>116</v>
      </c>
      <c r="B21" s="60">
        <f>58*0.8</f>
        <v>46.400000000000006</v>
      </c>
      <c r="C21" s="122">
        <v>42</v>
      </c>
      <c r="D21" s="123">
        <f>C21*0.94</f>
        <v>39.479999999999997</v>
      </c>
      <c r="E21" s="123">
        <f t="shared" si="4"/>
        <v>37.505999999999993</v>
      </c>
      <c r="F21" s="123">
        <f t="shared" si="4"/>
        <v>35.63069999999999</v>
      </c>
      <c r="G21" s="123">
        <f t="shared" si="4"/>
        <v>33.849164999999992</v>
      </c>
      <c r="H21" s="123">
        <f t="shared" si="4"/>
        <v>32.156706749999991</v>
      </c>
      <c r="I21" s="123">
        <f t="shared" si="4"/>
        <v>30.548871412499988</v>
      </c>
      <c r="J21" s="123">
        <f t="shared" si="4"/>
        <v>29.021427841874988</v>
      </c>
      <c r="K21" s="123">
        <f t="shared" si="4"/>
        <v>27.570356449781237</v>
      </c>
      <c r="L21" s="123">
        <f t="shared" si="4"/>
        <v>26.191838627292174</v>
      </c>
      <c r="M21" s="123">
        <f t="shared" si="4"/>
        <v>24.882246695927563</v>
      </c>
      <c r="N21" s="123">
        <f t="shared" si="4"/>
        <v>23.638134361131183</v>
      </c>
      <c r="O21" s="123">
        <f t="shared" si="4"/>
        <v>22.456227643074623</v>
      </c>
      <c r="P21" s="123">
        <f t="shared" si="4"/>
        <v>21.333416260920892</v>
      </c>
      <c r="Q21" s="124">
        <f t="shared" si="4"/>
        <v>20.266745447874847</v>
      </c>
    </row>
    <row r="22" spans="1:17" ht="15.75" customHeight="1">
      <c r="A22" s="57" t="s">
        <v>117</v>
      </c>
      <c r="B22" s="60">
        <f>24*0.8</f>
        <v>19.200000000000003</v>
      </c>
      <c r="C22" s="125">
        <v>17</v>
      </c>
      <c r="D22" s="126">
        <f>C22*0.96</f>
        <v>16.32</v>
      </c>
      <c r="E22" s="126">
        <f t="shared" si="4"/>
        <v>15.504</v>
      </c>
      <c r="F22" s="126">
        <f t="shared" si="4"/>
        <v>14.7288</v>
      </c>
      <c r="G22" s="126">
        <f t="shared" si="4"/>
        <v>13.99236</v>
      </c>
      <c r="H22" s="126">
        <f t="shared" si="4"/>
        <v>13.292741999999999</v>
      </c>
      <c r="I22" s="126">
        <f t="shared" si="4"/>
        <v>12.628104899999999</v>
      </c>
      <c r="J22" s="126">
        <f t="shared" si="4"/>
        <v>11.996699654999999</v>
      </c>
      <c r="K22" s="126">
        <f t="shared" si="4"/>
        <v>11.396864672249999</v>
      </c>
      <c r="L22" s="126">
        <f t="shared" si="4"/>
        <v>10.827021438637498</v>
      </c>
      <c r="M22" s="126">
        <f t="shared" si="4"/>
        <v>10.285670366705622</v>
      </c>
      <c r="N22" s="126">
        <f t="shared" si="4"/>
        <v>9.7713868483703408</v>
      </c>
      <c r="O22" s="126">
        <f t="shared" si="4"/>
        <v>9.2828175059518241</v>
      </c>
      <c r="P22" s="126">
        <f t="shared" si="4"/>
        <v>8.8186766306542328</v>
      </c>
      <c r="Q22" s="127">
        <f t="shared" si="4"/>
        <v>8.3777427991215205</v>
      </c>
    </row>
    <row r="25" spans="1:17" ht="12.75">
      <c r="C25" s="113"/>
      <c r="D25" s="113"/>
      <c r="E25" s="113"/>
      <c r="F25" s="113"/>
      <c r="G25" s="113"/>
      <c r="H25" s="113"/>
      <c r="I25" s="113"/>
      <c r="J25" s="113"/>
      <c r="K25" s="113"/>
      <c r="L25" s="113"/>
      <c r="M25" s="113"/>
      <c r="N25" s="113"/>
      <c r="O25" s="113"/>
      <c r="P25" s="113"/>
      <c r="Q25" s="113"/>
    </row>
    <row r="26" spans="1:17" ht="12.75">
      <c r="A26" s="203"/>
      <c r="B26" s="163"/>
      <c r="C26" s="149" t="s">
        <v>118</v>
      </c>
      <c r="D26" s="143"/>
      <c r="E26" s="143"/>
      <c r="F26" s="143"/>
      <c r="G26" s="143"/>
      <c r="H26" s="143"/>
      <c r="I26" s="143"/>
      <c r="J26" s="143"/>
      <c r="K26" s="143"/>
      <c r="L26" s="143"/>
      <c r="M26" s="143"/>
      <c r="N26" s="143"/>
      <c r="O26" s="143"/>
      <c r="P26" s="143"/>
      <c r="Q26" s="144"/>
    </row>
    <row r="27" spans="1:17" ht="12.75">
      <c r="A27" s="166"/>
      <c r="B27" s="147"/>
      <c r="C27" s="149" t="s">
        <v>106</v>
      </c>
      <c r="D27" s="143"/>
      <c r="E27" s="143"/>
      <c r="F27" s="143"/>
      <c r="G27" s="143"/>
      <c r="H27" s="143"/>
      <c r="I27" s="143"/>
      <c r="J27" s="143"/>
      <c r="K27" s="143"/>
      <c r="L27" s="143"/>
      <c r="M27" s="143"/>
      <c r="N27" s="143"/>
      <c r="O27" s="143"/>
      <c r="P27" s="143"/>
      <c r="Q27" s="144"/>
    </row>
    <row r="28" spans="1:17" ht="25.5">
      <c r="A28" s="53" t="s">
        <v>107</v>
      </c>
      <c r="B28" s="54" t="s">
        <v>108</v>
      </c>
      <c r="C28" s="118">
        <v>0</v>
      </c>
      <c r="D28" s="118">
        <v>1</v>
      </c>
      <c r="E28" s="118">
        <v>2</v>
      </c>
      <c r="F28" s="118">
        <v>3</v>
      </c>
      <c r="G28" s="118">
        <v>4</v>
      </c>
      <c r="H28" s="118">
        <v>5</v>
      </c>
      <c r="I28" s="118">
        <v>6</v>
      </c>
      <c r="J28" s="118">
        <v>7</v>
      </c>
      <c r="K28" s="118">
        <v>8</v>
      </c>
      <c r="L28" s="118">
        <v>9</v>
      </c>
      <c r="M28" s="118">
        <v>10</v>
      </c>
      <c r="N28" s="118">
        <v>11</v>
      </c>
      <c r="O28" s="118">
        <v>12</v>
      </c>
      <c r="P28" s="118">
        <v>13</v>
      </c>
      <c r="Q28" s="118">
        <v>14</v>
      </c>
    </row>
    <row r="29" spans="1:17" ht="12.75">
      <c r="A29" s="55" t="s">
        <v>109</v>
      </c>
      <c r="B29" s="60">
        <f>SUM(B30:B37)</f>
        <v>920.6</v>
      </c>
      <c r="C29" s="128">
        <v>0.95</v>
      </c>
      <c r="D29" s="129">
        <f t="shared" ref="D29:D37" si="5">D14/B14</f>
        <v>0.86943297849228773</v>
      </c>
      <c r="E29" s="129">
        <f t="shared" ref="E29:E37" si="6">E14/B14</f>
        <v>0.80857266999782751</v>
      </c>
      <c r="F29" s="129">
        <f t="shared" ref="F29:F37" si="7">F14/B14</f>
        <v>0.75197258309797965</v>
      </c>
      <c r="G29" s="129">
        <f t="shared" ref="G29:G37" si="8">G14/B14</f>
        <v>0.73693313143602002</v>
      </c>
      <c r="H29" s="129">
        <f t="shared" ref="H29:H37" si="9">H14/B14</f>
        <v>0.69271714354985869</v>
      </c>
      <c r="I29" s="129">
        <f t="shared" ref="I29:I37" si="10">I14/B14</f>
        <v>0.67886280067886151</v>
      </c>
      <c r="J29" s="129">
        <f t="shared" ref="J29:J37" si="11">J14/B14</f>
        <v>0.62455377662455258</v>
      </c>
      <c r="K29" s="129">
        <f t="shared" ref="K29:K37" si="12">K14/B14</f>
        <v>0.56209839896209723</v>
      </c>
      <c r="L29" s="129">
        <f t="shared" ref="L29:L37" si="13">L14/B14</f>
        <v>0.55085643098285531</v>
      </c>
      <c r="M29" s="129">
        <f t="shared" ref="M29:M37" si="14">M14/B14</f>
        <v>0.54534786667302682</v>
      </c>
      <c r="N29" s="129">
        <f t="shared" ref="N29:N37" si="15">N14/B14</f>
        <v>0.51808047333937546</v>
      </c>
      <c r="O29" s="129">
        <f t="shared" ref="O29:O37" si="16">O14/B14</f>
        <v>0.47145323073883166</v>
      </c>
      <c r="P29" s="129">
        <f t="shared" ref="P29:P37" si="17">P14/B14</f>
        <v>0.42430790766494847</v>
      </c>
      <c r="Q29" s="129">
        <f t="shared" ref="Q29:Q37" si="18">Q14/B14</f>
        <v>0.41582174951164946</v>
      </c>
    </row>
    <row r="30" spans="1:17" ht="12.75">
      <c r="A30" s="57" t="s">
        <v>110</v>
      </c>
      <c r="B30" s="60">
        <f>310*0.9</f>
        <v>279</v>
      </c>
      <c r="C30" s="130">
        <f t="shared" ref="C30:C37" si="19">C15/B15</f>
        <v>0.93906810035842292</v>
      </c>
      <c r="D30" s="130">
        <f t="shared" si="5"/>
        <v>0.87333333333333341</v>
      </c>
      <c r="E30" s="130">
        <f t="shared" si="6"/>
        <v>0.82966666666666666</v>
      </c>
      <c r="F30" s="130">
        <f t="shared" si="7"/>
        <v>0.78818333333333324</v>
      </c>
      <c r="G30" s="130">
        <f t="shared" si="8"/>
        <v>0.74877416666666663</v>
      </c>
      <c r="H30" s="130">
        <f t="shared" si="9"/>
        <v>0.67389674999999993</v>
      </c>
      <c r="I30" s="130">
        <f t="shared" si="10"/>
        <v>0.633462945</v>
      </c>
      <c r="J30" s="130">
        <f t="shared" si="11"/>
        <v>0.60178979774999997</v>
      </c>
      <c r="K30" s="130">
        <f t="shared" si="12"/>
        <v>0.57170030786249992</v>
      </c>
      <c r="L30" s="130">
        <f t="shared" si="13"/>
        <v>0.54311529246937484</v>
      </c>
      <c r="M30" s="130">
        <f t="shared" si="14"/>
        <v>0.51595952784590604</v>
      </c>
      <c r="N30" s="130">
        <f t="shared" si="15"/>
        <v>0.49016155145361073</v>
      </c>
      <c r="O30" s="130">
        <f t="shared" si="16"/>
        <v>0.46565347388093015</v>
      </c>
      <c r="P30" s="130">
        <f t="shared" si="17"/>
        <v>0.44237080018688363</v>
      </c>
      <c r="Q30" s="130">
        <f t="shared" si="18"/>
        <v>0.42025226017753947</v>
      </c>
    </row>
    <row r="31" spans="1:17" ht="12.75">
      <c r="A31" s="57" t="s">
        <v>111</v>
      </c>
      <c r="B31" s="60">
        <f>206*0.8</f>
        <v>164.8</v>
      </c>
      <c r="C31" s="130">
        <f t="shared" si="19"/>
        <v>0.98300970873786397</v>
      </c>
      <c r="D31" s="130">
        <f t="shared" si="5"/>
        <v>0.93385922330097082</v>
      </c>
      <c r="E31" s="130">
        <f t="shared" si="6"/>
        <v>0.88716626213592231</v>
      </c>
      <c r="F31" s="130">
        <f t="shared" si="7"/>
        <v>0.84280794902912626</v>
      </c>
      <c r="G31" s="130">
        <f t="shared" si="8"/>
        <v>0.80066755157766989</v>
      </c>
      <c r="H31" s="130">
        <f t="shared" si="9"/>
        <v>0.76063417399878641</v>
      </c>
      <c r="I31" s="130">
        <f t="shared" si="10"/>
        <v>0.72260246529884697</v>
      </c>
      <c r="J31" s="130">
        <f t="shared" si="11"/>
        <v>0.68647234203390461</v>
      </c>
      <c r="K31" s="130">
        <f t="shared" si="12"/>
        <v>0.65214872493220932</v>
      </c>
      <c r="L31" s="130">
        <f t="shared" si="13"/>
        <v>0.61954128868559888</v>
      </c>
      <c r="M31" s="130">
        <f t="shared" si="14"/>
        <v>0.58856422425131893</v>
      </c>
      <c r="N31" s="130">
        <f t="shared" si="15"/>
        <v>0.55913601303875293</v>
      </c>
      <c r="O31" s="130">
        <f t="shared" si="16"/>
        <v>0.5311792123868152</v>
      </c>
      <c r="P31" s="130">
        <f t="shared" si="17"/>
        <v>0.50462025176747438</v>
      </c>
      <c r="Q31" s="130">
        <f t="shared" si="18"/>
        <v>0.4793892391791007</v>
      </c>
    </row>
    <row r="32" spans="1:17" ht="12.75">
      <c r="A32" s="57" t="s">
        <v>112</v>
      </c>
      <c r="B32" s="60">
        <f>172*0.8</f>
        <v>137.6</v>
      </c>
      <c r="C32" s="130">
        <f t="shared" si="19"/>
        <v>0.95930232558139539</v>
      </c>
      <c r="D32" s="130">
        <f t="shared" si="5"/>
        <v>0.88255813953488382</v>
      </c>
      <c r="E32" s="130">
        <f t="shared" si="6"/>
        <v>0.83843023255813964</v>
      </c>
      <c r="F32" s="130">
        <f t="shared" si="7"/>
        <v>0.79650872093023262</v>
      </c>
      <c r="G32" s="130">
        <f t="shared" si="8"/>
        <v>0.75668328488372094</v>
      </c>
      <c r="H32" s="130">
        <f t="shared" si="9"/>
        <v>0.71884912063953488</v>
      </c>
      <c r="I32" s="130">
        <f t="shared" si="10"/>
        <v>0.682906664607558</v>
      </c>
      <c r="J32" s="130">
        <f t="shared" si="11"/>
        <v>0.64876133137718006</v>
      </c>
      <c r="K32" s="130">
        <f t="shared" si="12"/>
        <v>0.616323264808321</v>
      </c>
      <c r="L32" s="130">
        <f t="shared" si="13"/>
        <v>0.58550710156790498</v>
      </c>
      <c r="M32" s="130">
        <f t="shared" si="14"/>
        <v>0.55623174648950968</v>
      </c>
      <c r="N32" s="130">
        <f t="shared" si="15"/>
        <v>0.52842015916503415</v>
      </c>
      <c r="O32" s="130">
        <f t="shared" si="16"/>
        <v>0.50199915120678251</v>
      </c>
      <c r="P32" s="130">
        <f t="shared" si="17"/>
        <v>0.47689919364644334</v>
      </c>
      <c r="Q32" s="130">
        <f t="shared" si="18"/>
        <v>0.45305423396412114</v>
      </c>
    </row>
    <row r="33" spans="1:17" ht="12.75">
      <c r="A33" s="57" t="s">
        <v>113</v>
      </c>
      <c r="B33" s="60">
        <f>138*0.8</f>
        <v>110.4</v>
      </c>
      <c r="C33" s="130">
        <f t="shared" si="19"/>
        <v>0.96014492753623182</v>
      </c>
      <c r="D33" s="130">
        <f t="shared" si="5"/>
        <v>0.93134057971014483</v>
      </c>
      <c r="E33" s="130">
        <f t="shared" si="6"/>
        <v>0.88477355072463748</v>
      </c>
      <c r="F33" s="130">
        <f t="shared" si="7"/>
        <v>0.8405348731884057</v>
      </c>
      <c r="G33" s="130">
        <f t="shared" si="8"/>
        <v>0.79850812952898531</v>
      </c>
      <c r="H33" s="130">
        <f t="shared" si="9"/>
        <v>0.75858272305253616</v>
      </c>
      <c r="I33" s="130">
        <f t="shared" si="10"/>
        <v>0.72065358689990922</v>
      </c>
      <c r="J33" s="130">
        <f t="shared" si="11"/>
        <v>0.68462090755491378</v>
      </c>
      <c r="K33" s="130">
        <f t="shared" si="12"/>
        <v>0.65038986217716799</v>
      </c>
      <c r="L33" s="130">
        <f t="shared" si="13"/>
        <v>0.61787036906830961</v>
      </c>
      <c r="M33" s="130">
        <f t="shared" si="14"/>
        <v>0.58697685061489402</v>
      </c>
      <c r="N33" s="130">
        <f t="shared" si="15"/>
        <v>0.55762800808414936</v>
      </c>
      <c r="O33" s="130">
        <f t="shared" si="16"/>
        <v>0.52974660767994186</v>
      </c>
      <c r="P33" s="130">
        <f t="shared" si="17"/>
        <v>0.50325927729594466</v>
      </c>
      <c r="Q33" s="130">
        <f t="shared" si="18"/>
        <v>0.47809631343114739</v>
      </c>
    </row>
    <row r="34" spans="1:17" ht="12.75">
      <c r="A34" s="57" t="s">
        <v>114</v>
      </c>
      <c r="B34" s="60">
        <f>112*0.8</f>
        <v>89.600000000000009</v>
      </c>
      <c r="C34" s="130">
        <f t="shared" si="19"/>
        <v>0.80357142857142849</v>
      </c>
      <c r="D34" s="130">
        <f t="shared" si="5"/>
        <v>0.74732142857142858</v>
      </c>
      <c r="E34" s="130">
        <f t="shared" si="6"/>
        <v>0.70995535714285707</v>
      </c>
      <c r="F34" s="130">
        <f t="shared" si="7"/>
        <v>0.6744575892857142</v>
      </c>
      <c r="G34" s="130">
        <f t="shared" si="8"/>
        <v>0.64073470982142844</v>
      </c>
      <c r="H34" s="130">
        <f t="shared" si="9"/>
        <v>0.60869797433035699</v>
      </c>
      <c r="I34" s="130">
        <f t="shared" si="10"/>
        <v>0.57826307561383916</v>
      </c>
      <c r="J34" s="130">
        <f t="shared" si="11"/>
        <v>0.54934992183314713</v>
      </c>
      <c r="K34" s="130">
        <f t="shared" si="12"/>
        <v>0.52188242574148969</v>
      </c>
      <c r="L34" s="130">
        <f t="shared" si="13"/>
        <v>0.49578830445441524</v>
      </c>
      <c r="M34" s="130">
        <f t="shared" si="14"/>
        <v>0.47099888923169442</v>
      </c>
      <c r="N34" s="130">
        <f t="shared" si="15"/>
        <v>0.44744894477010971</v>
      </c>
      <c r="O34" s="130">
        <f t="shared" si="16"/>
        <v>0.42507649753160415</v>
      </c>
      <c r="P34" s="130">
        <f t="shared" si="17"/>
        <v>0.40382267265502392</v>
      </c>
      <c r="Q34" s="130">
        <f t="shared" si="18"/>
        <v>0.38363153902227265</v>
      </c>
    </row>
    <row r="35" spans="1:17" ht="12.75">
      <c r="A35" s="57" t="s">
        <v>115</v>
      </c>
      <c r="B35" s="60">
        <f>92*0.8</f>
        <v>73.600000000000009</v>
      </c>
      <c r="C35" s="130">
        <f t="shared" si="19"/>
        <v>0.92391304347826075</v>
      </c>
      <c r="D35" s="130">
        <f t="shared" si="5"/>
        <v>0.87771739130434767</v>
      </c>
      <c r="E35" s="130">
        <f t="shared" si="6"/>
        <v>0.83383152173913022</v>
      </c>
      <c r="F35" s="130">
        <f t="shared" si="7"/>
        <v>0.79213994565217372</v>
      </c>
      <c r="G35" s="130">
        <f t="shared" si="8"/>
        <v>0.75253294836956497</v>
      </c>
      <c r="H35" s="130">
        <f t="shared" si="9"/>
        <v>0.71490630095108665</v>
      </c>
      <c r="I35" s="130">
        <f t="shared" si="10"/>
        <v>0.67916098590353224</v>
      </c>
      <c r="J35" s="130">
        <f t="shared" si="11"/>
        <v>0.64520293660835559</v>
      </c>
      <c r="K35" s="130">
        <f t="shared" si="12"/>
        <v>0.61294278977793781</v>
      </c>
      <c r="L35" s="130">
        <f t="shared" si="13"/>
        <v>0.58229565028904096</v>
      </c>
      <c r="M35" s="130">
        <f t="shared" si="14"/>
        <v>0.55318086777458886</v>
      </c>
      <c r="N35" s="130">
        <f t="shared" si="15"/>
        <v>0.52552182438585937</v>
      </c>
      <c r="O35" s="130">
        <f t="shared" si="16"/>
        <v>0.4992457331665664</v>
      </c>
      <c r="P35" s="130">
        <f t="shared" si="17"/>
        <v>0.47428344650823806</v>
      </c>
      <c r="Q35" s="130">
        <f t="shared" si="18"/>
        <v>0.45056927418282616</v>
      </c>
    </row>
    <row r="36" spans="1:17" ht="12.75">
      <c r="A36" s="57" t="s">
        <v>116</v>
      </c>
      <c r="B36" s="60">
        <f>58*0.8</f>
        <v>46.400000000000006</v>
      </c>
      <c r="C36" s="130">
        <f t="shared" si="19"/>
        <v>0.90517241379310331</v>
      </c>
      <c r="D36" s="130">
        <f t="shared" si="5"/>
        <v>0.85086206896551708</v>
      </c>
      <c r="E36" s="130">
        <f t="shared" si="6"/>
        <v>0.80831896551724114</v>
      </c>
      <c r="F36" s="130">
        <f t="shared" si="7"/>
        <v>0.76790301724137899</v>
      </c>
      <c r="G36" s="130">
        <f t="shared" si="8"/>
        <v>0.72950786637931009</v>
      </c>
      <c r="H36" s="130">
        <f t="shared" si="9"/>
        <v>0.69303247306034454</v>
      </c>
      <c r="I36" s="130">
        <f t="shared" si="10"/>
        <v>0.65838084940732722</v>
      </c>
      <c r="J36" s="130">
        <f t="shared" si="11"/>
        <v>0.62546180693696085</v>
      </c>
      <c r="K36" s="130">
        <f t="shared" si="12"/>
        <v>0.59418871659011274</v>
      </c>
      <c r="L36" s="130">
        <f t="shared" si="13"/>
        <v>0.56447928076060716</v>
      </c>
      <c r="M36" s="130">
        <f t="shared" si="14"/>
        <v>0.53625531672257676</v>
      </c>
      <c r="N36" s="130">
        <f t="shared" si="15"/>
        <v>0.50944255088644785</v>
      </c>
      <c r="O36" s="130">
        <f t="shared" si="16"/>
        <v>0.48397042334212542</v>
      </c>
      <c r="P36" s="130">
        <f t="shared" si="17"/>
        <v>0.45977190217501918</v>
      </c>
      <c r="Q36" s="130">
        <f t="shared" si="18"/>
        <v>0.43678330706626822</v>
      </c>
    </row>
    <row r="37" spans="1:17" ht="12.75">
      <c r="A37" s="57" t="s">
        <v>117</v>
      </c>
      <c r="B37" s="60">
        <f>24*0.8</f>
        <v>19.200000000000003</v>
      </c>
      <c r="C37" s="130">
        <f t="shared" si="19"/>
        <v>0.88541666666666652</v>
      </c>
      <c r="D37" s="130">
        <f t="shared" si="5"/>
        <v>0.84999999999999987</v>
      </c>
      <c r="E37" s="130">
        <f t="shared" si="6"/>
        <v>0.80749999999999988</v>
      </c>
      <c r="F37" s="130">
        <f t="shared" si="7"/>
        <v>0.76712499999999983</v>
      </c>
      <c r="G37" s="130">
        <f t="shared" si="8"/>
        <v>0.72876874999999985</v>
      </c>
      <c r="H37" s="130">
        <f t="shared" si="9"/>
        <v>0.69233031249999988</v>
      </c>
      <c r="I37" s="130">
        <f t="shared" si="10"/>
        <v>0.65771379687499987</v>
      </c>
      <c r="J37" s="130">
        <f t="shared" si="11"/>
        <v>0.6248281070312498</v>
      </c>
      <c r="K37" s="130">
        <f t="shared" si="12"/>
        <v>0.5935867016796873</v>
      </c>
      <c r="L37" s="130">
        <f t="shared" si="13"/>
        <v>0.56390736659570295</v>
      </c>
      <c r="M37" s="130">
        <f t="shared" si="14"/>
        <v>0.53571199826591775</v>
      </c>
      <c r="N37" s="130">
        <f t="shared" si="15"/>
        <v>0.50892639835262188</v>
      </c>
      <c r="O37" s="130">
        <f t="shared" si="16"/>
        <v>0.48348007843499075</v>
      </c>
      <c r="P37" s="130">
        <f t="shared" si="17"/>
        <v>0.45930607451324124</v>
      </c>
      <c r="Q37" s="130">
        <f t="shared" si="18"/>
        <v>0.43634077078757916</v>
      </c>
    </row>
    <row r="38" spans="1:17" ht="12.75">
      <c r="A38" s="217" t="s">
        <v>86</v>
      </c>
      <c r="B38" s="147"/>
      <c r="C38" s="131">
        <f t="shared" ref="C38:Q38" si="20">AVERAGE(C29:C37)</f>
        <v>0.92328873496926378</v>
      </c>
      <c r="D38" s="131">
        <f t="shared" si="20"/>
        <v>0.86849168257921272</v>
      </c>
      <c r="E38" s="131">
        <f t="shared" si="20"/>
        <v>0.8231350251647136</v>
      </c>
      <c r="F38" s="131">
        <f t="shared" si="20"/>
        <v>0.78018144575092718</v>
      </c>
      <c r="G38" s="131">
        <f t="shared" si="20"/>
        <v>0.74367894874037388</v>
      </c>
      <c r="H38" s="131">
        <f t="shared" si="20"/>
        <v>0.70151633023138926</v>
      </c>
      <c r="I38" s="131">
        <f t="shared" si="20"/>
        <v>0.66800079669831935</v>
      </c>
      <c r="J38" s="131">
        <f t="shared" si="20"/>
        <v>0.63233788086114051</v>
      </c>
      <c r="K38" s="131">
        <f t="shared" si="20"/>
        <v>0.59725124361461357</v>
      </c>
      <c r="L38" s="131">
        <f t="shared" si="20"/>
        <v>0.56926234276375665</v>
      </c>
      <c r="M38" s="131">
        <f t="shared" si="20"/>
        <v>0.54324747642993709</v>
      </c>
      <c r="N38" s="131">
        <f t="shared" si="20"/>
        <v>0.51608510260844009</v>
      </c>
      <c r="O38" s="131">
        <f t="shared" si="20"/>
        <v>0.48797826759650981</v>
      </c>
      <c r="P38" s="131">
        <f t="shared" si="20"/>
        <v>0.46096016960146863</v>
      </c>
      <c r="Q38" s="131">
        <f t="shared" si="20"/>
        <v>0.43932652081361162</v>
      </c>
    </row>
    <row r="41" spans="1:17" ht="12.75">
      <c r="B41" s="204"/>
      <c r="C41" s="190"/>
      <c r="D41" s="190"/>
      <c r="E41" s="190"/>
      <c r="F41" s="190"/>
      <c r="G41" s="190"/>
      <c r="H41" s="190"/>
      <c r="I41" s="190"/>
      <c r="J41" s="163"/>
    </row>
    <row r="42" spans="1:17" ht="12.75">
      <c r="B42" s="164"/>
      <c r="C42" s="205"/>
      <c r="D42" s="205"/>
      <c r="E42" s="205"/>
      <c r="F42" s="205"/>
      <c r="G42" s="205"/>
      <c r="H42" s="205"/>
      <c r="I42" s="205"/>
      <c r="J42" s="165"/>
      <c r="L42" s="218" t="s">
        <v>119</v>
      </c>
      <c r="M42" s="205"/>
      <c r="N42" s="219" t="s">
        <v>254</v>
      </c>
      <c r="O42" s="205"/>
      <c r="P42" s="205"/>
    </row>
    <row r="43" spans="1:17" ht="12.75">
      <c r="B43" s="164"/>
      <c r="C43" s="205"/>
      <c r="D43" s="205"/>
      <c r="E43" s="205"/>
      <c r="F43" s="205"/>
      <c r="G43" s="205"/>
      <c r="H43" s="205"/>
      <c r="I43" s="205"/>
      <c r="J43" s="165"/>
      <c r="L43" s="205"/>
      <c r="M43" s="205"/>
      <c r="N43" s="205"/>
      <c r="O43" s="205"/>
      <c r="P43" s="205"/>
    </row>
    <row r="44" spans="1:17" ht="12.75">
      <c r="B44" s="164"/>
      <c r="C44" s="205"/>
      <c r="D44" s="205"/>
      <c r="E44" s="205"/>
      <c r="F44" s="205"/>
      <c r="G44" s="205"/>
      <c r="H44" s="205"/>
      <c r="I44" s="205"/>
      <c r="J44" s="165"/>
      <c r="L44" s="132"/>
      <c r="M44" s="132"/>
    </row>
    <row r="45" spans="1:17" ht="12.75">
      <c r="B45" s="164"/>
      <c r="C45" s="205"/>
      <c r="D45" s="205"/>
      <c r="E45" s="205"/>
      <c r="F45" s="205"/>
      <c r="G45" s="205"/>
      <c r="H45" s="205"/>
      <c r="I45" s="205"/>
      <c r="J45" s="165"/>
      <c r="L45" s="218" t="s">
        <v>120</v>
      </c>
      <c r="M45" s="205"/>
      <c r="N45" s="219" t="s">
        <v>255</v>
      </c>
      <c r="O45" s="205"/>
      <c r="P45" s="205"/>
    </row>
    <row r="46" spans="1:17" ht="12.75">
      <c r="B46" s="164"/>
      <c r="C46" s="205"/>
      <c r="D46" s="205"/>
      <c r="E46" s="205"/>
      <c r="F46" s="205"/>
      <c r="G46" s="205"/>
      <c r="H46" s="205"/>
      <c r="I46" s="205"/>
      <c r="J46" s="165"/>
      <c r="L46" s="205"/>
      <c r="M46" s="205"/>
      <c r="N46" s="205"/>
      <c r="O46" s="205"/>
      <c r="P46" s="205"/>
    </row>
    <row r="47" spans="1:17" ht="12.75">
      <c r="B47" s="164"/>
      <c r="C47" s="205"/>
      <c r="D47" s="205"/>
      <c r="E47" s="205"/>
      <c r="F47" s="205"/>
      <c r="G47" s="205"/>
      <c r="H47" s="205"/>
      <c r="I47" s="205"/>
      <c r="J47" s="165"/>
      <c r="L47" s="132"/>
      <c r="M47" s="132"/>
    </row>
    <row r="48" spans="1:17" ht="12.75">
      <c r="B48" s="164"/>
      <c r="C48" s="205"/>
      <c r="D48" s="205"/>
      <c r="E48" s="205"/>
      <c r="F48" s="205"/>
      <c r="G48" s="205"/>
      <c r="H48" s="205"/>
      <c r="I48" s="205"/>
      <c r="J48" s="165"/>
      <c r="L48" s="218" t="s">
        <v>121</v>
      </c>
      <c r="M48" s="205"/>
      <c r="N48" s="220" t="s">
        <v>256</v>
      </c>
      <c r="O48" s="212"/>
      <c r="P48" s="212"/>
      <c r="Q48" s="212"/>
    </row>
    <row r="49" spans="2:17" ht="12.75">
      <c r="B49" s="164"/>
      <c r="C49" s="205"/>
      <c r="D49" s="205"/>
      <c r="E49" s="205"/>
      <c r="F49" s="205"/>
      <c r="G49" s="205"/>
      <c r="H49" s="205"/>
      <c r="I49" s="205"/>
      <c r="J49" s="165"/>
      <c r="L49" s="205"/>
      <c r="M49" s="205"/>
      <c r="N49" s="212"/>
      <c r="O49" s="212"/>
      <c r="P49" s="212"/>
      <c r="Q49" s="212"/>
    </row>
    <row r="50" spans="2:17" ht="12.75">
      <c r="B50" s="164"/>
      <c r="C50" s="205"/>
      <c r="D50" s="205"/>
      <c r="E50" s="205"/>
      <c r="F50" s="205"/>
      <c r="G50" s="205"/>
      <c r="H50" s="205"/>
      <c r="I50" s="205"/>
      <c r="J50" s="165"/>
      <c r="L50" s="205"/>
      <c r="M50" s="205"/>
      <c r="N50" s="212"/>
      <c r="O50" s="212"/>
      <c r="P50" s="212"/>
      <c r="Q50" s="212"/>
    </row>
    <row r="51" spans="2:17" ht="12.75">
      <c r="B51" s="164"/>
      <c r="C51" s="205"/>
      <c r="D51" s="205"/>
      <c r="E51" s="205"/>
      <c r="F51" s="205"/>
      <c r="G51" s="205"/>
      <c r="H51" s="205"/>
      <c r="I51" s="205"/>
      <c r="J51" s="165"/>
      <c r="L51" s="205"/>
      <c r="M51" s="205"/>
      <c r="N51" s="212"/>
      <c r="O51" s="212"/>
      <c r="P51" s="212"/>
      <c r="Q51" s="212"/>
    </row>
    <row r="52" spans="2:17" ht="12.75">
      <c r="B52" s="164"/>
      <c r="C52" s="205"/>
      <c r="D52" s="205"/>
      <c r="E52" s="205"/>
      <c r="F52" s="205"/>
      <c r="G52" s="205"/>
      <c r="H52" s="205"/>
      <c r="I52" s="205"/>
      <c r="J52" s="165"/>
      <c r="L52" s="205"/>
      <c r="M52" s="205"/>
      <c r="N52" s="212"/>
      <c r="O52" s="212"/>
      <c r="P52" s="212"/>
      <c r="Q52" s="212"/>
    </row>
    <row r="53" spans="2:17" ht="12.75">
      <c r="B53" s="164"/>
      <c r="C53" s="205"/>
      <c r="D53" s="205"/>
      <c r="E53" s="205"/>
      <c r="F53" s="205"/>
      <c r="G53" s="205"/>
      <c r="H53" s="205"/>
      <c r="I53" s="205"/>
      <c r="J53" s="165"/>
      <c r="L53" s="205"/>
      <c r="M53" s="205"/>
      <c r="N53" s="212"/>
      <c r="O53" s="212"/>
      <c r="P53" s="212"/>
      <c r="Q53" s="212"/>
    </row>
    <row r="54" spans="2:17" ht="12.75">
      <c r="B54" s="164"/>
      <c r="C54" s="205"/>
      <c r="D54" s="205"/>
      <c r="E54" s="205"/>
      <c r="F54" s="205"/>
      <c r="G54" s="205"/>
      <c r="H54" s="205"/>
      <c r="I54" s="205"/>
      <c r="J54" s="165"/>
    </row>
    <row r="55" spans="2:17" ht="12.75">
      <c r="B55" s="164"/>
      <c r="C55" s="205"/>
      <c r="D55" s="205"/>
      <c r="E55" s="205"/>
      <c r="F55" s="205"/>
      <c r="G55" s="205"/>
      <c r="H55" s="205"/>
      <c r="I55" s="205"/>
      <c r="J55" s="165"/>
    </row>
    <row r="56" spans="2:17" ht="12.75">
      <c r="B56" s="164"/>
      <c r="C56" s="205"/>
      <c r="D56" s="205"/>
      <c r="E56" s="205"/>
      <c r="F56" s="205"/>
      <c r="G56" s="205"/>
      <c r="H56" s="205"/>
      <c r="I56" s="205"/>
      <c r="J56" s="165"/>
    </row>
    <row r="57" spans="2:17" ht="12.75">
      <c r="B57" s="164"/>
      <c r="C57" s="205"/>
      <c r="D57" s="205"/>
      <c r="E57" s="205"/>
      <c r="F57" s="205"/>
      <c r="G57" s="205"/>
      <c r="H57" s="205"/>
      <c r="I57" s="205"/>
      <c r="J57" s="165"/>
    </row>
    <row r="58" spans="2:17" ht="12.75">
      <c r="B58" s="164"/>
      <c r="C58" s="205"/>
      <c r="D58" s="205"/>
      <c r="E58" s="205"/>
      <c r="F58" s="205"/>
      <c r="G58" s="205"/>
      <c r="H58" s="205"/>
      <c r="I58" s="205"/>
      <c r="J58" s="165"/>
    </row>
    <row r="59" spans="2:17" ht="12.75">
      <c r="B59" s="164"/>
      <c r="C59" s="205"/>
      <c r="D59" s="205"/>
      <c r="E59" s="205"/>
      <c r="F59" s="205"/>
      <c r="G59" s="205"/>
      <c r="H59" s="205"/>
      <c r="I59" s="205"/>
      <c r="J59" s="165"/>
    </row>
    <row r="60" spans="2:17" ht="12.75">
      <c r="B60" s="164"/>
      <c r="C60" s="205"/>
      <c r="D60" s="205"/>
      <c r="E60" s="205"/>
      <c r="F60" s="205"/>
      <c r="G60" s="205"/>
      <c r="H60" s="205"/>
      <c r="I60" s="205"/>
      <c r="J60" s="165"/>
    </row>
    <row r="61" spans="2:17" ht="12.75">
      <c r="B61" s="166"/>
      <c r="C61" s="146"/>
      <c r="D61" s="146"/>
      <c r="E61" s="146"/>
      <c r="F61" s="146"/>
      <c r="G61" s="146"/>
      <c r="H61" s="146"/>
      <c r="I61" s="146"/>
      <c r="J61" s="147"/>
    </row>
    <row r="65" spans="1:17" ht="12.75">
      <c r="A65" s="203"/>
      <c r="B65" s="163"/>
      <c r="C65" s="149" t="s">
        <v>122</v>
      </c>
      <c r="D65" s="143"/>
      <c r="E65" s="143"/>
      <c r="F65" s="143"/>
      <c r="G65" s="143"/>
      <c r="H65" s="143"/>
      <c r="I65" s="143"/>
      <c r="J65" s="143"/>
      <c r="K65" s="143"/>
      <c r="L65" s="143"/>
      <c r="M65" s="143"/>
      <c r="N65" s="143"/>
      <c r="O65" s="143"/>
      <c r="P65" s="143"/>
      <c r="Q65" s="144"/>
    </row>
    <row r="66" spans="1:17" ht="12.75">
      <c r="A66" s="166"/>
      <c r="B66" s="147"/>
      <c r="C66" s="149" t="s">
        <v>106</v>
      </c>
      <c r="D66" s="143"/>
      <c r="E66" s="143"/>
      <c r="F66" s="143"/>
      <c r="G66" s="143"/>
      <c r="H66" s="143"/>
      <c r="I66" s="143"/>
      <c r="J66" s="143"/>
      <c r="K66" s="143"/>
      <c r="L66" s="143"/>
      <c r="M66" s="143"/>
      <c r="N66" s="143"/>
      <c r="O66" s="143"/>
      <c r="P66" s="143"/>
      <c r="Q66" s="144"/>
    </row>
    <row r="67" spans="1:17" ht="12.75">
      <c r="A67" s="61" t="s">
        <v>123</v>
      </c>
      <c r="B67" s="58" t="s">
        <v>124</v>
      </c>
      <c r="C67" s="118">
        <v>0</v>
      </c>
      <c r="D67" s="118">
        <v>1</v>
      </c>
      <c r="E67" s="118">
        <v>2</v>
      </c>
      <c r="F67" s="118">
        <v>3</v>
      </c>
      <c r="G67" s="118">
        <v>4</v>
      </c>
      <c r="H67" s="118">
        <v>5</v>
      </c>
      <c r="I67" s="118">
        <v>6</v>
      </c>
      <c r="J67" s="118">
        <v>7</v>
      </c>
      <c r="K67" s="118">
        <v>8</v>
      </c>
      <c r="L67" s="118">
        <v>9</v>
      </c>
      <c r="M67" s="118">
        <v>10</v>
      </c>
      <c r="N67" s="118">
        <v>11</v>
      </c>
      <c r="O67" s="118">
        <v>12</v>
      </c>
      <c r="P67" s="118">
        <v>13</v>
      </c>
      <c r="Q67" s="118">
        <v>14</v>
      </c>
    </row>
    <row r="68" spans="1:17" ht="12.75">
      <c r="A68" s="55" t="s">
        <v>109</v>
      </c>
      <c r="B68" s="56">
        <f>SUM(B69:B76)</f>
        <v>1484</v>
      </c>
      <c r="C68" s="119">
        <v>870</v>
      </c>
      <c r="D68" s="120">
        <f>C68*0.92</f>
        <v>800.40000000000009</v>
      </c>
      <c r="E68" s="120">
        <f t="shared" ref="E68:F68" si="21">D68*0.93</f>
        <v>744.37200000000007</v>
      </c>
      <c r="F68" s="120">
        <f t="shared" si="21"/>
        <v>692.26596000000006</v>
      </c>
      <c r="G68" s="120">
        <f>F68*0.98</f>
        <v>678.4206408</v>
      </c>
      <c r="H68" s="120">
        <f>G68*0.94</f>
        <v>637.71540235199996</v>
      </c>
      <c r="I68" s="120">
        <f>H68*0.98</f>
        <v>624.96109430495994</v>
      </c>
      <c r="J68" s="120">
        <f>I68*0.92</f>
        <v>574.96420676056312</v>
      </c>
      <c r="K68" s="120">
        <f>J68*0.9</f>
        <v>517.46778608450677</v>
      </c>
      <c r="L68" s="120">
        <f>K68*0.98</f>
        <v>507.11843036281664</v>
      </c>
      <c r="M68" s="120">
        <f>L68*0.99</f>
        <v>502.04724605918847</v>
      </c>
      <c r="N68" s="120">
        <f>M68*0.95</f>
        <v>476.94488375622905</v>
      </c>
      <c r="O68" s="120">
        <f>N68*0.91</f>
        <v>434.01984421816843</v>
      </c>
      <c r="P68" s="120">
        <f>O68*0.9</f>
        <v>390.61785979635158</v>
      </c>
      <c r="Q68" s="121">
        <f>P68*0.98</f>
        <v>382.80550260042452</v>
      </c>
    </row>
    <row r="69" spans="1:17" ht="12.75">
      <c r="A69" s="59" t="s">
        <v>125</v>
      </c>
      <c r="B69" s="60">
        <v>379</v>
      </c>
      <c r="C69" s="122">
        <v>262</v>
      </c>
      <c r="D69" s="123">
        <f>C69*0.93</f>
        <v>243.66000000000003</v>
      </c>
      <c r="E69" s="123">
        <f t="shared" ref="E69:G69" si="22">D69*0.95</f>
        <v>231.477</v>
      </c>
      <c r="F69" s="123">
        <f t="shared" si="22"/>
        <v>219.90314999999998</v>
      </c>
      <c r="G69" s="123">
        <f t="shared" si="22"/>
        <v>208.90799249999998</v>
      </c>
      <c r="H69" s="123">
        <f>G69*0.9</f>
        <v>188.01719324999999</v>
      </c>
      <c r="I69" s="123">
        <f>H69*0.94</f>
        <v>176.73616165499999</v>
      </c>
      <c r="J69" s="123">
        <f t="shared" ref="J69:Q69" si="23">I69*0.95</f>
        <v>167.89935357224999</v>
      </c>
      <c r="K69" s="123">
        <f t="shared" si="23"/>
        <v>159.50438589363748</v>
      </c>
      <c r="L69" s="123">
        <f t="shared" si="23"/>
        <v>151.52916659895558</v>
      </c>
      <c r="M69" s="123">
        <f t="shared" si="23"/>
        <v>143.95270826900779</v>
      </c>
      <c r="N69" s="123">
        <f t="shared" si="23"/>
        <v>136.75507285555739</v>
      </c>
      <c r="O69" s="123">
        <f t="shared" si="23"/>
        <v>129.91731921277952</v>
      </c>
      <c r="P69" s="123">
        <f t="shared" si="23"/>
        <v>123.42145325214054</v>
      </c>
      <c r="Q69" s="124">
        <f t="shared" si="23"/>
        <v>117.25038058953351</v>
      </c>
    </row>
    <row r="70" spans="1:17" ht="12.75">
      <c r="A70" s="59" t="s">
        <v>126</v>
      </c>
      <c r="B70" s="60">
        <v>280</v>
      </c>
      <c r="C70" s="122">
        <v>162</v>
      </c>
      <c r="D70" s="123">
        <f t="shared" ref="D70:Q73" si="24">C70*0.95</f>
        <v>153.9</v>
      </c>
      <c r="E70" s="123">
        <f t="shared" si="24"/>
        <v>146.20500000000001</v>
      </c>
      <c r="F70" s="123">
        <f t="shared" si="24"/>
        <v>138.89475000000002</v>
      </c>
      <c r="G70" s="123">
        <f t="shared" si="24"/>
        <v>131.95001250000001</v>
      </c>
      <c r="H70" s="123">
        <f t="shared" si="24"/>
        <v>125.352511875</v>
      </c>
      <c r="I70" s="123">
        <f t="shared" si="24"/>
        <v>119.08488628124999</v>
      </c>
      <c r="J70" s="123">
        <f t="shared" si="24"/>
        <v>113.13064196718749</v>
      </c>
      <c r="K70" s="123">
        <f t="shared" si="24"/>
        <v>107.47410986882811</v>
      </c>
      <c r="L70" s="123">
        <f t="shared" si="24"/>
        <v>102.1004043753867</v>
      </c>
      <c r="M70" s="123">
        <f t="shared" si="24"/>
        <v>96.995384156617362</v>
      </c>
      <c r="N70" s="123">
        <f t="shared" si="24"/>
        <v>92.145614948786488</v>
      </c>
      <c r="O70" s="123">
        <f t="shared" si="24"/>
        <v>87.538334201347155</v>
      </c>
      <c r="P70" s="123">
        <f t="shared" si="24"/>
        <v>83.161417491279792</v>
      </c>
      <c r="Q70" s="124">
        <f t="shared" si="24"/>
        <v>79.003346616715802</v>
      </c>
    </row>
    <row r="71" spans="1:17" ht="12.75">
      <c r="A71" s="59" t="s">
        <v>127</v>
      </c>
      <c r="B71" s="60">
        <v>200</v>
      </c>
      <c r="C71" s="122">
        <v>132</v>
      </c>
      <c r="D71" s="123">
        <f>C71*0.92</f>
        <v>121.44000000000001</v>
      </c>
      <c r="E71" s="123">
        <f t="shared" si="24"/>
        <v>115.36800000000001</v>
      </c>
      <c r="F71" s="123">
        <f t="shared" si="24"/>
        <v>109.59960000000001</v>
      </c>
      <c r="G71" s="123">
        <f t="shared" si="24"/>
        <v>104.11962</v>
      </c>
      <c r="H71" s="123">
        <f t="shared" si="24"/>
        <v>98.913638999999989</v>
      </c>
      <c r="I71" s="123">
        <f t="shared" si="24"/>
        <v>93.967957049999981</v>
      </c>
      <c r="J71" s="123">
        <f t="shared" si="24"/>
        <v>89.269559197499973</v>
      </c>
      <c r="K71" s="123">
        <f t="shared" si="24"/>
        <v>84.806081237624966</v>
      </c>
      <c r="L71" s="123">
        <f t="shared" si="24"/>
        <v>80.565777175743719</v>
      </c>
      <c r="M71" s="123">
        <f t="shared" si="24"/>
        <v>76.537488316956527</v>
      </c>
      <c r="N71" s="123">
        <f t="shared" si="24"/>
        <v>72.710613901108701</v>
      </c>
      <c r="O71" s="123">
        <f t="shared" si="24"/>
        <v>69.075083206053264</v>
      </c>
      <c r="P71" s="123">
        <f t="shared" si="24"/>
        <v>65.621329045750599</v>
      </c>
      <c r="Q71" s="124">
        <f t="shared" si="24"/>
        <v>62.340262593463066</v>
      </c>
    </row>
    <row r="72" spans="1:17" ht="12.75">
      <c r="A72" s="59" t="s">
        <v>128</v>
      </c>
      <c r="B72" s="60">
        <v>175</v>
      </c>
      <c r="C72" s="122">
        <v>106</v>
      </c>
      <c r="D72" s="123">
        <f>C72*0.97</f>
        <v>102.82</v>
      </c>
      <c r="E72" s="123">
        <f t="shared" si="24"/>
        <v>97.678999999999988</v>
      </c>
      <c r="F72" s="123">
        <f t="shared" si="24"/>
        <v>92.795049999999989</v>
      </c>
      <c r="G72" s="123">
        <f t="shared" si="24"/>
        <v>88.155297499999989</v>
      </c>
      <c r="H72" s="123">
        <f t="shared" si="24"/>
        <v>83.747532624999991</v>
      </c>
      <c r="I72" s="123">
        <f t="shared" si="24"/>
        <v>79.560155993749987</v>
      </c>
      <c r="J72" s="123">
        <f t="shared" si="24"/>
        <v>75.582148194062484</v>
      </c>
      <c r="K72" s="123">
        <f t="shared" si="24"/>
        <v>71.803040784359354</v>
      </c>
      <c r="L72" s="123">
        <f t="shared" si="24"/>
        <v>68.212888745141385</v>
      </c>
      <c r="M72" s="123">
        <f t="shared" si="24"/>
        <v>64.802244307884308</v>
      </c>
      <c r="N72" s="123">
        <f t="shared" si="24"/>
        <v>61.562132092490089</v>
      </c>
      <c r="O72" s="123">
        <f t="shared" si="24"/>
        <v>58.48402548786558</v>
      </c>
      <c r="P72" s="123">
        <f t="shared" si="24"/>
        <v>55.559824213472297</v>
      </c>
      <c r="Q72" s="124">
        <f t="shared" si="24"/>
        <v>52.781833002798678</v>
      </c>
    </row>
    <row r="73" spans="1:17" ht="12.75">
      <c r="A73" s="59" t="s">
        <v>129</v>
      </c>
      <c r="B73" s="60">
        <v>120</v>
      </c>
      <c r="C73" s="122">
        <v>72</v>
      </c>
      <c r="D73" s="123">
        <f>C73*0.93</f>
        <v>66.960000000000008</v>
      </c>
      <c r="E73" s="123">
        <f t="shared" si="24"/>
        <v>63.612000000000002</v>
      </c>
      <c r="F73" s="123">
        <f t="shared" si="24"/>
        <v>60.431399999999996</v>
      </c>
      <c r="G73" s="123">
        <f t="shared" si="24"/>
        <v>57.409829999999992</v>
      </c>
      <c r="H73" s="123">
        <f t="shared" si="24"/>
        <v>54.539338499999992</v>
      </c>
      <c r="I73" s="123">
        <f t="shared" si="24"/>
        <v>51.812371574999993</v>
      </c>
      <c r="J73" s="123">
        <f t="shared" si="24"/>
        <v>49.22175299624999</v>
      </c>
      <c r="K73" s="123">
        <f t="shared" si="24"/>
        <v>46.760665346437484</v>
      </c>
      <c r="L73" s="123">
        <f t="shared" si="24"/>
        <v>44.422632079115608</v>
      </c>
      <c r="M73" s="123">
        <f t="shared" si="24"/>
        <v>42.201500475159825</v>
      </c>
      <c r="N73" s="123">
        <f t="shared" si="24"/>
        <v>40.091425451401832</v>
      </c>
      <c r="O73" s="123">
        <f t="shared" si="24"/>
        <v>38.086854178831736</v>
      </c>
      <c r="P73" s="123">
        <f t="shared" si="24"/>
        <v>36.182511469890144</v>
      </c>
      <c r="Q73" s="124">
        <f t="shared" si="24"/>
        <v>34.373385896395632</v>
      </c>
    </row>
    <row r="74" spans="1:17" ht="12.75">
      <c r="A74" s="59" t="s">
        <v>130</v>
      </c>
      <c r="B74" s="60">
        <v>100</v>
      </c>
      <c r="C74" s="122">
        <v>68</v>
      </c>
      <c r="D74" s="123">
        <f t="shared" ref="D74:Q76" si="25">C74*0.95</f>
        <v>64.599999999999994</v>
      </c>
      <c r="E74" s="123">
        <f t="shared" si="25"/>
        <v>61.36999999999999</v>
      </c>
      <c r="F74" s="123">
        <f t="shared" si="25"/>
        <v>58.30149999999999</v>
      </c>
      <c r="G74" s="123">
        <f t="shared" si="25"/>
        <v>55.386424999999988</v>
      </c>
      <c r="H74" s="123">
        <f t="shared" si="25"/>
        <v>52.617103749999984</v>
      </c>
      <c r="I74" s="123">
        <f t="shared" si="25"/>
        <v>49.986248562499981</v>
      </c>
      <c r="J74" s="123">
        <f t="shared" si="25"/>
        <v>47.486936134374979</v>
      </c>
      <c r="K74" s="123">
        <f t="shared" si="25"/>
        <v>45.112589327656231</v>
      </c>
      <c r="L74" s="123">
        <f t="shared" si="25"/>
        <v>42.856959861273417</v>
      </c>
      <c r="M74" s="123">
        <f t="shared" si="25"/>
        <v>40.714111868209741</v>
      </c>
      <c r="N74" s="123">
        <f t="shared" si="25"/>
        <v>38.678406274799251</v>
      </c>
      <c r="O74" s="123">
        <f t="shared" si="25"/>
        <v>36.74448596105929</v>
      </c>
      <c r="P74" s="123">
        <f t="shared" si="25"/>
        <v>34.907261663006324</v>
      </c>
      <c r="Q74" s="124">
        <f t="shared" si="25"/>
        <v>33.161898579856008</v>
      </c>
    </row>
    <row r="75" spans="1:17" ht="12.75">
      <c r="A75" s="59" t="s">
        <v>131</v>
      </c>
      <c r="B75" s="60">
        <v>130</v>
      </c>
      <c r="C75" s="122">
        <v>42</v>
      </c>
      <c r="D75" s="123">
        <f>C75*0.94</f>
        <v>39.479999999999997</v>
      </c>
      <c r="E75" s="123">
        <f t="shared" si="25"/>
        <v>37.505999999999993</v>
      </c>
      <c r="F75" s="123">
        <f t="shared" si="25"/>
        <v>35.63069999999999</v>
      </c>
      <c r="G75" s="123">
        <f t="shared" si="25"/>
        <v>33.849164999999992</v>
      </c>
      <c r="H75" s="123">
        <f t="shared" si="25"/>
        <v>32.156706749999991</v>
      </c>
      <c r="I75" s="123">
        <f t="shared" si="25"/>
        <v>30.548871412499988</v>
      </c>
      <c r="J75" s="123">
        <f t="shared" si="25"/>
        <v>29.021427841874988</v>
      </c>
      <c r="K75" s="123">
        <f t="shared" si="25"/>
        <v>27.570356449781237</v>
      </c>
      <c r="L75" s="123">
        <f t="shared" si="25"/>
        <v>26.191838627292174</v>
      </c>
      <c r="M75" s="123">
        <f t="shared" si="25"/>
        <v>24.882246695927563</v>
      </c>
      <c r="N75" s="123">
        <f t="shared" si="25"/>
        <v>23.638134361131183</v>
      </c>
      <c r="O75" s="123">
        <f t="shared" si="25"/>
        <v>22.456227643074623</v>
      </c>
      <c r="P75" s="123">
        <f t="shared" si="25"/>
        <v>21.333416260920892</v>
      </c>
      <c r="Q75" s="124">
        <f t="shared" si="25"/>
        <v>20.266745447874847</v>
      </c>
    </row>
    <row r="76" spans="1:17" ht="12.75">
      <c r="A76" s="59" t="s">
        <v>132</v>
      </c>
      <c r="B76" s="60">
        <v>100</v>
      </c>
      <c r="C76" s="125">
        <v>17</v>
      </c>
      <c r="D76" s="126">
        <f>C76*0.96</f>
        <v>16.32</v>
      </c>
      <c r="E76" s="126">
        <f t="shared" si="25"/>
        <v>15.504</v>
      </c>
      <c r="F76" s="126">
        <f t="shared" si="25"/>
        <v>14.7288</v>
      </c>
      <c r="G76" s="126">
        <f t="shared" si="25"/>
        <v>13.99236</v>
      </c>
      <c r="H76" s="126">
        <f t="shared" si="25"/>
        <v>13.292741999999999</v>
      </c>
      <c r="I76" s="126">
        <f t="shared" si="25"/>
        <v>12.628104899999999</v>
      </c>
      <c r="J76" s="126">
        <f t="shared" si="25"/>
        <v>11.996699654999999</v>
      </c>
      <c r="K76" s="126">
        <f t="shared" si="25"/>
        <v>11.396864672249999</v>
      </c>
      <c r="L76" s="126">
        <f t="shared" si="25"/>
        <v>10.827021438637498</v>
      </c>
      <c r="M76" s="126">
        <f t="shared" si="25"/>
        <v>10.285670366705622</v>
      </c>
      <c r="N76" s="126">
        <f t="shared" si="25"/>
        <v>9.7713868483703408</v>
      </c>
      <c r="O76" s="126">
        <f t="shared" si="25"/>
        <v>9.2828175059518241</v>
      </c>
      <c r="P76" s="126">
        <f t="shared" si="25"/>
        <v>8.8186766306542328</v>
      </c>
      <c r="Q76" s="127">
        <f t="shared" si="25"/>
        <v>8.3777427991215205</v>
      </c>
    </row>
    <row r="79" spans="1:17" ht="12.75">
      <c r="C79" s="113"/>
      <c r="D79" s="113"/>
      <c r="E79" s="113"/>
      <c r="F79" s="113"/>
      <c r="G79" s="113"/>
      <c r="H79" s="113"/>
      <c r="I79" s="113"/>
      <c r="J79" s="113"/>
      <c r="K79" s="113"/>
      <c r="L79" s="113"/>
      <c r="M79" s="113"/>
      <c r="N79" s="113"/>
      <c r="O79" s="113"/>
      <c r="P79" s="113"/>
      <c r="Q79" s="113"/>
    </row>
    <row r="80" spans="1:17" ht="12.75">
      <c r="A80" s="203"/>
      <c r="B80" s="163"/>
      <c r="C80" s="149" t="s">
        <v>133</v>
      </c>
      <c r="D80" s="143"/>
      <c r="E80" s="143"/>
      <c r="F80" s="143"/>
      <c r="G80" s="143"/>
      <c r="H80" s="143"/>
      <c r="I80" s="143"/>
      <c r="J80" s="143"/>
      <c r="K80" s="143"/>
      <c r="L80" s="143"/>
      <c r="M80" s="143"/>
      <c r="N80" s="143"/>
      <c r="O80" s="143"/>
      <c r="P80" s="143"/>
      <c r="Q80" s="144"/>
    </row>
    <row r="81" spans="1:17" ht="12.75">
      <c r="A81" s="166"/>
      <c r="B81" s="147"/>
      <c r="C81" s="149" t="s">
        <v>106</v>
      </c>
      <c r="D81" s="143"/>
      <c r="E81" s="143"/>
      <c r="F81" s="143"/>
      <c r="G81" s="143"/>
      <c r="H81" s="143"/>
      <c r="I81" s="143"/>
      <c r="J81" s="143"/>
      <c r="K81" s="143"/>
      <c r="L81" s="143"/>
      <c r="M81" s="143"/>
      <c r="N81" s="143"/>
      <c r="O81" s="143"/>
      <c r="P81" s="143"/>
      <c r="Q81" s="144"/>
    </row>
    <row r="82" spans="1:17" ht="25.5">
      <c r="A82" s="53" t="s">
        <v>107</v>
      </c>
      <c r="B82" s="54" t="s">
        <v>108</v>
      </c>
      <c r="C82" s="118">
        <v>0</v>
      </c>
      <c r="D82" s="118">
        <v>1</v>
      </c>
      <c r="E82" s="118">
        <v>2</v>
      </c>
      <c r="F82" s="118">
        <v>3</v>
      </c>
      <c r="G82" s="118">
        <v>4</v>
      </c>
      <c r="H82" s="118">
        <v>5</v>
      </c>
      <c r="I82" s="118">
        <v>6</v>
      </c>
      <c r="J82" s="118">
        <v>7</v>
      </c>
      <c r="K82" s="118">
        <v>8</v>
      </c>
      <c r="L82" s="118">
        <v>9</v>
      </c>
      <c r="M82" s="118">
        <v>10</v>
      </c>
      <c r="N82" s="118">
        <v>11</v>
      </c>
      <c r="O82" s="118">
        <v>12</v>
      </c>
      <c r="P82" s="118">
        <v>13</v>
      </c>
      <c r="Q82" s="118">
        <v>14</v>
      </c>
    </row>
    <row r="83" spans="1:17" ht="12.75">
      <c r="A83" s="55" t="s">
        <v>109</v>
      </c>
      <c r="B83" s="56">
        <f>SUM(B84:B91)</f>
        <v>1450</v>
      </c>
      <c r="C83" s="133">
        <f t="shared" ref="C83:C91" si="26">C68/B68</f>
        <v>0.58625336927223715</v>
      </c>
      <c r="D83" s="133">
        <f t="shared" ref="D83:D91" si="27">D68/B68</f>
        <v>0.53935309973045831</v>
      </c>
      <c r="E83" s="133">
        <f t="shared" ref="E83:E91" si="28">E68/B68</f>
        <v>0.50159838274932622</v>
      </c>
      <c r="F83" s="133">
        <f t="shared" ref="F83:F91" si="29">F68/B68</f>
        <v>0.46648649595687336</v>
      </c>
      <c r="G83" s="133">
        <f t="shared" ref="G83:G91" si="30">G68/B68</f>
        <v>0.45715676603773586</v>
      </c>
      <c r="H83" s="133">
        <f t="shared" ref="H83:H91" si="31">H68/B68</f>
        <v>0.42972736007547169</v>
      </c>
      <c r="I83" s="133">
        <f t="shared" ref="I83:I91" si="32">I68/B68</f>
        <v>0.4211328128739622</v>
      </c>
      <c r="J83" s="133">
        <f t="shared" ref="J83:J91" si="33">J68/B68</f>
        <v>0.38744218784404522</v>
      </c>
      <c r="K83" s="133">
        <f t="shared" ref="K83:K91" si="34">K68/B68</f>
        <v>0.34869796905964068</v>
      </c>
      <c r="L83" s="133">
        <f t="shared" ref="L83:L91" si="35">L68/B68</f>
        <v>0.34172400967844785</v>
      </c>
      <c r="M83" s="133">
        <f t="shared" ref="M83:M91" si="36">M68/B68</f>
        <v>0.33830676958166339</v>
      </c>
      <c r="N83" s="133">
        <f t="shared" ref="N83:N91" si="37">N68/B68</f>
        <v>0.32139143110258023</v>
      </c>
      <c r="O83" s="133">
        <f t="shared" ref="O83:O91" si="38">O68/B68</f>
        <v>0.29246620230334802</v>
      </c>
      <c r="P83" s="133">
        <f t="shared" ref="P83:P91" si="39">P68/B68</f>
        <v>0.26321958207301321</v>
      </c>
      <c r="Q83" s="133">
        <f t="shared" ref="Q83:Q91" si="40">Q68/B68</f>
        <v>0.25795519043155291</v>
      </c>
    </row>
    <row r="84" spans="1:17" ht="12.75">
      <c r="A84" s="59" t="s">
        <v>125</v>
      </c>
      <c r="B84" s="60">
        <v>280</v>
      </c>
      <c r="C84" s="130">
        <f t="shared" si="26"/>
        <v>0.69129287598944589</v>
      </c>
      <c r="D84" s="130">
        <f t="shared" si="27"/>
        <v>0.64290237467018474</v>
      </c>
      <c r="E84" s="130">
        <f t="shared" si="28"/>
        <v>0.61075725593667551</v>
      </c>
      <c r="F84" s="130">
        <f t="shared" si="29"/>
        <v>0.58021939313984161</v>
      </c>
      <c r="G84" s="130">
        <f t="shared" si="30"/>
        <v>0.5512084234828496</v>
      </c>
      <c r="H84" s="130">
        <f t="shared" si="31"/>
        <v>0.49608758113456464</v>
      </c>
      <c r="I84" s="130">
        <f t="shared" si="32"/>
        <v>0.46632232626649073</v>
      </c>
      <c r="J84" s="130">
        <f t="shared" si="33"/>
        <v>0.4430062099531662</v>
      </c>
      <c r="K84" s="130">
        <f t="shared" si="34"/>
        <v>0.42085589945550783</v>
      </c>
      <c r="L84" s="130">
        <f t="shared" si="35"/>
        <v>0.39981310448273238</v>
      </c>
      <c r="M84" s="130">
        <f t="shared" si="36"/>
        <v>0.37982244925859576</v>
      </c>
      <c r="N84" s="130">
        <f t="shared" si="37"/>
        <v>0.36083132679566593</v>
      </c>
      <c r="O84" s="130">
        <f t="shared" si="38"/>
        <v>0.34278976045588261</v>
      </c>
      <c r="P84" s="130">
        <f t="shared" si="39"/>
        <v>0.32565027243308847</v>
      </c>
      <c r="Q84" s="130">
        <f t="shared" si="40"/>
        <v>0.30936775881143408</v>
      </c>
    </row>
    <row r="85" spans="1:17" ht="12.75">
      <c r="A85" s="59" t="s">
        <v>126</v>
      </c>
      <c r="B85" s="60">
        <v>370</v>
      </c>
      <c r="C85" s="130">
        <f t="shared" si="26"/>
        <v>0.57857142857142863</v>
      </c>
      <c r="D85" s="130">
        <f t="shared" si="27"/>
        <v>0.54964285714285721</v>
      </c>
      <c r="E85" s="130">
        <f t="shared" si="28"/>
        <v>0.52216071428571431</v>
      </c>
      <c r="F85" s="130">
        <f t="shared" si="29"/>
        <v>0.49605267857142865</v>
      </c>
      <c r="G85" s="130">
        <f t="shared" si="30"/>
        <v>0.47125004464285719</v>
      </c>
      <c r="H85" s="130">
        <f t="shared" si="31"/>
        <v>0.44768754241071429</v>
      </c>
      <c r="I85" s="130">
        <f t="shared" si="32"/>
        <v>0.42530316529017853</v>
      </c>
      <c r="J85" s="130">
        <f t="shared" si="33"/>
        <v>0.40403800702566961</v>
      </c>
      <c r="K85" s="130">
        <f t="shared" si="34"/>
        <v>0.38383610667438611</v>
      </c>
      <c r="L85" s="130">
        <f t="shared" si="35"/>
        <v>0.36464430134066678</v>
      </c>
      <c r="M85" s="130">
        <f t="shared" si="36"/>
        <v>0.34641208627363346</v>
      </c>
      <c r="N85" s="130">
        <f t="shared" si="37"/>
        <v>0.32909148195995175</v>
      </c>
      <c r="O85" s="130">
        <f t="shared" si="38"/>
        <v>0.31263690786195414</v>
      </c>
      <c r="P85" s="130">
        <f t="shared" si="39"/>
        <v>0.29700506246885638</v>
      </c>
      <c r="Q85" s="130">
        <f t="shared" si="40"/>
        <v>0.28215480934541359</v>
      </c>
    </row>
    <row r="86" spans="1:17" ht="12.75">
      <c r="A86" s="59" t="s">
        <v>127</v>
      </c>
      <c r="B86" s="60">
        <v>200</v>
      </c>
      <c r="C86" s="130">
        <f t="shared" si="26"/>
        <v>0.66</v>
      </c>
      <c r="D86" s="130">
        <f t="shared" si="27"/>
        <v>0.60720000000000007</v>
      </c>
      <c r="E86" s="130">
        <f t="shared" si="28"/>
        <v>0.57684000000000002</v>
      </c>
      <c r="F86" s="130">
        <f t="shared" si="29"/>
        <v>0.5479980000000001</v>
      </c>
      <c r="G86" s="130">
        <f t="shared" si="30"/>
        <v>0.52059809999999995</v>
      </c>
      <c r="H86" s="130">
        <f t="shared" si="31"/>
        <v>0.49456819499999993</v>
      </c>
      <c r="I86" s="130">
        <f t="shared" si="32"/>
        <v>0.46983978524999992</v>
      </c>
      <c r="J86" s="130">
        <f t="shared" si="33"/>
        <v>0.44634779598749985</v>
      </c>
      <c r="K86" s="130">
        <f t="shared" si="34"/>
        <v>0.42403040618812482</v>
      </c>
      <c r="L86" s="130">
        <f t="shared" si="35"/>
        <v>0.40282888587871857</v>
      </c>
      <c r="M86" s="130">
        <f t="shared" si="36"/>
        <v>0.38268744158478263</v>
      </c>
      <c r="N86" s="130">
        <f t="shared" si="37"/>
        <v>0.3635530695055435</v>
      </c>
      <c r="O86" s="130">
        <f t="shared" si="38"/>
        <v>0.34537541603026634</v>
      </c>
      <c r="P86" s="130">
        <f t="shared" si="39"/>
        <v>0.32810664522875299</v>
      </c>
      <c r="Q86" s="130">
        <f t="shared" si="40"/>
        <v>0.31170131296731535</v>
      </c>
    </row>
    <row r="87" spans="1:17" ht="12.75">
      <c r="A87" s="59" t="s">
        <v>128</v>
      </c>
      <c r="B87" s="60">
        <v>175</v>
      </c>
      <c r="C87" s="130">
        <f t="shared" si="26"/>
        <v>0.60571428571428576</v>
      </c>
      <c r="D87" s="130">
        <f t="shared" si="27"/>
        <v>0.58754285714285714</v>
      </c>
      <c r="E87" s="130">
        <f t="shared" si="28"/>
        <v>0.55816571428571427</v>
      </c>
      <c r="F87" s="130">
        <f t="shared" si="29"/>
        <v>0.53025742857142855</v>
      </c>
      <c r="G87" s="130">
        <f t="shared" si="30"/>
        <v>0.50374455714285704</v>
      </c>
      <c r="H87" s="130">
        <f t="shared" si="31"/>
        <v>0.47855732928571426</v>
      </c>
      <c r="I87" s="130">
        <f t="shared" si="32"/>
        <v>0.45462946282142852</v>
      </c>
      <c r="J87" s="130">
        <f t="shared" si="33"/>
        <v>0.43189798968035703</v>
      </c>
      <c r="K87" s="130">
        <f t="shared" si="34"/>
        <v>0.41030309019633915</v>
      </c>
      <c r="L87" s="130">
        <f t="shared" si="35"/>
        <v>0.3897879356865222</v>
      </c>
      <c r="M87" s="130">
        <f t="shared" si="36"/>
        <v>0.37029853890219605</v>
      </c>
      <c r="N87" s="130">
        <f t="shared" si="37"/>
        <v>0.35178361195708624</v>
      </c>
      <c r="O87" s="130">
        <f t="shared" si="38"/>
        <v>0.33419443135923188</v>
      </c>
      <c r="P87" s="130">
        <f t="shared" si="39"/>
        <v>0.31748470979127025</v>
      </c>
      <c r="Q87" s="130">
        <f t="shared" si="40"/>
        <v>0.30161047430170673</v>
      </c>
    </row>
    <row r="88" spans="1:17" ht="12.75">
      <c r="A88" s="59" t="s">
        <v>129</v>
      </c>
      <c r="B88" s="60">
        <v>120</v>
      </c>
      <c r="C88" s="130">
        <f t="shared" si="26"/>
        <v>0.6</v>
      </c>
      <c r="D88" s="130">
        <f t="shared" si="27"/>
        <v>0.55800000000000005</v>
      </c>
      <c r="E88" s="130">
        <f t="shared" si="28"/>
        <v>0.53010000000000002</v>
      </c>
      <c r="F88" s="130">
        <f t="shared" si="29"/>
        <v>0.50359500000000001</v>
      </c>
      <c r="G88" s="130">
        <f t="shared" si="30"/>
        <v>0.47841524999999996</v>
      </c>
      <c r="H88" s="130">
        <f t="shared" si="31"/>
        <v>0.45449448749999993</v>
      </c>
      <c r="I88" s="130">
        <f t="shared" si="32"/>
        <v>0.43176976312499993</v>
      </c>
      <c r="J88" s="130">
        <f t="shared" si="33"/>
        <v>0.4101812749687499</v>
      </c>
      <c r="K88" s="130">
        <f t="shared" si="34"/>
        <v>0.38967221122031237</v>
      </c>
      <c r="L88" s="130">
        <f t="shared" si="35"/>
        <v>0.37018860065929676</v>
      </c>
      <c r="M88" s="130">
        <f t="shared" si="36"/>
        <v>0.35167917062633186</v>
      </c>
      <c r="N88" s="130">
        <f t="shared" si="37"/>
        <v>0.33409521209501525</v>
      </c>
      <c r="O88" s="130">
        <f t="shared" si="38"/>
        <v>0.31739045149026446</v>
      </c>
      <c r="P88" s="130">
        <f t="shared" si="39"/>
        <v>0.30152092891575122</v>
      </c>
      <c r="Q88" s="130">
        <f t="shared" si="40"/>
        <v>0.28644488246996358</v>
      </c>
    </row>
    <row r="89" spans="1:17" ht="12.75">
      <c r="A89" s="59" t="s">
        <v>130</v>
      </c>
      <c r="B89" s="60">
        <v>75</v>
      </c>
      <c r="C89" s="130">
        <f t="shared" si="26"/>
        <v>0.68</v>
      </c>
      <c r="D89" s="130">
        <f t="shared" si="27"/>
        <v>0.64599999999999991</v>
      </c>
      <c r="E89" s="130">
        <f t="shared" si="28"/>
        <v>0.61369999999999991</v>
      </c>
      <c r="F89" s="130">
        <f t="shared" si="29"/>
        <v>0.58301499999999995</v>
      </c>
      <c r="G89" s="130">
        <f t="shared" si="30"/>
        <v>0.55386424999999984</v>
      </c>
      <c r="H89" s="130">
        <f t="shared" si="31"/>
        <v>0.52617103749999983</v>
      </c>
      <c r="I89" s="130">
        <f t="shared" si="32"/>
        <v>0.4998624856249998</v>
      </c>
      <c r="J89" s="130">
        <f t="shared" si="33"/>
        <v>0.4748693613437498</v>
      </c>
      <c r="K89" s="130">
        <f t="shared" si="34"/>
        <v>0.45112589327656233</v>
      </c>
      <c r="L89" s="130">
        <f t="shared" si="35"/>
        <v>0.42856959861273419</v>
      </c>
      <c r="M89" s="130">
        <f t="shared" si="36"/>
        <v>0.4071411186820974</v>
      </c>
      <c r="N89" s="130">
        <f t="shared" si="37"/>
        <v>0.38678406274799249</v>
      </c>
      <c r="O89" s="130">
        <f t="shared" si="38"/>
        <v>0.36744485961059292</v>
      </c>
      <c r="P89" s="130">
        <f t="shared" si="39"/>
        <v>0.34907261663006323</v>
      </c>
      <c r="Q89" s="130">
        <f t="shared" si="40"/>
        <v>0.33161898579856008</v>
      </c>
    </row>
    <row r="90" spans="1:17" ht="12.75">
      <c r="A90" s="59" t="s">
        <v>131</v>
      </c>
      <c r="B90" s="60">
        <v>130</v>
      </c>
      <c r="C90" s="130">
        <f t="shared" si="26"/>
        <v>0.32307692307692309</v>
      </c>
      <c r="D90" s="130">
        <f t="shared" si="27"/>
        <v>0.30369230769230765</v>
      </c>
      <c r="E90" s="130">
        <f t="shared" si="28"/>
        <v>0.28850769230769224</v>
      </c>
      <c r="F90" s="130">
        <f t="shared" si="29"/>
        <v>0.27408230769230763</v>
      </c>
      <c r="G90" s="130">
        <f t="shared" si="30"/>
        <v>0.26037819230769227</v>
      </c>
      <c r="H90" s="130">
        <f t="shared" si="31"/>
        <v>0.24735928269230761</v>
      </c>
      <c r="I90" s="130">
        <f t="shared" si="32"/>
        <v>0.2349913185576922</v>
      </c>
      <c r="J90" s="130">
        <f t="shared" si="33"/>
        <v>0.22324175262980761</v>
      </c>
      <c r="K90" s="130">
        <f t="shared" si="34"/>
        <v>0.21207966499831721</v>
      </c>
      <c r="L90" s="130">
        <f t="shared" si="35"/>
        <v>0.20147568174840133</v>
      </c>
      <c r="M90" s="130">
        <f t="shared" si="36"/>
        <v>0.19140189766098126</v>
      </c>
      <c r="N90" s="130">
        <f t="shared" si="37"/>
        <v>0.18183180277793218</v>
      </c>
      <c r="O90" s="130">
        <f t="shared" si="38"/>
        <v>0.17274021263903555</v>
      </c>
      <c r="P90" s="130">
        <f t="shared" si="39"/>
        <v>0.16410320200708378</v>
      </c>
      <c r="Q90" s="130">
        <f t="shared" si="40"/>
        <v>0.1558980419067296</v>
      </c>
    </row>
    <row r="91" spans="1:17" ht="12.75">
      <c r="A91" s="59" t="s">
        <v>132</v>
      </c>
      <c r="B91" s="60">
        <v>100</v>
      </c>
      <c r="C91" s="130">
        <f t="shared" si="26"/>
        <v>0.17</v>
      </c>
      <c r="D91" s="130">
        <f t="shared" si="27"/>
        <v>0.16320000000000001</v>
      </c>
      <c r="E91" s="130">
        <f t="shared" si="28"/>
        <v>0.15503999999999998</v>
      </c>
      <c r="F91" s="130">
        <f t="shared" si="29"/>
        <v>0.147288</v>
      </c>
      <c r="G91" s="130">
        <f t="shared" si="30"/>
        <v>0.13992360000000001</v>
      </c>
      <c r="H91" s="130">
        <f t="shared" si="31"/>
        <v>0.13292741999999999</v>
      </c>
      <c r="I91" s="130">
        <f t="shared" si="32"/>
        <v>0.12628104899999998</v>
      </c>
      <c r="J91" s="130">
        <f t="shared" si="33"/>
        <v>0.11996699654999998</v>
      </c>
      <c r="K91" s="130">
        <f t="shared" si="34"/>
        <v>0.11396864672249998</v>
      </c>
      <c r="L91" s="130">
        <f t="shared" si="35"/>
        <v>0.10827021438637498</v>
      </c>
      <c r="M91" s="130">
        <f t="shared" si="36"/>
        <v>0.10285670366705622</v>
      </c>
      <c r="N91" s="130">
        <f t="shared" si="37"/>
        <v>9.7713868483703406E-2</v>
      </c>
      <c r="O91" s="130">
        <f t="shared" si="38"/>
        <v>9.2828175059518236E-2</v>
      </c>
      <c r="P91" s="130">
        <f t="shared" si="39"/>
        <v>8.8186766306542333E-2</v>
      </c>
      <c r="Q91" s="130">
        <f t="shared" si="40"/>
        <v>8.3777427991215209E-2</v>
      </c>
    </row>
    <row r="92" spans="1:17" ht="12.75">
      <c r="A92" s="217" t="s">
        <v>86</v>
      </c>
      <c r="B92" s="147"/>
      <c r="C92" s="131">
        <f t="shared" ref="C92:Q92" si="41">AVERAGE(C83:C91)</f>
        <v>0.54387876473603558</v>
      </c>
      <c r="D92" s="131">
        <f t="shared" si="41"/>
        <v>0.51083705515318512</v>
      </c>
      <c r="E92" s="131">
        <f t="shared" si="41"/>
        <v>0.48409663995168029</v>
      </c>
      <c r="F92" s="131">
        <f t="shared" si="41"/>
        <v>0.45877714488131993</v>
      </c>
      <c r="G92" s="131">
        <f t="shared" si="41"/>
        <v>0.43739324262377677</v>
      </c>
      <c r="H92" s="131">
        <f t="shared" si="41"/>
        <v>0.41195335951097467</v>
      </c>
      <c r="I92" s="131">
        <f t="shared" si="41"/>
        <v>0.39223690764552799</v>
      </c>
      <c r="J92" s="131">
        <f t="shared" si="41"/>
        <v>0.37122128622033834</v>
      </c>
      <c r="K92" s="131">
        <f t="shared" si="41"/>
        <v>0.35050776531018779</v>
      </c>
      <c r="L92" s="131">
        <f t="shared" si="41"/>
        <v>0.33414470360821052</v>
      </c>
      <c r="M92" s="131">
        <f t="shared" si="41"/>
        <v>0.31895624180414867</v>
      </c>
      <c r="N92" s="131">
        <f t="shared" si="41"/>
        <v>0.30300842971394121</v>
      </c>
      <c r="O92" s="131">
        <f t="shared" si="41"/>
        <v>0.28642960186778826</v>
      </c>
      <c r="P92" s="131">
        <f t="shared" si="41"/>
        <v>0.27048330953938021</v>
      </c>
      <c r="Q92" s="131">
        <f t="shared" si="41"/>
        <v>0.25783654266932127</v>
      </c>
    </row>
    <row r="95" spans="1:17" ht="12.75">
      <c r="B95" s="204"/>
      <c r="C95" s="190"/>
      <c r="D95" s="190"/>
      <c r="E95" s="190"/>
      <c r="F95" s="190"/>
      <c r="G95" s="190"/>
      <c r="H95" s="190"/>
      <c r="I95" s="190"/>
      <c r="J95" s="163"/>
    </row>
    <row r="96" spans="1:17" ht="12.75">
      <c r="B96" s="164"/>
      <c r="C96" s="205"/>
      <c r="D96" s="205"/>
      <c r="E96" s="205"/>
      <c r="F96" s="205"/>
      <c r="G96" s="205"/>
      <c r="H96" s="205"/>
      <c r="I96" s="205"/>
      <c r="J96" s="165"/>
      <c r="L96" s="218" t="s">
        <v>134</v>
      </c>
      <c r="M96" s="205"/>
      <c r="N96" s="219" t="s">
        <v>250</v>
      </c>
      <c r="O96" s="205"/>
      <c r="P96" s="205"/>
    </row>
    <row r="97" spans="2:17" ht="12.75">
      <c r="B97" s="164"/>
      <c r="C97" s="205"/>
      <c r="D97" s="205"/>
      <c r="E97" s="205"/>
      <c r="F97" s="205"/>
      <c r="G97" s="205"/>
      <c r="H97" s="205"/>
      <c r="I97" s="205"/>
      <c r="J97" s="165"/>
      <c r="L97" s="205"/>
      <c r="M97" s="205"/>
      <c r="N97" s="205"/>
      <c r="O97" s="205"/>
      <c r="P97" s="205"/>
    </row>
    <row r="98" spans="2:17" ht="12.75">
      <c r="B98" s="164"/>
      <c r="C98" s="205"/>
      <c r="D98" s="205"/>
      <c r="E98" s="205"/>
      <c r="F98" s="205"/>
      <c r="G98" s="205"/>
      <c r="H98" s="205"/>
      <c r="I98" s="205"/>
      <c r="J98" s="165"/>
      <c r="L98" s="132"/>
      <c r="M98" s="132"/>
    </row>
    <row r="99" spans="2:17" ht="12.75">
      <c r="B99" s="164"/>
      <c r="C99" s="205"/>
      <c r="D99" s="205"/>
      <c r="E99" s="205"/>
      <c r="F99" s="205"/>
      <c r="G99" s="205"/>
      <c r="H99" s="205"/>
      <c r="I99" s="205"/>
      <c r="J99" s="165"/>
      <c r="L99" s="218" t="s">
        <v>135</v>
      </c>
      <c r="M99" s="205"/>
      <c r="N99" s="219" t="s">
        <v>251</v>
      </c>
      <c r="O99" s="205"/>
      <c r="P99" s="205"/>
    </row>
    <row r="100" spans="2:17" ht="12.75">
      <c r="B100" s="164"/>
      <c r="C100" s="205"/>
      <c r="D100" s="205"/>
      <c r="E100" s="205"/>
      <c r="F100" s="205"/>
      <c r="G100" s="205"/>
      <c r="H100" s="205"/>
      <c r="I100" s="205"/>
      <c r="J100" s="165"/>
      <c r="L100" s="205"/>
      <c r="M100" s="205"/>
      <c r="N100" s="205"/>
      <c r="O100" s="205"/>
      <c r="P100" s="205"/>
    </row>
    <row r="101" spans="2:17" ht="12.75">
      <c r="B101" s="164"/>
      <c r="C101" s="205"/>
      <c r="D101" s="205"/>
      <c r="E101" s="205"/>
      <c r="F101" s="205"/>
      <c r="G101" s="205"/>
      <c r="H101" s="205"/>
      <c r="I101" s="205"/>
      <c r="J101" s="165"/>
      <c r="L101" s="132"/>
      <c r="M101" s="132"/>
    </row>
    <row r="102" spans="2:17" ht="12.75">
      <c r="B102" s="164"/>
      <c r="C102" s="205"/>
      <c r="D102" s="205"/>
      <c r="E102" s="205"/>
      <c r="F102" s="205"/>
      <c r="G102" s="205"/>
      <c r="H102" s="205"/>
      <c r="I102" s="205"/>
      <c r="J102" s="165"/>
      <c r="L102" s="218" t="s">
        <v>121</v>
      </c>
      <c r="M102" s="205"/>
      <c r="N102" s="220" t="s">
        <v>257</v>
      </c>
      <c r="O102" s="212"/>
      <c r="P102" s="212"/>
      <c r="Q102" s="212"/>
    </row>
    <row r="103" spans="2:17" ht="12.75">
      <c r="B103" s="164"/>
      <c r="C103" s="205"/>
      <c r="D103" s="205"/>
      <c r="E103" s="205"/>
      <c r="F103" s="205"/>
      <c r="G103" s="205"/>
      <c r="H103" s="205"/>
      <c r="I103" s="205"/>
      <c r="J103" s="165"/>
      <c r="L103" s="205"/>
      <c r="M103" s="205"/>
      <c r="N103" s="212"/>
      <c r="O103" s="212"/>
      <c r="P103" s="212"/>
      <c r="Q103" s="212"/>
    </row>
    <row r="104" spans="2:17" ht="12.75">
      <c r="B104" s="164"/>
      <c r="C104" s="205"/>
      <c r="D104" s="205"/>
      <c r="E104" s="205"/>
      <c r="F104" s="205"/>
      <c r="G104" s="205"/>
      <c r="H104" s="205"/>
      <c r="I104" s="205"/>
      <c r="J104" s="165"/>
      <c r="L104" s="205"/>
      <c r="M104" s="205"/>
      <c r="N104" s="212"/>
      <c r="O104" s="212"/>
      <c r="P104" s="212"/>
      <c r="Q104" s="212"/>
    </row>
    <row r="105" spans="2:17" ht="12.75">
      <c r="B105" s="164"/>
      <c r="C105" s="205"/>
      <c r="D105" s="205"/>
      <c r="E105" s="205"/>
      <c r="F105" s="205"/>
      <c r="G105" s="205"/>
      <c r="H105" s="205"/>
      <c r="I105" s="205"/>
      <c r="J105" s="165"/>
      <c r="L105" s="205"/>
      <c r="M105" s="205"/>
      <c r="N105" s="212"/>
      <c r="O105" s="212"/>
      <c r="P105" s="212"/>
      <c r="Q105" s="212"/>
    </row>
    <row r="106" spans="2:17" ht="12.75">
      <c r="B106" s="164"/>
      <c r="C106" s="205"/>
      <c r="D106" s="205"/>
      <c r="E106" s="205"/>
      <c r="F106" s="205"/>
      <c r="G106" s="205"/>
      <c r="H106" s="205"/>
      <c r="I106" s="205"/>
      <c r="J106" s="165"/>
      <c r="L106" s="205"/>
      <c r="M106" s="205"/>
      <c r="N106" s="212"/>
      <c r="O106" s="212"/>
      <c r="P106" s="212"/>
      <c r="Q106" s="212"/>
    </row>
    <row r="107" spans="2:17" ht="12.75">
      <c r="B107" s="164"/>
      <c r="C107" s="205"/>
      <c r="D107" s="205"/>
      <c r="E107" s="205"/>
      <c r="F107" s="205"/>
      <c r="G107" s="205"/>
      <c r="H107" s="205"/>
      <c r="I107" s="205"/>
      <c r="J107" s="165"/>
      <c r="L107" s="205"/>
      <c r="M107" s="205"/>
      <c r="N107" s="212"/>
      <c r="O107" s="212"/>
      <c r="P107" s="212"/>
      <c r="Q107" s="212"/>
    </row>
    <row r="108" spans="2:17" ht="12.75">
      <c r="B108" s="164"/>
      <c r="C108" s="205"/>
      <c r="D108" s="205"/>
      <c r="E108" s="205"/>
      <c r="F108" s="205"/>
      <c r="G108" s="205"/>
      <c r="H108" s="205"/>
      <c r="I108" s="205"/>
      <c r="J108" s="165"/>
    </row>
    <row r="109" spans="2:17" ht="12.75">
      <c r="B109" s="164"/>
      <c r="C109" s="205"/>
      <c r="D109" s="205"/>
      <c r="E109" s="205"/>
      <c r="F109" s="205"/>
      <c r="G109" s="205"/>
      <c r="H109" s="205"/>
      <c r="I109" s="205"/>
      <c r="J109" s="165"/>
    </row>
    <row r="110" spans="2:17" ht="12.75">
      <c r="B110" s="164"/>
      <c r="C110" s="205"/>
      <c r="D110" s="205"/>
      <c r="E110" s="205"/>
      <c r="F110" s="205"/>
      <c r="G110" s="205"/>
      <c r="H110" s="205"/>
      <c r="I110" s="205"/>
      <c r="J110" s="165"/>
    </row>
    <row r="111" spans="2:17" ht="12.75">
      <c r="B111" s="164"/>
      <c r="C111" s="205"/>
      <c r="D111" s="205"/>
      <c r="E111" s="205"/>
      <c r="F111" s="205"/>
      <c r="G111" s="205"/>
      <c r="H111" s="205"/>
      <c r="I111" s="205"/>
      <c r="J111" s="165"/>
    </row>
    <row r="112" spans="2:17" ht="12.75">
      <c r="B112" s="164"/>
      <c r="C112" s="205"/>
      <c r="D112" s="205"/>
      <c r="E112" s="205"/>
      <c r="F112" s="205"/>
      <c r="G112" s="205"/>
      <c r="H112" s="205"/>
      <c r="I112" s="205"/>
      <c r="J112" s="165"/>
    </row>
    <row r="113" spans="1:17" ht="12.75">
      <c r="B113" s="164"/>
      <c r="C113" s="205"/>
      <c r="D113" s="205"/>
      <c r="E113" s="205"/>
      <c r="F113" s="205"/>
      <c r="G113" s="205"/>
      <c r="H113" s="205"/>
      <c r="I113" s="205"/>
      <c r="J113" s="165"/>
    </row>
    <row r="114" spans="1:17" ht="12.75">
      <c r="B114" s="164"/>
      <c r="C114" s="205"/>
      <c r="D114" s="205"/>
      <c r="E114" s="205"/>
      <c r="F114" s="205"/>
      <c r="G114" s="205"/>
      <c r="H114" s="205"/>
      <c r="I114" s="205"/>
      <c r="J114" s="165"/>
    </row>
    <row r="115" spans="1:17" ht="12.75">
      <c r="B115" s="166"/>
      <c r="C115" s="146"/>
      <c r="D115" s="146"/>
      <c r="E115" s="146"/>
      <c r="F115" s="146"/>
      <c r="G115" s="146"/>
      <c r="H115" s="146"/>
      <c r="I115" s="146"/>
      <c r="J115" s="147"/>
    </row>
    <row r="118" spans="1:17" ht="12.75">
      <c r="A118" s="203"/>
      <c r="B118" s="163"/>
      <c r="C118" s="149" t="s">
        <v>136</v>
      </c>
      <c r="D118" s="143"/>
      <c r="E118" s="143"/>
      <c r="F118" s="143"/>
      <c r="G118" s="143"/>
      <c r="H118" s="143"/>
      <c r="I118" s="143"/>
      <c r="J118" s="143"/>
      <c r="K118" s="143"/>
      <c r="L118" s="143"/>
      <c r="M118" s="143"/>
      <c r="N118" s="143"/>
      <c r="O118" s="143"/>
      <c r="P118" s="143"/>
      <c r="Q118" s="144"/>
    </row>
    <row r="119" spans="1:17" ht="12.75">
      <c r="A119" s="166"/>
      <c r="B119" s="147"/>
      <c r="C119" s="149" t="s">
        <v>106</v>
      </c>
      <c r="D119" s="143"/>
      <c r="E119" s="143"/>
      <c r="F119" s="143"/>
      <c r="G119" s="143"/>
      <c r="H119" s="143"/>
      <c r="I119" s="143"/>
      <c r="J119" s="143"/>
      <c r="K119" s="143"/>
      <c r="L119" s="143"/>
      <c r="M119" s="143"/>
      <c r="N119" s="143"/>
      <c r="O119" s="143"/>
      <c r="P119" s="143"/>
      <c r="Q119" s="144"/>
    </row>
    <row r="120" spans="1:17" ht="12.75">
      <c r="A120" s="61" t="s">
        <v>137</v>
      </c>
      <c r="B120" s="58" t="s">
        <v>124</v>
      </c>
      <c r="C120" s="118">
        <v>0</v>
      </c>
      <c r="D120" s="118">
        <v>1</v>
      </c>
      <c r="E120" s="118">
        <v>2</v>
      </c>
      <c r="F120" s="118">
        <v>3</v>
      </c>
      <c r="G120" s="118">
        <v>4</v>
      </c>
      <c r="H120" s="118">
        <v>5</v>
      </c>
      <c r="I120" s="118">
        <v>6</v>
      </c>
      <c r="J120" s="118">
        <v>7</v>
      </c>
      <c r="K120" s="118">
        <v>8</v>
      </c>
      <c r="L120" s="118">
        <v>9</v>
      </c>
      <c r="M120" s="118">
        <v>10</v>
      </c>
      <c r="N120" s="118">
        <v>11</v>
      </c>
      <c r="O120" s="118">
        <v>12</v>
      </c>
      <c r="P120" s="118">
        <v>13</v>
      </c>
      <c r="Q120" s="118">
        <v>14</v>
      </c>
    </row>
    <row r="121" spans="1:17" ht="12.75">
      <c r="A121" s="55" t="s">
        <v>109</v>
      </c>
      <c r="B121" s="56">
        <f>SUM(B122:B128)</f>
        <v>1900</v>
      </c>
      <c r="C121" s="119">
        <v>870</v>
      </c>
      <c r="D121" s="120">
        <f>C121*0.92</f>
        <v>800.40000000000009</v>
      </c>
      <c r="E121" s="120">
        <f t="shared" ref="E121:F121" si="42">D121*0.93</f>
        <v>744.37200000000007</v>
      </c>
      <c r="F121" s="120">
        <f t="shared" si="42"/>
        <v>692.26596000000006</v>
      </c>
      <c r="G121" s="120">
        <f>F121*0.98</f>
        <v>678.4206408</v>
      </c>
      <c r="H121" s="120">
        <f>G121*0.94</f>
        <v>637.71540235199996</v>
      </c>
      <c r="I121" s="120">
        <f>H121*0.98</f>
        <v>624.96109430495994</v>
      </c>
      <c r="J121" s="120">
        <f>I121*0.92</f>
        <v>574.96420676056312</v>
      </c>
      <c r="K121" s="120">
        <f>J121*0.9</f>
        <v>517.46778608450677</v>
      </c>
      <c r="L121" s="120">
        <f>K121*0.98</f>
        <v>507.11843036281664</v>
      </c>
      <c r="M121" s="120">
        <f>L121*0.99</f>
        <v>502.04724605918847</v>
      </c>
      <c r="N121" s="120">
        <f>M121*0.95</f>
        <v>476.94488375622905</v>
      </c>
      <c r="O121" s="120">
        <f>N121*0.91</f>
        <v>434.01984421816843</v>
      </c>
      <c r="P121" s="120">
        <f>O121*0.9</f>
        <v>390.61785979635158</v>
      </c>
      <c r="Q121" s="121">
        <f>P121*0.98</f>
        <v>382.80550260042452</v>
      </c>
    </row>
    <row r="122" spans="1:17" ht="12.75">
      <c r="A122" s="59" t="s">
        <v>138</v>
      </c>
      <c r="B122" s="60">
        <v>500</v>
      </c>
      <c r="C122" s="122">
        <v>262</v>
      </c>
      <c r="D122" s="123">
        <f>C122*0.93</f>
        <v>243.66000000000003</v>
      </c>
      <c r="E122" s="123">
        <f t="shared" ref="E122:G122" si="43">D122*0.95</f>
        <v>231.477</v>
      </c>
      <c r="F122" s="123">
        <f t="shared" si="43"/>
        <v>219.90314999999998</v>
      </c>
      <c r="G122" s="123">
        <f t="shared" si="43"/>
        <v>208.90799249999998</v>
      </c>
      <c r="H122" s="123">
        <f>G122*0.9</f>
        <v>188.01719324999999</v>
      </c>
      <c r="I122" s="123">
        <f>H122*0.94</f>
        <v>176.73616165499999</v>
      </c>
      <c r="J122" s="123">
        <f t="shared" ref="J122:Q122" si="44">I122*0.95</f>
        <v>167.89935357224999</v>
      </c>
      <c r="K122" s="123">
        <f t="shared" si="44"/>
        <v>159.50438589363748</v>
      </c>
      <c r="L122" s="123">
        <f t="shared" si="44"/>
        <v>151.52916659895558</v>
      </c>
      <c r="M122" s="123">
        <f t="shared" si="44"/>
        <v>143.95270826900779</v>
      </c>
      <c r="N122" s="123">
        <f t="shared" si="44"/>
        <v>136.75507285555739</v>
      </c>
      <c r="O122" s="123">
        <f t="shared" si="44"/>
        <v>129.91731921277952</v>
      </c>
      <c r="P122" s="123">
        <f t="shared" si="44"/>
        <v>123.42145325214054</v>
      </c>
      <c r="Q122" s="124">
        <f t="shared" si="44"/>
        <v>117.25038058953351</v>
      </c>
    </row>
    <row r="123" spans="1:17" ht="12.75">
      <c r="A123" s="59" t="s">
        <v>139</v>
      </c>
      <c r="B123" s="60">
        <v>250</v>
      </c>
      <c r="C123" s="122">
        <v>162</v>
      </c>
      <c r="D123" s="123">
        <f t="shared" ref="D123:Q126" si="45">C123*0.95</f>
        <v>153.9</v>
      </c>
      <c r="E123" s="123">
        <f t="shared" si="45"/>
        <v>146.20500000000001</v>
      </c>
      <c r="F123" s="123">
        <f t="shared" si="45"/>
        <v>138.89475000000002</v>
      </c>
      <c r="G123" s="123">
        <f t="shared" si="45"/>
        <v>131.95001250000001</v>
      </c>
      <c r="H123" s="123">
        <f t="shared" si="45"/>
        <v>125.352511875</v>
      </c>
      <c r="I123" s="123">
        <f t="shared" si="45"/>
        <v>119.08488628124999</v>
      </c>
      <c r="J123" s="123">
        <f t="shared" si="45"/>
        <v>113.13064196718749</v>
      </c>
      <c r="K123" s="123">
        <f t="shared" si="45"/>
        <v>107.47410986882811</v>
      </c>
      <c r="L123" s="123">
        <f t="shared" si="45"/>
        <v>102.1004043753867</v>
      </c>
      <c r="M123" s="123">
        <f t="shared" si="45"/>
        <v>96.995384156617362</v>
      </c>
      <c r="N123" s="123">
        <f t="shared" si="45"/>
        <v>92.145614948786488</v>
      </c>
      <c r="O123" s="123">
        <f t="shared" si="45"/>
        <v>87.538334201347155</v>
      </c>
      <c r="P123" s="123">
        <f t="shared" si="45"/>
        <v>83.161417491279792</v>
      </c>
      <c r="Q123" s="124">
        <f t="shared" si="45"/>
        <v>79.003346616715802</v>
      </c>
    </row>
    <row r="124" spans="1:17" ht="12.75">
      <c r="A124" s="59" t="s">
        <v>140</v>
      </c>
      <c r="B124" s="60">
        <v>210</v>
      </c>
      <c r="C124" s="122">
        <v>132</v>
      </c>
      <c r="D124" s="123">
        <f>C124*0.92</f>
        <v>121.44000000000001</v>
      </c>
      <c r="E124" s="123">
        <f t="shared" si="45"/>
        <v>115.36800000000001</v>
      </c>
      <c r="F124" s="123">
        <f t="shared" si="45"/>
        <v>109.59960000000001</v>
      </c>
      <c r="G124" s="123">
        <f t="shared" si="45"/>
        <v>104.11962</v>
      </c>
      <c r="H124" s="123">
        <f t="shared" si="45"/>
        <v>98.913638999999989</v>
      </c>
      <c r="I124" s="123">
        <f t="shared" si="45"/>
        <v>93.967957049999981</v>
      </c>
      <c r="J124" s="123">
        <f t="shared" si="45"/>
        <v>89.269559197499973</v>
      </c>
      <c r="K124" s="123">
        <f t="shared" si="45"/>
        <v>84.806081237624966</v>
      </c>
      <c r="L124" s="123">
        <f t="shared" si="45"/>
        <v>80.565777175743719</v>
      </c>
      <c r="M124" s="123">
        <f t="shared" si="45"/>
        <v>76.537488316956527</v>
      </c>
      <c r="N124" s="123">
        <f t="shared" si="45"/>
        <v>72.710613901108701</v>
      </c>
      <c r="O124" s="123">
        <f t="shared" si="45"/>
        <v>69.075083206053264</v>
      </c>
      <c r="P124" s="123">
        <f t="shared" si="45"/>
        <v>65.621329045750599</v>
      </c>
      <c r="Q124" s="124">
        <f t="shared" si="45"/>
        <v>62.340262593463066</v>
      </c>
    </row>
    <row r="125" spans="1:17" ht="12.75">
      <c r="A125" s="59" t="s">
        <v>141</v>
      </c>
      <c r="B125" s="60">
        <v>250</v>
      </c>
      <c r="C125" s="122">
        <v>106</v>
      </c>
      <c r="D125" s="123">
        <f>C125*0.97</f>
        <v>102.82</v>
      </c>
      <c r="E125" s="123">
        <f t="shared" si="45"/>
        <v>97.678999999999988</v>
      </c>
      <c r="F125" s="123">
        <f t="shared" si="45"/>
        <v>92.795049999999989</v>
      </c>
      <c r="G125" s="123">
        <f t="shared" si="45"/>
        <v>88.155297499999989</v>
      </c>
      <c r="H125" s="123">
        <f t="shared" si="45"/>
        <v>83.747532624999991</v>
      </c>
      <c r="I125" s="123">
        <f t="shared" si="45"/>
        <v>79.560155993749987</v>
      </c>
      <c r="J125" s="123">
        <f t="shared" si="45"/>
        <v>75.582148194062484</v>
      </c>
      <c r="K125" s="123">
        <f t="shared" si="45"/>
        <v>71.803040784359354</v>
      </c>
      <c r="L125" s="123">
        <f t="shared" si="45"/>
        <v>68.212888745141385</v>
      </c>
      <c r="M125" s="123">
        <f t="shared" si="45"/>
        <v>64.802244307884308</v>
      </c>
      <c r="N125" s="123">
        <f t="shared" si="45"/>
        <v>61.562132092490089</v>
      </c>
      <c r="O125" s="123">
        <f t="shared" si="45"/>
        <v>58.48402548786558</v>
      </c>
      <c r="P125" s="123">
        <f t="shared" si="45"/>
        <v>55.559824213472297</v>
      </c>
      <c r="Q125" s="124">
        <f t="shared" si="45"/>
        <v>52.781833002798678</v>
      </c>
    </row>
    <row r="126" spans="1:17" ht="12.75">
      <c r="A126" s="59" t="s">
        <v>142</v>
      </c>
      <c r="B126" s="60">
        <v>220</v>
      </c>
      <c r="C126" s="122">
        <v>72</v>
      </c>
      <c r="D126" s="123">
        <f>C126*0.93</f>
        <v>66.960000000000008</v>
      </c>
      <c r="E126" s="123">
        <f t="shared" si="45"/>
        <v>63.612000000000002</v>
      </c>
      <c r="F126" s="123">
        <f t="shared" si="45"/>
        <v>60.431399999999996</v>
      </c>
      <c r="G126" s="123">
        <f t="shared" si="45"/>
        <v>57.409829999999992</v>
      </c>
      <c r="H126" s="123">
        <f t="shared" si="45"/>
        <v>54.539338499999992</v>
      </c>
      <c r="I126" s="123">
        <f t="shared" si="45"/>
        <v>51.812371574999993</v>
      </c>
      <c r="J126" s="123">
        <f t="shared" si="45"/>
        <v>49.22175299624999</v>
      </c>
      <c r="K126" s="123">
        <f t="shared" si="45"/>
        <v>46.760665346437484</v>
      </c>
      <c r="L126" s="123">
        <f t="shared" si="45"/>
        <v>44.422632079115608</v>
      </c>
      <c r="M126" s="123">
        <f t="shared" si="45"/>
        <v>42.201500475159825</v>
      </c>
      <c r="N126" s="123">
        <f t="shared" si="45"/>
        <v>40.091425451401832</v>
      </c>
      <c r="O126" s="123">
        <f t="shared" si="45"/>
        <v>38.086854178831736</v>
      </c>
      <c r="P126" s="123">
        <f t="shared" si="45"/>
        <v>36.182511469890144</v>
      </c>
      <c r="Q126" s="124">
        <f t="shared" si="45"/>
        <v>34.373385896395632</v>
      </c>
    </row>
    <row r="127" spans="1:17" ht="12.75">
      <c r="A127" s="59" t="s">
        <v>143</v>
      </c>
      <c r="B127" s="60">
        <v>270</v>
      </c>
      <c r="C127" s="122">
        <v>68</v>
      </c>
      <c r="D127" s="123">
        <f t="shared" ref="D127:Q128" si="46">C127*0.95</f>
        <v>64.599999999999994</v>
      </c>
      <c r="E127" s="123">
        <f t="shared" si="46"/>
        <v>61.36999999999999</v>
      </c>
      <c r="F127" s="123">
        <f t="shared" si="46"/>
        <v>58.30149999999999</v>
      </c>
      <c r="G127" s="123">
        <f t="shared" si="46"/>
        <v>55.386424999999988</v>
      </c>
      <c r="H127" s="123">
        <f t="shared" si="46"/>
        <v>52.617103749999984</v>
      </c>
      <c r="I127" s="123">
        <f t="shared" si="46"/>
        <v>49.986248562499981</v>
      </c>
      <c r="J127" s="123">
        <f t="shared" si="46"/>
        <v>47.486936134374979</v>
      </c>
      <c r="K127" s="123">
        <f t="shared" si="46"/>
        <v>45.112589327656231</v>
      </c>
      <c r="L127" s="123">
        <f t="shared" si="46"/>
        <v>42.856959861273417</v>
      </c>
      <c r="M127" s="123">
        <f t="shared" si="46"/>
        <v>40.714111868209741</v>
      </c>
      <c r="N127" s="123">
        <f t="shared" si="46"/>
        <v>38.678406274799251</v>
      </c>
      <c r="O127" s="123">
        <f t="shared" si="46"/>
        <v>36.74448596105929</v>
      </c>
      <c r="P127" s="123">
        <f t="shared" si="46"/>
        <v>34.907261663006324</v>
      </c>
      <c r="Q127" s="124">
        <f t="shared" si="46"/>
        <v>33.161898579856008</v>
      </c>
    </row>
    <row r="128" spans="1:17" ht="12.75">
      <c r="A128" s="59" t="s">
        <v>144</v>
      </c>
      <c r="B128" s="60">
        <v>200</v>
      </c>
      <c r="C128" s="125">
        <v>42</v>
      </c>
      <c r="D128" s="126">
        <f>C128*0.94</f>
        <v>39.479999999999997</v>
      </c>
      <c r="E128" s="126">
        <f t="shared" si="46"/>
        <v>37.505999999999993</v>
      </c>
      <c r="F128" s="126">
        <f t="shared" si="46"/>
        <v>35.63069999999999</v>
      </c>
      <c r="G128" s="126">
        <f t="shared" si="46"/>
        <v>33.849164999999992</v>
      </c>
      <c r="H128" s="126">
        <f t="shared" si="46"/>
        <v>32.156706749999991</v>
      </c>
      <c r="I128" s="126">
        <f t="shared" si="46"/>
        <v>30.548871412499988</v>
      </c>
      <c r="J128" s="126">
        <f t="shared" si="46"/>
        <v>29.021427841874988</v>
      </c>
      <c r="K128" s="126">
        <f t="shared" si="46"/>
        <v>27.570356449781237</v>
      </c>
      <c r="L128" s="126">
        <f t="shared" si="46"/>
        <v>26.191838627292174</v>
      </c>
      <c r="M128" s="126">
        <f t="shared" si="46"/>
        <v>24.882246695927563</v>
      </c>
      <c r="N128" s="126">
        <f t="shared" si="46"/>
        <v>23.638134361131183</v>
      </c>
      <c r="O128" s="126">
        <f t="shared" si="46"/>
        <v>22.456227643074623</v>
      </c>
      <c r="P128" s="126">
        <f t="shared" si="46"/>
        <v>21.333416260920892</v>
      </c>
      <c r="Q128" s="127">
        <f t="shared" si="46"/>
        <v>20.266745447874847</v>
      </c>
    </row>
    <row r="131" spans="1:17" ht="12.75">
      <c r="C131" s="113"/>
      <c r="D131" s="113"/>
      <c r="E131" s="113"/>
      <c r="F131" s="113"/>
      <c r="G131" s="113"/>
      <c r="H131" s="113"/>
      <c r="I131" s="113"/>
      <c r="J131" s="113"/>
      <c r="K131" s="113"/>
      <c r="L131" s="113"/>
      <c r="M131" s="113"/>
      <c r="N131" s="113"/>
      <c r="O131" s="113"/>
      <c r="P131" s="113"/>
      <c r="Q131" s="113"/>
    </row>
    <row r="132" spans="1:17" ht="12.75">
      <c r="A132" s="203"/>
      <c r="B132" s="163"/>
      <c r="C132" s="149" t="s">
        <v>145</v>
      </c>
      <c r="D132" s="143"/>
      <c r="E132" s="143"/>
      <c r="F132" s="143"/>
      <c r="G132" s="143"/>
      <c r="H132" s="143"/>
      <c r="I132" s="143"/>
      <c r="J132" s="143"/>
      <c r="K132" s="143"/>
      <c r="L132" s="143"/>
      <c r="M132" s="143"/>
      <c r="N132" s="143"/>
      <c r="O132" s="143"/>
      <c r="P132" s="143"/>
      <c r="Q132" s="144"/>
    </row>
    <row r="133" spans="1:17" ht="12.75">
      <c r="A133" s="166"/>
      <c r="B133" s="147"/>
      <c r="C133" s="149" t="s">
        <v>106</v>
      </c>
      <c r="D133" s="143"/>
      <c r="E133" s="143"/>
      <c r="F133" s="143"/>
      <c r="G133" s="143"/>
      <c r="H133" s="143"/>
      <c r="I133" s="143"/>
      <c r="J133" s="143"/>
      <c r="K133" s="143"/>
      <c r="L133" s="143"/>
      <c r="M133" s="143"/>
      <c r="N133" s="143"/>
      <c r="O133" s="143"/>
      <c r="P133" s="143"/>
      <c r="Q133" s="144"/>
    </row>
    <row r="134" spans="1:17" ht="12.75">
      <c r="A134" s="61" t="s">
        <v>137</v>
      </c>
      <c r="B134" s="58" t="s">
        <v>124</v>
      </c>
      <c r="C134" s="118">
        <v>0</v>
      </c>
      <c r="D134" s="118">
        <v>1</v>
      </c>
      <c r="E134" s="118">
        <v>2</v>
      </c>
      <c r="F134" s="118">
        <v>3</v>
      </c>
      <c r="G134" s="118">
        <v>4</v>
      </c>
      <c r="H134" s="118">
        <v>5</v>
      </c>
      <c r="I134" s="118">
        <v>6</v>
      </c>
      <c r="J134" s="118">
        <v>7</v>
      </c>
      <c r="K134" s="118">
        <v>8</v>
      </c>
      <c r="L134" s="118">
        <v>9</v>
      </c>
      <c r="M134" s="118">
        <v>10</v>
      </c>
      <c r="N134" s="118">
        <v>11</v>
      </c>
      <c r="O134" s="118">
        <v>12</v>
      </c>
      <c r="P134" s="118">
        <v>13</v>
      </c>
      <c r="Q134" s="118">
        <v>14</v>
      </c>
    </row>
    <row r="135" spans="1:17" ht="12.75">
      <c r="A135" s="55" t="s">
        <v>109</v>
      </c>
      <c r="B135" s="56">
        <f>SUM(B136:B142)</f>
        <v>1700</v>
      </c>
      <c r="C135" s="133">
        <f t="shared" ref="C135:M142" si="47">C121/B121</f>
        <v>0.45789473684210524</v>
      </c>
      <c r="D135" s="133">
        <f>D121/B121</f>
        <v>0.42126315789473689</v>
      </c>
      <c r="E135" s="133">
        <f>E121/B121</f>
        <v>0.39177473684210529</v>
      </c>
      <c r="F135" s="133">
        <f>F121/B121</f>
        <v>0.36435050526315793</v>
      </c>
      <c r="G135" s="133">
        <f>G121/B121</f>
        <v>0.35706349515789476</v>
      </c>
      <c r="H135" s="133">
        <f>H121/B121</f>
        <v>0.33563968544842104</v>
      </c>
      <c r="I135" s="133">
        <f>I121/B121</f>
        <v>0.32892689173945261</v>
      </c>
      <c r="J135" s="133">
        <f>J121/B121</f>
        <v>0.3026127404002964</v>
      </c>
      <c r="K135" s="133">
        <f>K121/B121</f>
        <v>0.27235146636026675</v>
      </c>
      <c r="L135" s="133">
        <f>L121/B121</f>
        <v>0.26690443703306138</v>
      </c>
      <c r="M135" s="133">
        <f>M121/B121</f>
        <v>0.26423539266273077</v>
      </c>
      <c r="N135" s="133">
        <f t="shared" ref="N135:N142" si="48">N121/B121</f>
        <v>0.25102362302959425</v>
      </c>
      <c r="O135" s="133">
        <f t="shared" ref="O135:O142" si="49">O121/B121</f>
        <v>0.22843149695693074</v>
      </c>
      <c r="P135" s="133">
        <f t="shared" ref="P135:P142" si="50">P121/B121</f>
        <v>0.20558834726123768</v>
      </c>
      <c r="Q135" s="133">
        <f t="shared" ref="Q135:Q142" si="51">Q121/B121</f>
        <v>0.2014765803160129</v>
      </c>
    </row>
    <row r="136" spans="1:17" ht="12.75">
      <c r="A136" s="59" t="s">
        <v>138</v>
      </c>
      <c r="B136" s="60">
        <v>300</v>
      </c>
      <c r="C136" s="130">
        <f t="shared" si="47"/>
        <v>0.52400000000000002</v>
      </c>
      <c r="D136" s="130">
        <f>D122/B122</f>
        <v>0.48732000000000003</v>
      </c>
      <c r="E136" s="130">
        <f>E122/B122</f>
        <v>0.46295400000000003</v>
      </c>
      <c r="F136" s="130">
        <f>F122/B122</f>
        <v>0.43980629999999998</v>
      </c>
      <c r="G136" s="130">
        <f>G122/B122</f>
        <v>0.41781598499999995</v>
      </c>
      <c r="H136" s="130">
        <f>H122/B122</f>
        <v>0.37603438649999998</v>
      </c>
      <c r="I136" s="130">
        <f>I122/B122</f>
        <v>0.35347232331</v>
      </c>
      <c r="J136" s="130">
        <f>J122/B122</f>
        <v>0.3357987071445</v>
      </c>
      <c r="K136" s="130">
        <f>K122/B122</f>
        <v>0.31900877178727494</v>
      </c>
      <c r="L136" s="130">
        <f>L122/B122</f>
        <v>0.30305833319791114</v>
      </c>
      <c r="M136" s="130">
        <f>M122/B122</f>
        <v>0.28790541653801555</v>
      </c>
      <c r="N136" s="130">
        <f t="shared" si="48"/>
        <v>0.27351014571111476</v>
      </c>
      <c r="O136" s="130">
        <f t="shared" si="49"/>
        <v>0.25983463842555904</v>
      </c>
      <c r="P136" s="130">
        <f t="shared" si="50"/>
        <v>0.24684290650428106</v>
      </c>
      <c r="Q136" s="130">
        <f t="shared" si="51"/>
        <v>0.23450076117906701</v>
      </c>
    </row>
    <row r="137" spans="1:17" ht="12.75">
      <c r="A137" s="59" t="s">
        <v>139</v>
      </c>
      <c r="B137" s="60">
        <v>250</v>
      </c>
      <c r="C137" s="130">
        <f t="shared" si="47"/>
        <v>0.64800000000000002</v>
      </c>
      <c r="D137" s="130">
        <f>D123/B123</f>
        <v>0.61560000000000004</v>
      </c>
      <c r="E137" s="130">
        <f>E123/B123</f>
        <v>0.58482000000000001</v>
      </c>
      <c r="F137" s="130">
        <f>F123/B123</f>
        <v>0.55557900000000005</v>
      </c>
      <c r="G137" s="130">
        <f>G123/B123</f>
        <v>0.52780005000000008</v>
      </c>
      <c r="H137" s="130">
        <f>H123/B123</f>
        <v>0.50141004750000007</v>
      </c>
      <c r="I137" s="130">
        <f>I123/B123</f>
        <v>0.47633954512499999</v>
      </c>
      <c r="J137" s="130">
        <f>J123/B123</f>
        <v>0.45252256786874995</v>
      </c>
      <c r="K137" s="130">
        <f>K123/B123</f>
        <v>0.42989643947531242</v>
      </c>
      <c r="L137" s="130">
        <f>L123/B123</f>
        <v>0.4084016175015468</v>
      </c>
      <c r="M137" s="130">
        <f>M123/B123</f>
        <v>0.38798153662646945</v>
      </c>
      <c r="N137" s="130">
        <f t="shared" si="48"/>
        <v>0.36858245979514598</v>
      </c>
      <c r="O137" s="130">
        <f t="shared" si="49"/>
        <v>0.35015333680538863</v>
      </c>
      <c r="P137" s="130">
        <f t="shared" si="50"/>
        <v>0.33264566996511918</v>
      </c>
      <c r="Q137" s="130">
        <f t="shared" si="51"/>
        <v>0.31601338646686322</v>
      </c>
    </row>
    <row r="138" spans="1:17" ht="12.75">
      <c r="A138" s="59" t="s">
        <v>140</v>
      </c>
      <c r="B138" s="60">
        <v>210</v>
      </c>
      <c r="C138" s="130">
        <f t="shared" si="47"/>
        <v>0.62857142857142856</v>
      </c>
      <c r="D138" s="130">
        <f t="shared" si="47"/>
        <v>0.92</v>
      </c>
      <c r="E138" s="130">
        <f t="shared" si="47"/>
        <v>0.95</v>
      </c>
      <c r="F138" s="130">
        <f t="shared" si="47"/>
        <v>0.95</v>
      </c>
      <c r="G138" s="130">
        <f t="shared" si="47"/>
        <v>0.94999999999999984</v>
      </c>
      <c r="H138" s="130">
        <f t="shared" si="47"/>
        <v>0.95</v>
      </c>
      <c r="I138" s="130">
        <f t="shared" si="47"/>
        <v>0.95</v>
      </c>
      <c r="J138" s="130">
        <f t="shared" si="47"/>
        <v>0.95</v>
      </c>
      <c r="K138" s="130">
        <f t="shared" si="47"/>
        <v>0.95</v>
      </c>
      <c r="L138" s="130">
        <f t="shared" si="47"/>
        <v>0.95000000000000007</v>
      </c>
      <c r="M138" s="130">
        <f t="shared" si="47"/>
        <v>0.95</v>
      </c>
      <c r="N138" s="130">
        <f t="shared" si="48"/>
        <v>0.34624101857670808</v>
      </c>
      <c r="O138" s="130">
        <f t="shared" si="49"/>
        <v>0.32892896764787266</v>
      </c>
      <c r="P138" s="130">
        <f t="shared" si="50"/>
        <v>0.31248251926547904</v>
      </c>
      <c r="Q138" s="130">
        <f t="shared" si="51"/>
        <v>0.29685839330220509</v>
      </c>
    </row>
    <row r="139" spans="1:17" ht="12.75">
      <c r="A139" s="59" t="s">
        <v>141</v>
      </c>
      <c r="B139" s="60">
        <v>250</v>
      </c>
      <c r="C139" s="130">
        <f t="shared" si="47"/>
        <v>0.42399999999999999</v>
      </c>
      <c r="D139" s="130">
        <f>D125/B125</f>
        <v>0.41127999999999998</v>
      </c>
      <c r="E139" s="130">
        <f>E125/B125</f>
        <v>0.39071599999999995</v>
      </c>
      <c r="F139" s="130">
        <f>F125/B125</f>
        <v>0.37118019999999996</v>
      </c>
      <c r="G139" s="130">
        <f>G125/B125</f>
        <v>0.35262118999999997</v>
      </c>
      <c r="H139" s="130">
        <f>H125/B125</f>
        <v>0.33499013049999998</v>
      </c>
      <c r="I139" s="130">
        <f>I125/B125</f>
        <v>0.31824062397499997</v>
      </c>
      <c r="J139" s="130">
        <f>J125/B125</f>
        <v>0.30232859277624996</v>
      </c>
      <c r="K139" s="130">
        <f>K125/B125</f>
        <v>0.28721216313743742</v>
      </c>
      <c r="L139" s="130">
        <f>L125/B125</f>
        <v>0.27285155498056551</v>
      </c>
      <c r="M139" s="130">
        <f>M125/B125</f>
        <v>0.25920897723153724</v>
      </c>
      <c r="N139" s="130">
        <f t="shared" si="48"/>
        <v>0.24624852836996036</v>
      </c>
      <c r="O139" s="130">
        <f t="shared" si="49"/>
        <v>0.23393610195146233</v>
      </c>
      <c r="P139" s="130">
        <f t="shared" si="50"/>
        <v>0.22223929685388918</v>
      </c>
      <c r="Q139" s="130">
        <f t="shared" si="51"/>
        <v>0.21112733201119471</v>
      </c>
    </row>
    <row r="140" spans="1:17" ht="12.75">
      <c r="A140" s="59" t="s">
        <v>142</v>
      </c>
      <c r="B140" s="60">
        <v>220</v>
      </c>
      <c r="C140" s="130">
        <f t="shared" si="47"/>
        <v>0.32727272727272727</v>
      </c>
      <c r="D140" s="130">
        <f>D126/B126</f>
        <v>0.30436363636363639</v>
      </c>
      <c r="E140" s="130">
        <f>E126/B126</f>
        <v>0.28914545454545454</v>
      </c>
      <c r="F140" s="130">
        <f>F126/B126</f>
        <v>0.27468818181818178</v>
      </c>
      <c r="G140" s="130">
        <f>G126/B126</f>
        <v>0.26095377272727271</v>
      </c>
      <c r="H140" s="130">
        <f>H126/B126</f>
        <v>0.24790608409090906</v>
      </c>
      <c r="I140" s="130">
        <f>I126/B126</f>
        <v>0.2355107798863636</v>
      </c>
      <c r="J140" s="130">
        <f>J126/B126</f>
        <v>0.22373524089204541</v>
      </c>
      <c r="K140" s="130">
        <f>K126/B126</f>
        <v>0.2125484788474431</v>
      </c>
      <c r="L140" s="130">
        <f>L126/B126</f>
        <v>0.20192105490507095</v>
      </c>
      <c r="M140" s="130">
        <f>M126/B126</f>
        <v>0.19182500215981738</v>
      </c>
      <c r="N140" s="130">
        <f t="shared" si="48"/>
        <v>0.18223375205182651</v>
      </c>
      <c r="O140" s="130">
        <f t="shared" si="49"/>
        <v>0.17312206444923517</v>
      </c>
      <c r="P140" s="130">
        <f t="shared" si="50"/>
        <v>0.16446596122677337</v>
      </c>
      <c r="Q140" s="130">
        <f t="shared" si="51"/>
        <v>0.1562426631654347</v>
      </c>
    </row>
    <row r="141" spans="1:17" ht="12.75">
      <c r="A141" s="59" t="s">
        <v>143</v>
      </c>
      <c r="B141" s="60">
        <v>270</v>
      </c>
      <c r="C141" s="130">
        <f t="shared" si="47"/>
        <v>0.25185185185185183</v>
      </c>
      <c r="D141" s="130">
        <f>D127/B127</f>
        <v>0.23925925925925923</v>
      </c>
      <c r="E141" s="130">
        <f>E127/B127</f>
        <v>0.22729629629629627</v>
      </c>
      <c r="F141" s="130">
        <f>F127/B127</f>
        <v>0.21593148148148145</v>
      </c>
      <c r="G141" s="130">
        <f>G127/B127</f>
        <v>0.20513490740740736</v>
      </c>
      <c r="H141" s="130">
        <f>H127/B127</f>
        <v>0.19487816203703698</v>
      </c>
      <c r="I141" s="130">
        <f>I127/B127</f>
        <v>0.18513425393518512</v>
      </c>
      <c r="J141" s="130">
        <f>J127/B127</f>
        <v>0.17587754123842586</v>
      </c>
      <c r="K141" s="130">
        <f>K127/B127</f>
        <v>0.16708366417650455</v>
      </c>
      <c r="L141" s="130">
        <f>L127/B127</f>
        <v>0.15872948096767933</v>
      </c>
      <c r="M141" s="130">
        <f>M127/B127</f>
        <v>0.15079300691929534</v>
      </c>
      <c r="N141" s="130">
        <f t="shared" si="48"/>
        <v>0.14325335657333055</v>
      </c>
      <c r="O141" s="130">
        <f t="shared" si="49"/>
        <v>0.13609068874466404</v>
      </c>
      <c r="P141" s="130">
        <f t="shared" si="50"/>
        <v>0.12928615430743082</v>
      </c>
      <c r="Q141" s="130">
        <f t="shared" si="51"/>
        <v>0.12282184659205929</v>
      </c>
    </row>
    <row r="142" spans="1:17" ht="12.75">
      <c r="A142" s="59" t="s">
        <v>144</v>
      </c>
      <c r="B142" s="60">
        <v>200</v>
      </c>
      <c r="C142" s="130">
        <f t="shared" si="47"/>
        <v>0.21</v>
      </c>
      <c r="D142" s="130">
        <f t="shared" si="47"/>
        <v>0.94</v>
      </c>
      <c r="E142" s="130">
        <f t="shared" si="47"/>
        <v>0.95</v>
      </c>
      <c r="F142" s="130">
        <f t="shared" si="47"/>
        <v>0.95</v>
      </c>
      <c r="G142" s="130">
        <f t="shared" si="47"/>
        <v>0.95000000000000007</v>
      </c>
      <c r="H142" s="130">
        <f t="shared" si="47"/>
        <v>0.95</v>
      </c>
      <c r="I142" s="130">
        <f t="shared" si="47"/>
        <v>0.95</v>
      </c>
      <c r="J142" s="130">
        <f t="shared" si="47"/>
        <v>0.95</v>
      </c>
      <c r="K142" s="130">
        <f t="shared" si="47"/>
        <v>0.95</v>
      </c>
      <c r="L142" s="130">
        <f t="shared" si="47"/>
        <v>0.95</v>
      </c>
      <c r="M142" s="130">
        <f>M128/B128</f>
        <v>0.12441123347963781</v>
      </c>
      <c r="N142" s="130">
        <f t="shared" si="48"/>
        <v>0.11819067180565591</v>
      </c>
      <c r="O142" s="130">
        <f t="shared" si="49"/>
        <v>0.11228113821537311</v>
      </c>
      <c r="P142" s="130">
        <f t="shared" si="50"/>
        <v>0.10666708130460446</v>
      </c>
      <c r="Q142" s="130">
        <f t="shared" si="51"/>
        <v>0.10133372723937423</v>
      </c>
    </row>
    <row r="143" spans="1:17" ht="12.75">
      <c r="A143" s="202" t="s">
        <v>86</v>
      </c>
      <c r="B143" s="147"/>
      <c r="C143" s="131">
        <f>AVERAGE(C135:C142)</f>
        <v>0.43394884306726411</v>
      </c>
      <c r="D143" s="131">
        <f>AVERAGE(D135:D142)</f>
        <v>0.54238575668970412</v>
      </c>
      <c r="E143" s="131">
        <f>AVERAGE(E135:E142)</f>
        <v>0.53083831096048195</v>
      </c>
      <c r="F143" s="131">
        <f t="shared" ref="F143:Q143" si="52">AVERAGE(F135:F142)</f>
        <v>0.51519195857035271</v>
      </c>
      <c r="G143" s="131">
        <f t="shared" si="52"/>
        <v>0.50267367503657179</v>
      </c>
      <c r="H143" s="131">
        <f t="shared" si="52"/>
        <v>0.48635731200954591</v>
      </c>
      <c r="I143" s="131">
        <f t="shared" si="52"/>
        <v>0.47470305224637521</v>
      </c>
      <c r="J143" s="131">
        <f t="shared" si="52"/>
        <v>0.46160942379003345</v>
      </c>
      <c r="K143" s="131">
        <f t="shared" si="52"/>
        <v>0.44851262297302985</v>
      </c>
      <c r="L143" s="131">
        <f t="shared" si="52"/>
        <v>0.43898330982322942</v>
      </c>
      <c r="M143" s="131">
        <f t="shared" si="52"/>
        <v>0.32704507070218791</v>
      </c>
      <c r="N143" s="131">
        <f t="shared" si="52"/>
        <v>0.24116044448916701</v>
      </c>
      <c r="O143" s="131">
        <f t="shared" si="52"/>
        <v>0.22784730414956067</v>
      </c>
      <c r="P143" s="131">
        <f t="shared" si="52"/>
        <v>0.21502724208610183</v>
      </c>
      <c r="Q143" s="131">
        <f t="shared" si="52"/>
        <v>0.2050468362840264</v>
      </c>
    </row>
    <row r="146" spans="2:17" ht="12.75">
      <c r="B146" s="204"/>
      <c r="C146" s="190"/>
      <c r="D146" s="190"/>
      <c r="E146" s="190"/>
      <c r="F146" s="190"/>
      <c r="G146" s="190"/>
      <c r="H146" s="190"/>
      <c r="I146" s="190"/>
      <c r="J146" s="163"/>
    </row>
    <row r="147" spans="2:17" ht="12.75">
      <c r="B147" s="164"/>
      <c r="C147" s="205"/>
      <c r="D147" s="205"/>
      <c r="E147" s="205"/>
      <c r="F147" s="205"/>
      <c r="G147" s="205"/>
      <c r="H147" s="205"/>
      <c r="I147" s="205"/>
      <c r="J147" s="165"/>
      <c r="L147" s="206" t="s">
        <v>146</v>
      </c>
      <c r="M147" s="163"/>
      <c r="N147" s="207" t="s">
        <v>252</v>
      </c>
      <c r="O147" s="190"/>
      <c r="P147" s="163"/>
    </row>
    <row r="148" spans="2:17" ht="12.75">
      <c r="B148" s="164"/>
      <c r="C148" s="205"/>
      <c r="D148" s="205"/>
      <c r="E148" s="205"/>
      <c r="F148" s="205"/>
      <c r="G148" s="205"/>
      <c r="H148" s="205"/>
      <c r="I148" s="205"/>
      <c r="J148" s="165"/>
      <c r="L148" s="166"/>
      <c r="M148" s="147"/>
      <c r="N148" s="166"/>
      <c r="O148" s="146"/>
      <c r="P148" s="147"/>
    </row>
    <row r="149" spans="2:17" ht="12.75">
      <c r="B149" s="164"/>
      <c r="C149" s="205"/>
      <c r="D149" s="205"/>
      <c r="E149" s="205"/>
      <c r="F149" s="205"/>
      <c r="G149" s="205"/>
      <c r="H149" s="205"/>
      <c r="I149" s="205"/>
      <c r="J149" s="165"/>
      <c r="L149" s="132"/>
      <c r="M149" s="132"/>
    </row>
    <row r="150" spans="2:17" ht="12.75">
      <c r="B150" s="164"/>
      <c r="C150" s="205"/>
      <c r="D150" s="205"/>
      <c r="E150" s="205"/>
      <c r="F150" s="205"/>
      <c r="G150" s="205"/>
      <c r="H150" s="205"/>
      <c r="I150" s="205"/>
      <c r="J150" s="165"/>
      <c r="L150" s="206" t="s">
        <v>147</v>
      </c>
      <c r="M150" s="163"/>
      <c r="N150" s="207" t="s">
        <v>253</v>
      </c>
      <c r="O150" s="190"/>
      <c r="P150" s="163"/>
    </row>
    <row r="151" spans="2:17" ht="12.75">
      <c r="B151" s="164"/>
      <c r="C151" s="205"/>
      <c r="D151" s="205"/>
      <c r="E151" s="205"/>
      <c r="F151" s="205"/>
      <c r="G151" s="205"/>
      <c r="H151" s="205"/>
      <c r="I151" s="205"/>
      <c r="J151" s="165"/>
      <c r="L151" s="166"/>
      <c r="M151" s="147"/>
      <c r="N151" s="166"/>
      <c r="O151" s="146"/>
      <c r="P151" s="147"/>
    </row>
    <row r="152" spans="2:17" ht="12.75">
      <c r="B152" s="164"/>
      <c r="C152" s="205"/>
      <c r="D152" s="205"/>
      <c r="E152" s="205"/>
      <c r="F152" s="205"/>
      <c r="G152" s="205"/>
      <c r="H152" s="205"/>
      <c r="I152" s="205"/>
      <c r="J152" s="165"/>
      <c r="L152" s="132"/>
      <c r="M152" s="132"/>
    </row>
    <row r="153" spans="2:17" ht="12.75">
      <c r="B153" s="164"/>
      <c r="C153" s="205"/>
      <c r="D153" s="205"/>
      <c r="E153" s="205"/>
      <c r="F153" s="205"/>
      <c r="G153" s="205"/>
      <c r="H153" s="205"/>
      <c r="I153" s="205"/>
      <c r="J153" s="165"/>
      <c r="L153" s="206" t="s">
        <v>121</v>
      </c>
      <c r="M153" s="163"/>
      <c r="N153" s="208" t="s">
        <v>258</v>
      </c>
      <c r="O153" s="209"/>
      <c r="P153" s="209"/>
      <c r="Q153" s="210"/>
    </row>
    <row r="154" spans="2:17" ht="12.75">
      <c r="B154" s="164"/>
      <c r="C154" s="205"/>
      <c r="D154" s="205"/>
      <c r="E154" s="205"/>
      <c r="F154" s="205"/>
      <c r="G154" s="205"/>
      <c r="H154" s="205"/>
      <c r="I154" s="205"/>
      <c r="J154" s="165"/>
      <c r="L154" s="164"/>
      <c r="M154" s="165"/>
      <c r="N154" s="211"/>
      <c r="O154" s="212"/>
      <c r="P154" s="212"/>
      <c r="Q154" s="213"/>
    </row>
    <row r="155" spans="2:17" ht="12.75">
      <c r="B155" s="164"/>
      <c r="C155" s="205"/>
      <c r="D155" s="205"/>
      <c r="E155" s="205"/>
      <c r="F155" s="205"/>
      <c r="G155" s="205"/>
      <c r="H155" s="205"/>
      <c r="I155" s="205"/>
      <c r="J155" s="165"/>
      <c r="L155" s="164"/>
      <c r="M155" s="165"/>
      <c r="N155" s="211"/>
      <c r="O155" s="212"/>
      <c r="P155" s="212"/>
      <c r="Q155" s="213"/>
    </row>
    <row r="156" spans="2:17" ht="12.75">
      <c r="B156" s="164"/>
      <c r="C156" s="205"/>
      <c r="D156" s="205"/>
      <c r="E156" s="205"/>
      <c r="F156" s="205"/>
      <c r="G156" s="205"/>
      <c r="H156" s="205"/>
      <c r="I156" s="205"/>
      <c r="J156" s="165"/>
      <c r="L156" s="164"/>
      <c r="M156" s="165"/>
      <c r="N156" s="211"/>
      <c r="O156" s="212"/>
      <c r="P156" s="212"/>
      <c r="Q156" s="213"/>
    </row>
    <row r="157" spans="2:17" ht="12.75">
      <c r="B157" s="164"/>
      <c r="C157" s="205"/>
      <c r="D157" s="205"/>
      <c r="E157" s="205"/>
      <c r="F157" s="205"/>
      <c r="G157" s="205"/>
      <c r="H157" s="205"/>
      <c r="I157" s="205"/>
      <c r="J157" s="165"/>
      <c r="L157" s="164"/>
      <c r="M157" s="165"/>
      <c r="N157" s="211"/>
      <c r="O157" s="212"/>
      <c r="P157" s="212"/>
      <c r="Q157" s="213"/>
    </row>
    <row r="158" spans="2:17" ht="12.75">
      <c r="B158" s="164"/>
      <c r="C158" s="205"/>
      <c r="D158" s="205"/>
      <c r="E158" s="205"/>
      <c r="F158" s="205"/>
      <c r="G158" s="205"/>
      <c r="H158" s="205"/>
      <c r="I158" s="205"/>
      <c r="J158" s="165"/>
      <c r="L158" s="166"/>
      <c r="M158" s="147"/>
      <c r="N158" s="214"/>
      <c r="O158" s="215"/>
      <c r="P158" s="215"/>
      <c r="Q158" s="216"/>
    </row>
    <row r="159" spans="2:17" ht="12.75">
      <c r="B159" s="164"/>
      <c r="C159" s="205"/>
      <c r="D159" s="205"/>
      <c r="E159" s="205"/>
      <c r="F159" s="205"/>
      <c r="G159" s="205"/>
      <c r="H159" s="205"/>
      <c r="I159" s="205"/>
      <c r="J159" s="165"/>
    </row>
    <row r="160" spans="2:17" ht="12.75">
      <c r="B160" s="164"/>
      <c r="C160" s="205"/>
      <c r="D160" s="205"/>
      <c r="E160" s="205"/>
      <c r="F160" s="205"/>
      <c r="G160" s="205"/>
      <c r="H160" s="205"/>
      <c r="I160" s="205"/>
      <c r="J160" s="165"/>
    </row>
    <row r="161" spans="1:17" ht="12.75">
      <c r="B161" s="164"/>
      <c r="C161" s="205"/>
      <c r="D161" s="205"/>
      <c r="E161" s="205"/>
      <c r="F161" s="205"/>
      <c r="G161" s="205"/>
      <c r="H161" s="205"/>
      <c r="I161" s="205"/>
      <c r="J161" s="165"/>
    </row>
    <row r="162" spans="1:17" ht="12.75">
      <c r="B162" s="164"/>
      <c r="C162" s="205"/>
      <c r="D162" s="205"/>
      <c r="E162" s="205"/>
      <c r="F162" s="205"/>
      <c r="G162" s="205"/>
      <c r="H162" s="205"/>
      <c r="I162" s="205"/>
      <c r="J162" s="165"/>
    </row>
    <row r="163" spans="1:17" ht="12.75">
      <c r="B163" s="164"/>
      <c r="C163" s="205"/>
      <c r="D163" s="205"/>
      <c r="E163" s="205"/>
      <c r="F163" s="205"/>
      <c r="G163" s="205"/>
      <c r="H163" s="205"/>
      <c r="I163" s="205"/>
      <c r="J163" s="165"/>
    </row>
    <row r="164" spans="1:17" ht="12.75">
      <c r="B164" s="164"/>
      <c r="C164" s="205"/>
      <c r="D164" s="205"/>
      <c r="E164" s="205"/>
      <c r="F164" s="205"/>
      <c r="G164" s="205"/>
      <c r="H164" s="205"/>
      <c r="I164" s="205"/>
      <c r="J164" s="165"/>
    </row>
    <row r="165" spans="1:17" ht="12.75">
      <c r="B165" s="164"/>
      <c r="C165" s="205"/>
      <c r="D165" s="205"/>
      <c r="E165" s="205"/>
      <c r="F165" s="205"/>
      <c r="G165" s="205"/>
      <c r="H165" s="205"/>
      <c r="I165" s="205"/>
      <c r="J165" s="165"/>
    </row>
    <row r="166" spans="1:17" ht="12.75">
      <c r="B166" s="166"/>
      <c r="C166" s="146"/>
      <c r="D166" s="146"/>
      <c r="E166" s="146"/>
      <c r="F166" s="146"/>
      <c r="G166" s="146"/>
      <c r="H166" s="146"/>
      <c r="I166" s="146"/>
      <c r="J166" s="147"/>
    </row>
    <row r="170" spans="1:17" ht="12.75">
      <c r="A170" s="203"/>
      <c r="B170" s="163"/>
      <c r="C170" s="149" t="s">
        <v>148</v>
      </c>
      <c r="D170" s="143"/>
      <c r="E170" s="143"/>
      <c r="F170" s="143"/>
      <c r="G170" s="143"/>
      <c r="H170" s="143"/>
      <c r="I170" s="143"/>
      <c r="J170" s="143"/>
      <c r="K170" s="143"/>
      <c r="L170" s="143"/>
      <c r="M170" s="143"/>
      <c r="N170" s="143"/>
      <c r="O170" s="143"/>
      <c r="P170" s="143"/>
      <c r="Q170" s="144"/>
    </row>
    <row r="171" spans="1:17" ht="12.75">
      <c r="A171" s="166"/>
      <c r="B171" s="147"/>
      <c r="C171" s="149" t="s">
        <v>149</v>
      </c>
      <c r="D171" s="143"/>
      <c r="E171" s="143"/>
      <c r="F171" s="143"/>
      <c r="G171" s="143"/>
      <c r="H171" s="143"/>
      <c r="I171" s="143"/>
      <c r="J171" s="143"/>
      <c r="K171" s="143"/>
      <c r="L171" s="143"/>
      <c r="M171" s="143"/>
      <c r="N171" s="143"/>
      <c r="O171" s="143"/>
      <c r="P171" s="143"/>
      <c r="Q171" s="144"/>
    </row>
    <row r="172" spans="1:17" ht="12.75">
      <c r="A172" s="61" t="s">
        <v>150</v>
      </c>
      <c r="B172" s="58" t="s">
        <v>124</v>
      </c>
      <c r="C172" s="118">
        <v>0</v>
      </c>
      <c r="D172" s="118">
        <v>1</v>
      </c>
      <c r="E172" s="118">
        <v>2</v>
      </c>
      <c r="F172" s="118">
        <v>3</v>
      </c>
      <c r="G172" s="118">
        <v>4</v>
      </c>
      <c r="H172" s="118">
        <v>5</v>
      </c>
      <c r="I172" s="118">
        <v>6</v>
      </c>
      <c r="J172" s="118">
        <v>7</v>
      </c>
      <c r="K172" s="118">
        <v>8</v>
      </c>
      <c r="L172" s="118">
        <v>9</v>
      </c>
      <c r="M172" s="118">
        <v>10</v>
      </c>
      <c r="N172" s="118">
        <v>11</v>
      </c>
      <c r="O172" s="118">
        <v>12</v>
      </c>
      <c r="P172" s="118">
        <v>13</v>
      </c>
      <c r="Q172" s="118">
        <v>14</v>
      </c>
    </row>
    <row r="173" spans="1:17" ht="12.75">
      <c r="A173" s="55" t="s">
        <v>109</v>
      </c>
      <c r="B173" s="56">
        <f>SUM(B174:B178)</f>
        <v>1490</v>
      </c>
      <c r="C173" s="119">
        <v>870</v>
      </c>
      <c r="D173" s="120">
        <f t="shared" ref="D173:D174" si="53">C173*0.92</f>
        <v>800.40000000000009</v>
      </c>
      <c r="E173" s="120">
        <f t="shared" ref="E173:F173" si="54">D173*0.93</f>
        <v>744.37200000000007</v>
      </c>
      <c r="F173" s="120">
        <f t="shared" si="54"/>
        <v>692.26596000000006</v>
      </c>
      <c r="G173" s="120">
        <f>F173*0.98</f>
        <v>678.4206408</v>
      </c>
      <c r="H173" s="120">
        <f>G173*0.94</f>
        <v>637.71540235199996</v>
      </c>
      <c r="I173" s="120">
        <f>H173*0.98</f>
        <v>624.96109430495994</v>
      </c>
      <c r="J173" s="120">
        <f>I173*0.92</f>
        <v>574.96420676056312</v>
      </c>
      <c r="K173" s="120">
        <f>J173*0.9</f>
        <v>517.46778608450677</v>
      </c>
      <c r="L173" s="120">
        <f>K173*0.98</f>
        <v>507.11843036281664</v>
      </c>
      <c r="M173" s="120">
        <f>L173*0.99</f>
        <v>502.04724605918847</v>
      </c>
      <c r="N173" s="120">
        <f>M173*0.95</f>
        <v>476.94488375622905</v>
      </c>
      <c r="O173" s="120">
        <f>N173*0.91</f>
        <v>434.01984421816843</v>
      </c>
      <c r="P173" s="120">
        <f>O173*0.9</f>
        <v>390.61785979635158</v>
      </c>
      <c r="Q173" s="121">
        <f>P173*0.98</f>
        <v>382.80550260042452</v>
      </c>
    </row>
    <row r="174" spans="1:17" ht="12.75">
      <c r="A174" s="59" t="s">
        <v>151</v>
      </c>
      <c r="B174" s="60">
        <v>250</v>
      </c>
      <c r="C174" s="122">
        <v>132</v>
      </c>
      <c r="D174" s="123">
        <f t="shared" si="53"/>
        <v>121.44000000000001</v>
      </c>
      <c r="E174" s="123">
        <f t="shared" ref="E174:Q174" si="55">D174*0.95</f>
        <v>115.36800000000001</v>
      </c>
      <c r="F174" s="123">
        <f t="shared" si="55"/>
        <v>109.59960000000001</v>
      </c>
      <c r="G174" s="123">
        <f t="shared" si="55"/>
        <v>104.11962</v>
      </c>
      <c r="H174" s="123">
        <f t="shared" si="55"/>
        <v>98.913638999999989</v>
      </c>
      <c r="I174" s="123">
        <f t="shared" si="55"/>
        <v>93.967957049999981</v>
      </c>
      <c r="J174" s="123">
        <f t="shared" si="55"/>
        <v>89.269559197499973</v>
      </c>
      <c r="K174" s="123">
        <f t="shared" si="55"/>
        <v>84.806081237624966</v>
      </c>
      <c r="L174" s="123">
        <f t="shared" si="55"/>
        <v>80.565777175743719</v>
      </c>
      <c r="M174" s="123">
        <f t="shared" si="55"/>
        <v>76.537488316956527</v>
      </c>
      <c r="N174" s="123">
        <f t="shared" si="55"/>
        <v>72.710613901108701</v>
      </c>
      <c r="O174" s="123">
        <f t="shared" si="55"/>
        <v>69.075083206053264</v>
      </c>
      <c r="P174" s="123">
        <f t="shared" si="55"/>
        <v>65.621329045750599</v>
      </c>
      <c r="Q174" s="124">
        <f t="shared" si="55"/>
        <v>62.340262593463066</v>
      </c>
    </row>
    <row r="175" spans="1:17" ht="12.75">
      <c r="A175" s="59" t="s">
        <v>152</v>
      </c>
      <c r="B175" s="60">
        <v>310</v>
      </c>
      <c r="C175" s="122">
        <v>162</v>
      </c>
      <c r="D175" s="123">
        <f t="shared" ref="D175:Q178" si="56">C175*0.95</f>
        <v>153.9</v>
      </c>
      <c r="E175" s="123">
        <f t="shared" si="56"/>
        <v>146.20500000000001</v>
      </c>
      <c r="F175" s="123">
        <f t="shared" si="56"/>
        <v>138.89475000000002</v>
      </c>
      <c r="G175" s="123">
        <f t="shared" si="56"/>
        <v>131.95001250000001</v>
      </c>
      <c r="H175" s="123">
        <f t="shared" si="56"/>
        <v>125.352511875</v>
      </c>
      <c r="I175" s="123">
        <f t="shared" si="56"/>
        <v>119.08488628124999</v>
      </c>
      <c r="J175" s="123">
        <f t="shared" si="56"/>
        <v>113.13064196718749</v>
      </c>
      <c r="K175" s="123">
        <f t="shared" si="56"/>
        <v>107.47410986882811</v>
      </c>
      <c r="L175" s="123">
        <f t="shared" si="56"/>
        <v>102.1004043753867</v>
      </c>
      <c r="M175" s="123">
        <f t="shared" si="56"/>
        <v>96.995384156617362</v>
      </c>
      <c r="N175" s="123">
        <f t="shared" si="56"/>
        <v>92.145614948786488</v>
      </c>
      <c r="O175" s="123">
        <f t="shared" si="56"/>
        <v>87.538334201347155</v>
      </c>
      <c r="P175" s="123">
        <f t="shared" si="56"/>
        <v>83.161417491279792</v>
      </c>
      <c r="Q175" s="124">
        <f t="shared" si="56"/>
        <v>79.003346616715802</v>
      </c>
    </row>
    <row r="176" spans="1:17" ht="12.75">
      <c r="A176" s="59" t="s">
        <v>153</v>
      </c>
      <c r="B176" s="60">
        <v>390</v>
      </c>
      <c r="C176" s="122">
        <v>262</v>
      </c>
      <c r="D176" s="123">
        <f t="shared" ref="D176:D177" si="57">C176*0.93</f>
        <v>243.66000000000003</v>
      </c>
      <c r="E176" s="123">
        <f t="shared" si="56"/>
        <v>231.477</v>
      </c>
      <c r="F176" s="123">
        <f t="shared" si="56"/>
        <v>219.90314999999998</v>
      </c>
      <c r="G176" s="123">
        <f t="shared" si="56"/>
        <v>208.90799249999998</v>
      </c>
      <c r="H176" s="123">
        <f>G176*0.9</f>
        <v>188.01719324999999</v>
      </c>
      <c r="I176" s="123">
        <f>H176*0.94</f>
        <v>176.73616165499999</v>
      </c>
      <c r="J176" s="123">
        <f t="shared" si="56"/>
        <v>167.89935357224999</v>
      </c>
      <c r="K176" s="123">
        <f t="shared" si="56"/>
        <v>159.50438589363748</v>
      </c>
      <c r="L176" s="123">
        <f t="shared" si="56"/>
        <v>151.52916659895558</v>
      </c>
      <c r="M176" s="123">
        <f t="shared" si="56"/>
        <v>143.95270826900779</v>
      </c>
      <c r="N176" s="123">
        <f t="shared" si="56"/>
        <v>136.75507285555739</v>
      </c>
      <c r="O176" s="123">
        <f t="shared" si="56"/>
        <v>129.91731921277952</v>
      </c>
      <c r="P176" s="123">
        <f t="shared" si="56"/>
        <v>123.42145325214054</v>
      </c>
      <c r="Q176" s="124">
        <f t="shared" si="56"/>
        <v>117.25038058953351</v>
      </c>
    </row>
    <row r="177" spans="1:17" ht="12.75">
      <c r="A177" s="59" t="s">
        <v>154</v>
      </c>
      <c r="B177" s="60">
        <v>110</v>
      </c>
      <c r="C177" s="62">
        <v>72</v>
      </c>
      <c r="D177" s="62">
        <f t="shared" si="57"/>
        <v>66.960000000000008</v>
      </c>
      <c r="E177" s="62">
        <f t="shared" si="56"/>
        <v>63.612000000000002</v>
      </c>
      <c r="F177" s="62">
        <f t="shared" si="56"/>
        <v>60.431399999999996</v>
      </c>
      <c r="G177" s="62">
        <f t="shared" si="56"/>
        <v>57.409829999999992</v>
      </c>
      <c r="H177" s="62">
        <f t="shared" si="56"/>
        <v>54.539338499999992</v>
      </c>
      <c r="I177" s="62">
        <f t="shared" si="56"/>
        <v>51.812371574999993</v>
      </c>
      <c r="J177" s="62">
        <f t="shared" si="56"/>
        <v>49.22175299624999</v>
      </c>
      <c r="K177" s="62">
        <f t="shared" si="56"/>
        <v>46.760665346437484</v>
      </c>
      <c r="L177" s="62">
        <f t="shared" si="56"/>
        <v>44.422632079115608</v>
      </c>
      <c r="M177" s="62">
        <f t="shared" si="56"/>
        <v>42.201500475159825</v>
      </c>
      <c r="N177" s="62">
        <f t="shared" si="56"/>
        <v>40.091425451401832</v>
      </c>
      <c r="O177" s="62">
        <f t="shared" si="56"/>
        <v>38.086854178831736</v>
      </c>
      <c r="P177" s="62">
        <f t="shared" si="56"/>
        <v>36.182511469890144</v>
      </c>
      <c r="Q177" s="63">
        <f t="shared" si="56"/>
        <v>34.373385896395632</v>
      </c>
    </row>
    <row r="178" spans="1:17" ht="12.75">
      <c r="A178" s="59" t="s">
        <v>155</v>
      </c>
      <c r="B178" s="60">
        <v>430</v>
      </c>
      <c r="C178" s="125">
        <v>106</v>
      </c>
      <c r="D178" s="126">
        <f>C178*0.97</f>
        <v>102.82</v>
      </c>
      <c r="E178" s="126">
        <f t="shared" si="56"/>
        <v>97.678999999999988</v>
      </c>
      <c r="F178" s="126">
        <f t="shared" si="56"/>
        <v>92.795049999999989</v>
      </c>
      <c r="G178" s="126">
        <f t="shared" si="56"/>
        <v>88.155297499999989</v>
      </c>
      <c r="H178" s="126">
        <f t="shared" si="56"/>
        <v>83.747532624999991</v>
      </c>
      <c r="I178" s="126">
        <f t="shared" si="56"/>
        <v>79.560155993749987</v>
      </c>
      <c r="J178" s="126">
        <f t="shared" si="56"/>
        <v>75.582148194062484</v>
      </c>
      <c r="K178" s="126">
        <f t="shared" si="56"/>
        <v>71.803040784359354</v>
      </c>
      <c r="L178" s="126">
        <f t="shared" si="56"/>
        <v>68.212888745141385</v>
      </c>
      <c r="M178" s="126">
        <f t="shared" si="56"/>
        <v>64.802244307884308</v>
      </c>
      <c r="N178" s="126">
        <f t="shared" si="56"/>
        <v>61.562132092490089</v>
      </c>
      <c r="O178" s="126">
        <f t="shared" si="56"/>
        <v>58.48402548786558</v>
      </c>
      <c r="P178" s="126">
        <f t="shared" si="56"/>
        <v>55.559824213472297</v>
      </c>
      <c r="Q178" s="127">
        <f t="shared" si="56"/>
        <v>52.781833002798678</v>
      </c>
    </row>
    <row r="180" spans="1:17" ht="12.75">
      <c r="C180" s="123"/>
      <c r="D180" s="123"/>
      <c r="E180" s="123"/>
      <c r="F180" s="123"/>
      <c r="G180" s="123"/>
      <c r="H180" s="123"/>
      <c r="I180" s="123"/>
      <c r="J180" s="123"/>
      <c r="K180" s="123"/>
      <c r="L180" s="123"/>
      <c r="M180" s="123"/>
      <c r="N180" s="123"/>
      <c r="O180" s="123"/>
      <c r="P180" s="123"/>
      <c r="Q180" s="123"/>
    </row>
    <row r="181" spans="1:17" ht="12.75">
      <c r="C181" s="113"/>
      <c r="D181" s="113"/>
      <c r="E181" s="113"/>
      <c r="F181" s="113"/>
      <c r="G181" s="113"/>
      <c r="H181" s="113"/>
      <c r="I181" s="113"/>
      <c r="J181" s="113"/>
      <c r="K181" s="113"/>
      <c r="L181" s="113"/>
      <c r="M181" s="113"/>
      <c r="N181" s="113"/>
      <c r="O181" s="113"/>
      <c r="P181" s="113"/>
      <c r="Q181" s="113"/>
    </row>
    <row r="182" spans="1:17" ht="12.75">
      <c r="A182" s="203"/>
      <c r="B182" s="163"/>
      <c r="C182" s="149" t="s">
        <v>156</v>
      </c>
      <c r="D182" s="143"/>
      <c r="E182" s="143"/>
      <c r="F182" s="143"/>
      <c r="G182" s="143"/>
      <c r="H182" s="143"/>
      <c r="I182" s="143"/>
      <c r="J182" s="143"/>
      <c r="K182" s="143"/>
      <c r="L182" s="143"/>
      <c r="M182" s="143"/>
      <c r="N182" s="143"/>
      <c r="O182" s="143"/>
      <c r="P182" s="143"/>
      <c r="Q182" s="144"/>
    </row>
    <row r="183" spans="1:17" ht="12.75">
      <c r="A183" s="166"/>
      <c r="B183" s="147"/>
      <c r="C183" s="149" t="s">
        <v>106</v>
      </c>
      <c r="D183" s="143"/>
      <c r="E183" s="143"/>
      <c r="F183" s="143"/>
      <c r="G183" s="143"/>
      <c r="H183" s="143"/>
      <c r="I183" s="143"/>
      <c r="J183" s="143"/>
      <c r="K183" s="143"/>
      <c r="L183" s="143"/>
      <c r="M183" s="143"/>
      <c r="N183" s="143"/>
      <c r="O183" s="143"/>
      <c r="P183" s="143"/>
      <c r="Q183" s="144"/>
    </row>
    <row r="184" spans="1:17" ht="12.75">
      <c r="A184" s="61" t="s">
        <v>150</v>
      </c>
      <c r="B184" s="58" t="s">
        <v>124</v>
      </c>
      <c r="C184" s="118">
        <v>0</v>
      </c>
      <c r="D184" s="118">
        <v>1</v>
      </c>
      <c r="E184" s="118">
        <v>2</v>
      </c>
      <c r="F184" s="118">
        <v>3</v>
      </c>
      <c r="G184" s="118">
        <v>4</v>
      </c>
      <c r="H184" s="118">
        <v>5</v>
      </c>
      <c r="I184" s="118">
        <v>6</v>
      </c>
      <c r="J184" s="118">
        <v>7</v>
      </c>
      <c r="K184" s="118">
        <v>8</v>
      </c>
      <c r="L184" s="118">
        <v>9</v>
      </c>
      <c r="M184" s="118">
        <v>10</v>
      </c>
      <c r="N184" s="118">
        <v>11</v>
      </c>
      <c r="O184" s="118">
        <v>12</v>
      </c>
      <c r="P184" s="118">
        <v>13</v>
      </c>
      <c r="Q184" s="118">
        <v>14</v>
      </c>
    </row>
    <row r="185" spans="1:17" ht="12.75">
      <c r="A185" s="55" t="s">
        <v>109</v>
      </c>
      <c r="B185" s="56">
        <f>SUM(B186:B190)</f>
        <v>1490</v>
      </c>
      <c r="C185" s="133">
        <f t="shared" ref="C185:C190" si="58">C173/B173</f>
        <v>0.58389261744966447</v>
      </c>
      <c r="D185" s="133">
        <f t="shared" ref="D185:D190" si="59">D173/B173</f>
        <v>0.53718120805369129</v>
      </c>
      <c r="E185" s="133">
        <f t="shared" ref="E185:E190" si="60">E173/B173</f>
        <v>0.49957852348993292</v>
      </c>
      <c r="F185" s="133">
        <f t="shared" ref="F185:F190" si="61">F173/B173</f>
        <v>0.46460802684563762</v>
      </c>
      <c r="G185" s="133">
        <f t="shared" ref="G185:G190" si="62">G173/B173</f>
        <v>0.45531586630872484</v>
      </c>
      <c r="H185" s="133">
        <f t="shared" ref="H185:H190" si="63">H173/B173</f>
        <v>0.42799691433020132</v>
      </c>
      <c r="I185" s="133">
        <f t="shared" ref="I185:I190" si="64">I173/B173</f>
        <v>0.41943697604359725</v>
      </c>
      <c r="J185" s="133">
        <f t="shared" ref="J185:J190" si="65">J173/B173</f>
        <v>0.38588201796010946</v>
      </c>
      <c r="K185" s="133">
        <f t="shared" ref="K185:K190" si="66">K173/B173</f>
        <v>0.34729381616409849</v>
      </c>
      <c r="L185" s="133">
        <f t="shared" ref="L185:L190" si="67">L173/B173</f>
        <v>0.34034793984081652</v>
      </c>
      <c r="M185" s="133">
        <f t="shared" ref="M185:M190" si="68">M173/B173</f>
        <v>0.33694446044240839</v>
      </c>
      <c r="N185" s="133">
        <f t="shared" ref="N185:N190" si="69">N173/B173</f>
        <v>0.32009723742028795</v>
      </c>
      <c r="O185" s="133">
        <f t="shared" ref="O185:O190" si="70">O173/B173</f>
        <v>0.29128848605246205</v>
      </c>
      <c r="P185" s="133">
        <f t="shared" ref="P185:P190" si="71">P173/B173</f>
        <v>0.26215963744721582</v>
      </c>
      <c r="Q185" s="133">
        <f t="shared" ref="Q185:Q190" si="72">Q173/B173</f>
        <v>0.25691644469827146</v>
      </c>
    </row>
    <row r="186" spans="1:17" ht="12.75">
      <c r="A186" s="59" t="s">
        <v>151</v>
      </c>
      <c r="B186" s="60">
        <v>250</v>
      </c>
      <c r="C186" s="130">
        <f t="shared" si="58"/>
        <v>0.52800000000000002</v>
      </c>
      <c r="D186" s="130">
        <f t="shared" si="59"/>
        <v>0.48576000000000003</v>
      </c>
      <c r="E186" s="130">
        <f t="shared" si="60"/>
        <v>0.46147200000000005</v>
      </c>
      <c r="F186" s="130">
        <f t="shared" si="61"/>
        <v>0.43839840000000002</v>
      </c>
      <c r="G186" s="130">
        <f t="shared" si="62"/>
        <v>0.41647847999999998</v>
      </c>
      <c r="H186" s="130">
        <f t="shared" si="63"/>
        <v>0.39565455599999994</v>
      </c>
      <c r="I186" s="130">
        <f t="shared" si="64"/>
        <v>0.37587182819999992</v>
      </c>
      <c r="J186" s="130">
        <f t="shared" si="65"/>
        <v>0.35707823678999989</v>
      </c>
      <c r="K186" s="130">
        <f t="shared" si="66"/>
        <v>0.33922432495049987</v>
      </c>
      <c r="L186" s="130">
        <f t="shared" si="67"/>
        <v>0.32226310870297487</v>
      </c>
      <c r="M186" s="130">
        <f t="shared" si="68"/>
        <v>0.30614995326782612</v>
      </c>
      <c r="N186" s="130">
        <f t="shared" si="69"/>
        <v>0.29084245560443478</v>
      </c>
      <c r="O186" s="130">
        <f t="shared" si="70"/>
        <v>0.27630033282421307</v>
      </c>
      <c r="P186" s="130">
        <f t="shared" si="71"/>
        <v>0.26248531618300242</v>
      </c>
      <c r="Q186" s="130">
        <f t="shared" si="72"/>
        <v>0.24936105037385226</v>
      </c>
    </row>
    <row r="187" spans="1:17" ht="12.75">
      <c r="A187" s="59" t="s">
        <v>152</v>
      </c>
      <c r="B187" s="60">
        <v>310</v>
      </c>
      <c r="C187" s="130">
        <f t="shared" si="58"/>
        <v>0.52258064516129032</v>
      </c>
      <c r="D187" s="130">
        <f t="shared" si="59"/>
        <v>0.49645161290322581</v>
      </c>
      <c r="E187" s="130">
        <f t="shared" si="60"/>
        <v>0.47162903225806457</v>
      </c>
      <c r="F187" s="130">
        <f t="shared" si="61"/>
        <v>0.44804758064516137</v>
      </c>
      <c r="G187" s="130">
        <f t="shared" si="62"/>
        <v>0.42564520161290326</v>
      </c>
      <c r="H187" s="130">
        <f t="shared" si="63"/>
        <v>0.4043629415322581</v>
      </c>
      <c r="I187" s="130">
        <f t="shared" si="64"/>
        <v>0.38414479445564514</v>
      </c>
      <c r="J187" s="130">
        <f t="shared" si="65"/>
        <v>0.36493755473286288</v>
      </c>
      <c r="K187" s="130">
        <f t="shared" si="66"/>
        <v>0.34669067699621969</v>
      </c>
      <c r="L187" s="130">
        <f t="shared" si="67"/>
        <v>0.32935614314640871</v>
      </c>
      <c r="M187" s="130">
        <f t="shared" si="68"/>
        <v>0.31288833598908827</v>
      </c>
      <c r="N187" s="130">
        <f t="shared" si="69"/>
        <v>0.29724391918963383</v>
      </c>
      <c r="O187" s="130">
        <f t="shared" si="70"/>
        <v>0.28238172323015209</v>
      </c>
      <c r="P187" s="130">
        <f t="shared" si="71"/>
        <v>0.2682626370686445</v>
      </c>
      <c r="Q187" s="130">
        <f t="shared" si="72"/>
        <v>0.25484950521521227</v>
      </c>
    </row>
    <row r="188" spans="1:17" ht="12.75">
      <c r="A188" s="59" t="s">
        <v>153</v>
      </c>
      <c r="B188" s="60">
        <v>390</v>
      </c>
      <c r="C188" s="130">
        <f t="shared" si="58"/>
        <v>0.67179487179487174</v>
      </c>
      <c r="D188" s="130">
        <f t="shared" si="59"/>
        <v>0.62476923076923085</v>
      </c>
      <c r="E188" s="130">
        <f t="shared" si="60"/>
        <v>0.5935307692307692</v>
      </c>
      <c r="F188" s="130">
        <f t="shared" si="61"/>
        <v>0.56385423076923069</v>
      </c>
      <c r="G188" s="130">
        <f t="shared" si="62"/>
        <v>0.53566151923076921</v>
      </c>
      <c r="H188" s="130">
        <f t="shared" si="63"/>
        <v>0.48209536730769226</v>
      </c>
      <c r="I188" s="130">
        <f t="shared" si="64"/>
        <v>0.45316964526923076</v>
      </c>
      <c r="J188" s="130">
        <f t="shared" si="65"/>
        <v>0.43051116300576919</v>
      </c>
      <c r="K188" s="130">
        <f t="shared" si="66"/>
        <v>0.40898560485548069</v>
      </c>
      <c r="L188" s="130">
        <f t="shared" si="67"/>
        <v>0.38853632461270665</v>
      </c>
      <c r="M188" s="130">
        <f t="shared" si="68"/>
        <v>0.36910950838207124</v>
      </c>
      <c r="N188" s="130">
        <f t="shared" si="69"/>
        <v>0.35065403296296765</v>
      </c>
      <c r="O188" s="130">
        <f t="shared" si="70"/>
        <v>0.3331213313148193</v>
      </c>
      <c r="P188" s="130">
        <f t="shared" si="71"/>
        <v>0.31646526474907832</v>
      </c>
      <c r="Q188" s="130">
        <f t="shared" si="72"/>
        <v>0.3006420015116244</v>
      </c>
    </row>
    <row r="189" spans="1:17" ht="12.75">
      <c r="A189" s="59" t="s">
        <v>154</v>
      </c>
      <c r="B189" s="60">
        <v>430</v>
      </c>
      <c r="C189" s="130">
        <f t="shared" si="58"/>
        <v>0.65454545454545454</v>
      </c>
      <c r="D189" s="130">
        <f t="shared" si="59"/>
        <v>0.60872727272727278</v>
      </c>
      <c r="E189" s="130">
        <f t="shared" si="60"/>
        <v>0.57829090909090908</v>
      </c>
      <c r="F189" s="130">
        <f t="shared" si="61"/>
        <v>0.54937636363636355</v>
      </c>
      <c r="G189" s="130">
        <f t="shared" si="62"/>
        <v>0.52190754545454543</v>
      </c>
      <c r="H189" s="130">
        <f t="shared" si="63"/>
        <v>0.49581216818181811</v>
      </c>
      <c r="I189" s="130">
        <f t="shared" si="64"/>
        <v>0.47102155977272719</v>
      </c>
      <c r="J189" s="130">
        <f t="shared" si="65"/>
        <v>0.44747048178409082</v>
      </c>
      <c r="K189" s="130">
        <f t="shared" si="66"/>
        <v>0.4250969576948862</v>
      </c>
      <c r="L189" s="130">
        <f t="shared" si="67"/>
        <v>0.4038421098101419</v>
      </c>
      <c r="M189" s="130">
        <f t="shared" si="68"/>
        <v>0.38365000431963475</v>
      </c>
      <c r="N189" s="130">
        <f t="shared" si="69"/>
        <v>0.36446750410365303</v>
      </c>
      <c r="O189" s="130">
        <f t="shared" si="70"/>
        <v>0.34624412889847034</v>
      </c>
      <c r="P189" s="130">
        <f t="shared" si="71"/>
        <v>0.32893192245354674</v>
      </c>
      <c r="Q189" s="130">
        <f t="shared" si="72"/>
        <v>0.3124853263308694</v>
      </c>
    </row>
    <row r="190" spans="1:17" ht="12.75">
      <c r="A190" s="59" t="s">
        <v>155</v>
      </c>
      <c r="B190" s="60">
        <v>110</v>
      </c>
      <c r="C190" s="130">
        <f t="shared" si="58"/>
        <v>0.24651162790697675</v>
      </c>
      <c r="D190" s="130">
        <f t="shared" si="59"/>
        <v>0.23911627906976743</v>
      </c>
      <c r="E190" s="130">
        <f t="shared" si="60"/>
        <v>0.22716046511627905</v>
      </c>
      <c r="F190" s="130">
        <f t="shared" si="61"/>
        <v>0.2158024418604651</v>
      </c>
      <c r="G190" s="130">
        <f t="shared" si="62"/>
        <v>0.20501231976744183</v>
      </c>
      <c r="H190" s="130">
        <f t="shared" si="63"/>
        <v>0.19476170377906973</v>
      </c>
      <c r="I190" s="130">
        <f t="shared" si="64"/>
        <v>0.18502361859011626</v>
      </c>
      <c r="J190" s="130">
        <f t="shared" si="65"/>
        <v>0.17577243766061043</v>
      </c>
      <c r="K190" s="130">
        <f t="shared" si="66"/>
        <v>0.1669838157775799</v>
      </c>
      <c r="L190" s="130">
        <f t="shared" si="67"/>
        <v>0.1586346249887009</v>
      </c>
      <c r="M190" s="130">
        <f t="shared" si="68"/>
        <v>0.15070289373926582</v>
      </c>
      <c r="N190" s="130">
        <f t="shared" si="69"/>
        <v>0.14316774905230253</v>
      </c>
      <c r="O190" s="130">
        <f t="shared" si="70"/>
        <v>0.13600936159968741</v>
      </c>
      <c r="P190" s="130">
        <f t="shared" si="71"/>
        <v>0.12920889351970302</v>
      </c>
      <c r="Q190" s="130">
        <f t="shared" si="72"/>
        <v>0.12274844884371786</v>
      </c>
    </row>
    <row r="191" spans="1:17" ht="12.75">
      <c r="A191" s="202" t="s">
        <v>86</v>
      </c>
      <c r="B191" s="147"/>
      <c r="C191" s="131">
        <f>AVERAGE(C185:C190)</f>
        <v>0.53455420280970956</v>
      </c>
      <c r="D191" s="131">
        <f>AVERAGE(D185:D190)</f>
        <v>0.498667600587198</v>
      </c>
      <c r="E191" s="131">
        <f t="shared" ref="E191:Q191" si="73">AVERAGE(E185:E190)</f>
        <v>0.47194361653099243</v>
      </c>
      <c r="F191" s="131">
        <f t="shared" si="73"/>
        <v>0.44668117395947643</v>
      </c>
      <c r="G191" s="131">
        <f t="shared" si="73"/>
        <v>0.42667015539573078</v>
      </c>
      <c r="H191" s="131">
        <f t="shared" si="73"/>
        <v>0.40011394185517329</v>
      </c>
      <c r="I191" s="131">
        <f t="shared" si="73"/>
        <v>0.38144473705521942</v>
      </c>
      <c r="J191" s="131">
        <f t="shared" si="73"/>
        <v>0.36027531532224044</v>
      </c>
      <c r="K191" s="131">
        <f t="shared" si="73"/>
        <v>0.33904586607312748</v>
      </c>
      <c r="L191" s="131">
        <f t="shared" si="73"/>
        <v>0.32383004185029157</v>
      </c>
      <c r="M191" s="131">
        <f t="shared" si="73"/>
        <v>0.30990752602338245</v>
      </c>
      <c r="N191" s="131">
        <f t="shared" si="73"/>
        <v>0.29441214972221325</v>
      </c>
      <c r="O191" s="131">
        <f t="shared" si="73"/>
        <v>0.27755756065330067</v>
      </c>
      <c r="P191" s="131">
        <f t="shared" si="73"/>
        <v>0.26125227857019845</v>
      </c>
      <c r="Q191" s="131">
        <f t="shared" si="73"/>
        <v>0.2495004628289246</v>
      </c>
    </row>
    <row r="194" spans="2:17" ht="12.75">
      <c r="B194" s="204"/>
      <c r="C194" s="190"/>
      <c r="D194" s="190"/>
      <c r="E194" s="190"/>
      <c r="F194" s="190"/>
      <c r="G194" s="190"/>
      <c r="H194" s="190"/>
      <c r="I194" s="190"/>
      <c r="J194" s="163"/>
      <c r="L194" s="206" t="s">
        <v>157</v>
      </c>
      <c r="M194" s="163"/>
      <c r="N194" s="207" t="s">
        <v>154</v>
      </c>
      <c r="O194" s="190"/>
      <c r="P194" s="163"/>
    </row>
    <row r="195" spans="2:17" ht="12.75">
      <c r="B195" s="164"/>
      <c r="C195" s="205"/>
      <c r="D195" s="205"/>
      <c r="E195" s="205"/>
      <c r="F195" s="205"/>
      <c r="G195" s="205"/>
      <c r="H195" s="205"/>
      <c r="I195" s="205"/>
      <c r="J195" s="165"/>
      <c r="L195" s="166"/>
      <c r="M195" s="147"/>
      <c r="N195" s="166"/>
      <c r="O195" s="146"/>
      <c r="P195" s="147"/>
    </row>
    <row r="196" spans="2:17" ht="12.75">
      <c r="B196" s="164"/>
      <c r="C196" s="205"/>
      <c r="D196" s="205"/>
      <c r="E196" s="205"/>
      <c r="F196" s="205"/>
      <c r="G196" s="205"/>
      <c r="H196" s="205"/>
      <c r="I196" s="205"/>
      <c r="J196" s="165"/>
      <c r="L196" s="132"/>
      <c r="M196" s="132"/>
    </row>
    <row r="197" spans="2:17" ht="12.75">
      <c r="B197" s="164"/>
      <c r="C197" s="205"/>
      <c r="D197" s="205"/>
      <c r="E197" s="205"/>
      <c r="F197" s="205"/>
      <c r="G197" s="205"/>
      <c r="H197" s="205"/>
      <c r="I197" s="205"/>
      <c r="J197" s="165"/>
      <c r="L197" s="206" t="s">
        <v>158</v>
      </c>
      <c r="M197" s="163"/>
      <c r="N197" s="207" t="s">
        <v>151</v>
      </c>
      <c r="O197" s="190"/>
      <c r="P197" s="163"/>
    </row>
    <row r="198" spans="2:17" ht="12.75">
      <c r="B198" s="164"/>
      <c r="C198" s="205"/>
      <c r="D198" s="205"/>
      <c r="E198" s="205"/>
      <c r="F198" s="205"/>
      <c r="G198" s="205"/>
      <c r="H198" s="205"/>
      <c r="I198" s="205"/>
      <c r="J198" s="165"/>
      <c r="L198" s="166"/>
      <c r="M198" s="147"/>
      <c r="N198" s="166"/>
      <c r="O198" s="146"/>
      <c r="P198" s="147"/>
    </row>
    <row r="199" spans="2:17" ht="12.75">
      <c r="B199" s="164"/>
      <c r="C199" s="205"/>
      <c r="D199" s="205"/>
      <c r="E199" s="205"/>
      <c r="F199" s="205"/>
      <c r="G199" s="205"/>
      <c r="H199" s="205"/>
      <c r="I199" s="205"/>
      <c r="J199" s="165"/>
      <c r="L199" s="132"/>
      <c r="M199" s="132"/>
    </row>
    <row r="200" spans="2:17" ht="12.75">
      <c r="B200" s="164"/>
      <c r="C200" s="205"/>
      <c r="D200" s="205"/>
      <c r="E200" s="205"/>
      <c r="F200" s="205"/>
      <c r="G200" s="205"/>
      <c r="H200" s="205"/>
      <c r="I200" s="205"/>
      <c r="J200" s="165"/>
      <c r="L200" s="206" t="s">
        <v>121</v>
      </c>
      <c r="M200" s="163"/>
      <c r="N200" s="208" t="s">
        <v>259</v>
      </c>
      <c r="O200" s="209"/>
      <c r="P200" s="209"/>
      <c r="Q200" s="210"/>
    </row>
    <row r="201" spans="2:17" ht="12.75">
      <c r="B201" s="164"/>
      <c r="C201" s="205"/>
      <c r="D201" s="205"/>
      <c r="E201" s="205"/>
      <c r="F201" s="205"/>
      <c r="G201" s="205"/>
      <c r="H201" s="205"/>
      <c r="I201" s="205"/>
      <c r="J201" s="165"/>
      <c r="L201" s="164"/>
      <c r="M201" s="165"/>
      <c r="N201" s="211"/>
      <c r="O201" s="212"/>
      <c r="P201" s="212"/>
      <c r="Q201" s="213"/>
    </row>
    <row r="202" spans="2:17" ht="12.75">
      <c r="B202" s="164"/>
      <c r="C202" s="205"/>
      <c r="D202" s="205"/>
      <c r="E202" s="205"/>
      <c r="F202" s="205"/>
      <c r="G202" s="205"/>
      <c r="H202" s="205"/>
      <c r="I202" s="205"/>
      <c r="J202" s="165"/>
      <c r="L202" s="164"/>
      <c r="M202" s="165"/>
      <c r="N202" s="211"/>
      <c r="O202" s="212"/>
      <c r="P202" s="212"/>
      <c r="Q202" s="213"/>
    </row>
    <row r="203" spans="2:17" ht="12.75">
      <c r="B203" s="164"/>
      <c r="C203" s="205"/>
      <c r="D203" s="205"/>
      <c r="E203" s="205"/>
      <c r="F203" s="205"/>
      <c r="G203" s="205"/>
      <c r="H203" s="205"/>
      <c r="I203" s="205"/>
      <c r="J203" s="165"/>
      <c r="L203" s="164"/>
      <c r="M203" s="165"/>
      <c r="N203" s="211"/>
      <c r="O203" s="212"/>
      <c r="P203" s="212"/>
      <c r="Q203" s="213"/>
    </row>
    <row r="204" spans="2:17" ht="12.75">
      <c r="B204" s="164"/>
      <c r="C204" s="205"/>
      <c r="D204" s="205"/>
      <c r="E204" s="205"/>
      <c r="F204" s="205"/>
      <c r="G204" s="205"/>
      <c r="H204" s="205"/>
      <c r="I204" s="205"/>
      <c r="J204" s="165"/>
      <c r="L204" s="164"/>
      <c r="M204" s="165"/>
      <c r="N204" s="211"/>
      <c r="O204" s="212"/>
      <c r="P204" s="212"/>
      <c r="Q204" s="213"/>
    </row>
    <row r="205" spans="2:17" ht="12.75">
      <c r="B205" s="164"/>
      <c r="C205" s="205"/>
      <c r="D205" s="205"/>
      <c r="E205" s="205"/>
      <c r="F205" s="205"/>
      <c r="G205" s="205"/>
      <c r="H205" s="205"/>
      <c r="I205" s="205"/>
      <c r="J205" s="165"/>
      <c r="L205" s="166"/>
      <c r="M205" s="147"/>
      <c r="N205" s="214"/>
      <c r="O205" s="215"/>
      <c r="P205" s="215"/>
      <c r="Q205" s="216"/>
    </row>
    <row r="206" spans="2:17" ht="12.75">
      <c r="B206" s="164"/>
      <c r="C206" s="205"/>
      <c r="D206" s="205"/>
      <c r="E206" s="205"/>
      <c r="F206" s="205"/>
      <c r="G206" s="205"/>
      <c r="H206" s="205"/>
      <c r="I206" s="205"/>
      <c r="J206" s="165"/>
    </row>
    <row r="207" spans="2:17" ht="12.75">
      <c r="B207" s="164"/>
      <c r="C207" s="205"/>
      <c r="D207" s="205"/>
      <c r="E207" s="205"/>
      <c r="F207" s="205"/>
      <c r="G207" s="205"/>
      <c r="H207" s="205"/>
      <c r="I207" s="205"/>
      <c r="J207" s="165"/>
    </row>
    <row r="208" spans="2:17" ht="12.75">
      <c r="B208" s="164"/>
      <c r="C208" s="205"/>
      <c r="D208" s="205"/>
      <c r="E208" s="205"/>
      <c r="F208" s="205"/>
      <c r="G208" s="205"/>
      <c r="H208" s="205"/>
      <c r="I208" s="205"/>
      <c r="J208" s="165"/>
    </row>
    <row r="209" spans="2:10" ht="12.75">
      <c r="B209" s="164"/>
      <c r="C209" s="205"/>
      <c r="D209" s="205"/>
      <c r="E209" s="205"/>
      <c r="F209" s="205"/>
      <c r="G209" s="205"/>
      <c r="H209" s="205"/>
      <c r="I209" s="205"/>
      <c r="J209" s="165"/>
    </row>
    <row r="210" spans="2:10" ht="12.75">
      <c r="B210" s="164"/>
      <c r="C210" s="205"/>
      <c r="D210" s="205"/>
      <c r="E210" s="205"/>
      <c r="F210" s="205"/>
      <c r="G210" s="205"/>
      <c r="H210" s="205"/>
      <c r="I210" s="205"/>
      <c r="J210" s="165"/>
    </row>
    <row r="211" spans="2:10" ht="12.75">
      <c r="B211" s="164"/>
      <c r="C211" s="205"/>
      <c r="D211" s="205"/>
      <c r="E211" s="205"/>
      <c r="F211" s="205"/>
      <c r="G211" s="205"/>
      <c r="H211" s="205"/>
      <c r="I211" s="205"/>
      <c r="J211" s="165"/>
    </row>
    <row r="212" spans="2:10" ht="12.75">
      <c r="B212" s="164"/>
      <c r="C212" s="205"/>
      <c r="D212" s="205"/>
      <c r="E212" s="205"/>
      <c r="F212" s="205"/>
      <c r="G212" s="205"/>
      <c r="H212" s="205"/>
      <c r="I212" s="205"/>
      <c r="J212" s="165"/>
    </row>
    <row r="213" spans="2:10" ht="12.75">
      <c r="B213" s="164"/>
      <c r="C213" s="205"/>
      <c r="D213" s="205"/>
      <c r="E213" s="205"/>
      <c r="F213" s="205"/>
      <c r="G213" s="205"/>
      <c r="H213" s="205"/>
      <c r="I213" s="205"/>
      <c r="J213" s="165"/>
    </row>
    <row r="214" spans="2:10" ht="12.75">
      <c r="B214" s="166"/>
      <c r="C214" s="146"/>
      <c r="D214" s="146"/>
      <c r="E214" s="146"/>
      <c r="F214" s="146"/>
      <c r="G214" s="146"/>
      <c r="H214" s="146"/>
      <c r="I214" s="146"/>
      <c r="J214" s="147"/>
    </row>
  </sheetData>
  <mergeCells count="65">
    <mergeCell ref="A118:B119"/>
    <mergeCell ref="C118:Q118"/>
    <mergeCell ref="C119:Q119"/>
    <mergeCell ref="A132:B133"/>
    <mergeCell ref="C132:Q132"/>
    <mergeCell ref="C133:Q133"/>
    <mergeCell ref="A143:B143"/>
    <mergeCell ref="B146:J166"/>
    <mergeCell ref="L147:M148"/>
    <mergeCell ref="N147:P148"/>
    <mergeCell ref="L150:M151"/>
    <mergeCell ref="N150:P151"/>
    <mergeCell ref="L153:M158"/>
    <mergeCell ref="N153:Q158"/>
    <mergeCell ref="A1:Q1"/>
    <mergeCell ref="A2:M2"/>
    <mergeCell ref="A3:M3"/>
    <mergeCell ref="A4:M4"/>
    <mergeCell ref="A5:M5"/>
    <mergeCell ref="A6:M6"/>
    <mergeCell ref="A7:M7"/>
    <mergeCell ref="A8:M8"/>
    <mergeCell ref="A9:M9"/>
    <mergeCell ref="A11:B12"/>
    <mergeCell ref="C11:Q11"/>
    <mergeCell ref="C12:Q12"/>
    <mergeCell ref="C26:Q26"/>
    <mergeCell ref="C27:Q27"/>
    <mergeCell ref="L48:M53"/>
    <mergeCell ref="N48:Q53"/>
    <mergeCell ref="A26:B27"/>
    <mergeCell ref="A38:B38"/>
    <mergeCell ref="B41:J61"/>
    <mergeCell ref="L42:M43"/>
    <mergeCell ref="N42:P43"/>
    <mergeCell ref="L45:M46"/>
    <mergeCell ref="N45:P46"/>
    <mergeCell ref="A65:B66"/>
    <mergeCell ref="C65:Q65"/>
    <mergeCell ref="C66:Q66"/>
    <mergeCell ref="A80:B81"/>
    <mergeCell ref="C80:Q80"/>
    <mergeCell ref="C81:Q81"/>
    <mergeCell ref="A92:B92"/>
    <mergeCell ref="B95:J115"/>
    <mergeCell ref="L96:M97"/>
    <mergeCell ref="N96:P97"/>
    <mergeCell ref="L99:M100"/>
    <mergeCell ref="N99:P100"/>
    <mergeCell ref="L102:M107"/>
    <mergeCell ref="N102:Q107"/>
    <mergeCell ref="B194:J214"/>
    <mergeCell ref="L194:M195"/>
    <mergeCell ref="N194:P195"/>
    <mergeCell ref="L197:M198"/>
    <mergeCell ref="N197:P198"/>
    <mergeCell ref="L200:M205"/>
    <mergeCell ref="N200:Q205"/>
    <mergeCell ref="A191:B191"/>
    <mergeCell ref="A170:B171"/>
    <mergeCell ref="C170:Q170"/>
    <mergeCell ref="C171:Q171"/>
    <mergeCell ref="A182:B183"/>
    <mergeCell ref="C182:Q182"/>
    <mergeCell ref="C183:Q18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74"/>
  <sheetViews>
    <sheetView showGridLines="0" topLeftCell="A34" zoomScale="70" zoomScaleNormal="70" workbookViewId="0">
      <selection activeCell="C46" sqref="C46"/>
    </sheetView>
  </sheetViews>
  <sheetFormatPr defaultColWidth="14.42578125" defaultRowHeight="15.75" customHeight="1"/>
  <cols>
    <col min="1" max="3" width="14.42578125" style="116"/>
    <col min="4" max="4" width="15" style="116" customWidth="1"/>
    <col min="5" max="5" width="21.140625" style="116" customWidth="1"/>
    <col min="6" max="6" width="16" style="116" customWidth="1"/>
    <col min="7" max="7" width="18.5703125" style="116" customWidth="1"/>
    <col min="8" max="16384" width="14.42578125" style="116"/>
  </cols>
  <sheetData>
    <row r="1" spans="1:13" ht="15.75" customHeight="1">
      <c r="A1" s="230" t="s">
        <v>14</v>
      </c>
      <c r="B1" s="143"/>
      <c r="C1" s="143"/>
      <c r="D1" s="143"/>
      <c r="E1" s="143"/>
      <c r="F1" s="143"/>
      <c r="G1" s="143"/>
      <c r="H1" s="143"/>
      <c r="I1" s="143"/>
      <c r="J1" s="143"/>
      <c r="K1" s="143"/>
      <c r="L1" s="143"/>
      <c r="M1" s="144"/>
    </row>
    <row r="2" spans="1:13" ht="12.75">
      <c r="A2" s="231" t="s">
        <v>159</v>
      </c>
      <c r="B2" s="143"/>
      <c r="C2" s="143"/>
      <c r="D2" s="143"/>
      <c r="E2" s="143"/>
      <c r="F2" s="143"/>
      <c r="G2" s="143"/>
      <c r="H2" s="144"/>
      <c r="K2" s="113"/>
      <c r="L2" s="113"/>
      <c r="M2" s="113"/>
    </row>
    <row r="3" spans="1:13" ht="12.75">
      <c r="A3" s="225" t="s">
        <v>160</v>
      </c>
      <c r="B3" s="190"/>
      <c r="C3" s="190"/>
      <c r="D3" s="190"/>
      <c r="E3" s="190"/>
      <c r="F3" s="190"/>
      <c r="G3" s="190"/>
      <c r="H3" s="163"/>
      <c r="K3" s="113"/>
      <c r="L3" s="113"/>
      <c r="M3" s="113"/>
    </row>
    <row r="4" spans="1:13" ht="12.75">
      <c r="A4" s="226" t="s">
        <v>20</v>
      </c>
      <c r="B4" s="190"/>
      <c r="C4" s="190"/>
      <c r="D4" s="190"/>
      <c r="E4" s="190"/>
      <c r="F4" s="190"/>
      <c r="G4" s="190"/>
      <c r="H4" s="163"/>
      <c r="K4" s="113"/>
      <c r="L4" s="113"/>
      <c r="M4" s="113"/>
    </row>
    <row r="5" spans="1:13" ht="12.75">
      <c r="A5" s="232" t="s">
        <v>161</v>
      </c>
      <c r="B5" s="205"/>
      <c r="C5" s="205"/>
      <c r="D5" s="205"/>
      <c r="E5" s="205"/>
      <c r="F5" s="205"/>
      <c r="G5" s="205"/>
      <c r="H5" s="165"/>
      <c r="K5" s="113"/>
      <c r="L5" s="113"/>
      <c r="M5" s="113"/>
    </row>
    <row r="6" spans="1:13" ht="12.75">
      <c r="A6" s="232" t="s">
        <v>162</v>
      </c>
      <c r="B6" s="205"/>
      <c r="C6" s="205"/>
      <c r="D6" s="205"/>
      <c r="E6" s="205"/>
      <c r="F6" s="205"/>
      <c r="G6" s="205"/>
      <c r="H6" s="165"/>
      <c r="K6" s="113"/>
      <c r="L6" s="113"/>
      <c r="M6" s="113"/>
    </row>
    <row r="7" spans="1:13" ht="12.75">
      <c r="A7" s="232" t="s">
        <v>163</v>
      </c>
      <c r="B7" s="205"/>
      <c r="C7" s="205"/>
      <c r="D7" s="205"/>
      <c r="E7" s="205"/>
      <c r="F7" s="205"/>
      <c r="G7" s="205"/>
      <c r="H7" s="165"/>
      <c r="K7" s="113"/>
      <c r="L7" s="113"/>
      <c r="M7" s="113"/>
    </row>
    <row r="8" spans="1:13" ht="12.75">
      <c r="A8" s="232" t="s">
        <v>164</v>
      </c>
      <c r="B8" s="205"/>
      <c r="C8" s="205"/>
      <c r="D8" s="205"/>
      <c r="E8" s="205"/>
      <c r="F8" s="205"/>
      <c r="G8" s="205"/>
      <c r="H8" s="165"/>
      <c r="K8" s="113"/>
      <c r="L8" s="113"/>
      <c r="M8" s="113"/>
    </row>
    <row r="9" spans="1:13" ht="12.75">
      <c r="A9" s="222" t="s">
        <v>165</v>
      </c>
      <c r="B9" s="146"/>
      <c r="C9" s="146"/>
      <c r="D9" s="146"/>
      <c r="E9" s="146"/>
      <c r="F9" s="146"/>
      <c r="G9" s="146"/>
      <c r="H9" s="147"/>
      <c r="K9" s="113"/>
      <c r="L9" s="113"/>
      <c r="M9" s="113"/>
    </row>
    <row r="10" spans="1:13" ht="12.75">
      <c r="A10" s="233" t="s">
        <v>104</v>
      </c>
      <c r="B10" s="143"/>
      <c r="C10" s="143"/>
      <c r="D10" s="143"/>
      <c r="E10" s="143"/>
      <c r="F10" s="143"/>
      <c r="G10" s="143"/>
      <c r="H10" s="144"/>
      <c r="I10" s="134"/>
      <c r="J10" s="134"/>
      <c r="K10" s="134"/>
      <c r="L10" s="134"/>
      <c r="M10" s="134"/>
    </row>
    <row r="11" spans="1:13" ht="15.75" customHeight="1">
      <c r="A11" s="227" t="s">
        <v>81</v>
      </c>
      <c r="B11" s="146"/>
      <c r="C11" s="146"/>
      <c r="D11" s="146"/>
      <c r="E11" s="146"/>
      <c r="F11" s="146"/>
      <c r="G11" s="146"/>
      <c r="H11" s="146"/>
      <c r="I11" s="146"/>
      <c r="J11" s="146"/>
      <c r="K11" s="146"/>
      <c r="L11" s="146"/>
      <c r="M11" s="147"/>
    </row>
    <row r="12" spans="1:13" ht="30">
      <c r="A12" s="66" t="s">
        <v>82</v>
      </c>
      <c r="B12" s="67" t="s">
        <v>166</v>
      </c>
      <c r="C12" s="228" t="s">
        <v>84</v>
      </c>
      <c r="D12" s="143"/>
      <c r="E12" s="143"/>
      <c r="F12" s="143"/>
      <c r="G12" s="143"/>
      <c r="H12" s="143"/>
      <c r="I12" s="143"/>
      <c r="J12" s="143"/>
      <c r="K12" s="143"/>
      <c r="L12" s="143"/>
      <c r="M12" s="144"/>
    </row>
    <row r="13" spans="1:13" ht="12.75">
      <c r="A13" s="135"/>
      <c r="B13" s="136"/>
      <c r="C13" s="68">
        <v>0</v>
      </c>
      <c r="D13" s="68">
        <v>1</v>
      </c>
      <c r="E13" s="68">
        <v>2</v>
      </c>
      <c r="F13" s="68">
        <v>3</v>
      </c>
      <c r="G13" s="68">
        <v>4</v>
      </c>
      <c r="H13" s="68">
        <v>5</v>
      </c>
      <c r="I13" s="68">
        <v>6</v>
      </c>
      <c r="J13" s="68">
        <v>7</v>
      </c>
      <c r="K13" s="68">
        <v>8</v>
      </c>
      <c r="L13" s="68">
        <v>9</v>
      </c>
      <c r="M13" s="68">
        <v>10</v>
      </c>
    </row>
    <row r="14" spans="1:13" ht="12.75">
      <c r="A14" s="69">
        <v>43617</v>
      </c>
      <c r="B14" s="70">
        <v>240</v>
      </c>
      <c r="C14" s="71">
        <v>237</v>
      </c>
      <c r="D14" s="72">
        <f>224*0.8</f>
        <v>179.20000000000002</v>
      </c>
      <c r="E14" s="72">
        <f>217*0.8</f>
        <v>173.60000000000002</v>
      </c>
      <c r="F14" s="72">
        <f>203*0.8</f>
        <v>162.4</v>
      </c>
      <c r="G14" s="72">
        <f>192*0.8</f>
        <v>153.60000000000002</v>
      </c>
      <c r="H14" s="72">
        <f>179*0.8</f>
        <v>143.20000000000002</v>
      </c>
      <c r="I14" s="72">
        <f>163*0.8</f>
        <v>130.4</v>
      </c>
      <c r="J14" s="72">
        <f>158*0.8</f>
        <v>126.4</v>
      </c>
      <c r="K14" s="72">
        <f>150*0.8</f>
        <v>120</v>
      </c>
      <c r="L14" s="72">
        <f>147*0.8</f>
        <v>117.60000000000001</v>
      </c>
      <c r="M14" s="72">
        <f>143*0.8</f>
        <v>114.4</v>
      </c>
    </row>
    <row r="15" spans="1:13" ht="12.75">
      <c r="A15" s="69">
        <v>43623</v>
      </c>
      <c r="B15" s="70">
        <v>324</v>
      </c>
      <c r="C15" s="71">
        <v>307</v>
      </c>
      <c r="D15" s="72">
        <f>283*0.8</f>
        <v>226.4</v>
      </c>
      <c r="E15" s="72">
        <f>268*0.8</f>
        <v>214.4</v>
      </c>
      <c r="F15" s="72">
        <f>242*0.8</f>
        <v>193.60000000000002</v>
      </c>
      <c r="G15" s="72">
        <f>229*0.8</f>
        <v>183.20000000000002</v>
      </c>
      <c r="H15" s="72">
        <f>213*0.8</f>
        <v>170.4</v>
      </c>
      <c r="I15" s="72">
        <f>195*0.8</f>
        <v>156</v>
      </c>
      <c r="J15" s="72">
        <f>190*0.8</f>
        <v>152</v>
      </c>
      <c r="K15" s="72">
        <f>182*0.8</f>
        <v>145.6</v>
      </c>
      <c r="L15" s="72">
        <v>143</v>
      </c>
      <c r="M15" s="127"/>
    </row>
    <row r="16" spans="1:13" ht="12.75">
      <c r="A16" s="69">
        <v>43630</v>
      </c>
      <c r="B16" s="70">
        <v>425</v>
      </c>
      <c r="C16" s="71">
        <v>414</v>
      </c>
      <c r="D16" s="72">
        <f>392*0.8</f>
        <v>313.60000000000002</v>
      </c>
      <c r="E16" s="72">
        <f>378*0.8</f>
        <v>302.40000000000003</v>
      </c>
      <c r="F16" s="72">
        <f>353*0.8</f>
        <v>282.40000000000003</v>
      </c>
      <c r="G16" s="72">
        <f>337*0.8</f>
        <v>269.60000000000002</v>
      </c>
      <c r="H16" s="72">
        <f>305*0.8</f>
        <v>244</v>
      </c>
      <c r="I16" s="72">
        <f>293*0.8</f>
        <v>234.4</v>
      </c>
      <c r="J16" s="72">
        <f>285*0.8</f>
        <v>228</v>
      </c>
      <c r="K16" s="72">
        <f>271*0.8</f>
        <v>216.8</v>
      </c>
      <c r="L16" s="127"/>
      <c r="M16" s="127"/>
    </row>
    <row r="17" spans="1:13" ht="12.75">
      <c r="A17" s="69">
        <v>43637</v>
      </c>
      <c r="B17" s="70">
        <v>634</v>
      </c>
      <c r="C17" s="71">
        <v>618</v>
      </c>
      <c r="D17" s="72">
        <f>587*0.8</f>
        <v>469.6</v>
      </c>
      <c r="E17" s="72">
        <f>554*0.8</f>
        <v>443.20000000000005</v>
      </c>
      <c r="F17" s="72">
        <f>530*0.8</f>
        <v>424</v>
      </c>
      <c r="G17" s="72">
        <f>507*0.8</f>
        <v>405.6</v>
      </c>
      <c r="H17" s="72">
        <f>482*0.8</f>
        <v>385.6</v>
      </c>
      <c r="I17" s="72">
        <f>458*0.8</f>
        <v>366.40000000000003</v>
      </c>
      <c r="J17" s="72">
        <f>442*0.8</f>
        <v>353.6</v>
      </c>
      <c r="K17" s="127"/>
      <c r="L17" s="127"/>
      <c r="M17" s="127"/>
    </row>
    <row r="18" spans="1:13" ht="12.75">
      <c r="A18" s="69">
        <v>43644</v>
      </c>
      <c r="B18" s="70">
        <v>796</v>
      </c>
      <c r="C18" s="71">
        <v>772</v>
      </c>
      <c r="D18" s="72">
        <f>753*0.8</f>
        <v>602.4</v>
      </c>
      <c r="E18" s="72">
        <f>729*0.8</f>
        <v>583.20000000000005</v>
      </c>
      <c r="F18" s="72">
        <f>694*0.8</f>
        <v>555.20000000000005</v>
      </c>
      <c r="G18" s="72">
        <f>649*0.8</f>
        <v>519.20000000000005</v>
      </c>
      <c r="H18" s="72">
        <f>612*0.8</f>
        <v>489.6</v>
      </c>
      <c r="I18" s="72">
        <f>586*0.8</f>
        <v>468.8</v>
      </c>
      <c r="J18" s="137"/>
      <c r="K18" s="137"/>
      <c r="L18" s="137"/>
      <c r="M18" s="137"/>
    </row>
    <row r="19" spans="1:13" ht="12.75">
      <c r="A19" s="69">
        <v>43651</v>
      </c>
      <c r="B19" s="70">
        <v>918</v>
      </c>
      <c r="C19" s="71">
        <v>885</v>
      </c>
      <c r="D19" s="72">
        <f>840*0.8</f>
        <v>672</v>
      </c>
      <c r="E19" s="72">
        <f>803*0.8</f>
        <v>642.40000000000009</v>
      </c>
      <c r="F19" s="72">
        <f>773*0.8</f>
        <v>618.40000000000009</v>
      </c>
      <c r="G19" s="72">
        <f>748*0.8</f>
        <v>598.4</v>
      </c>
      <c r="H19" s="72">
        <f>704*0.8</f>
        <v>563.20000000000005</v>
      </c>
      <c r="I19" s="137"/>
      <c r="J19" s="137"/>
      <c r="K19" s="137"/>
      <c r="L19" s="137"/>
      <c r="M19" s="137"/>
    </row>
    <row r="20" spans="1:13" ht="12.75">
      <c r="A20" s="69">
        <v>43658</v>
      </c>
      <c r="B20" s="70">
        <v>1129</v>
      </c>
      <c r="C20" s="71">
        <v>1084</v>
      </c>
      <c r="D20" s="72">
        <f>1030*0.8</f>
        <v>824</v>
      </c>
      <c r="E20" s="72">
        <f>974*0.8</f>
        <v>779.2</v>
      </c>
      <c r="F20" s="72">
        <f>928*0.8</f>
        <v>742.40000000000009</v>
      </c>
      <c r="G20" s="72">
        <f>894*0.8</f>
        <v>715.2</v>
      </c>
      <c r="H20" s="137"/>
      <c r="I20" s="137"/>
      <c r="J20" s="137"/>
      <c r="K20" s="137"/>
      <c r="L20" s="137"/>
      <c r="M20" s="137"/>
    </row>
    <row r="21" spans="1:13" ht="12.75">
      <c r="A21" s="69">
        <v>43665</v>
      </c>
      <c r="B21" s="70">
        <v>1298</v>
      </c>
      <c r="C21" s="71">
        <v>1218</v>
      </c>
      <c r="D21" s="72">
        <f>1175*0.8</f>
        <v>940</v>
      </c>
      <c r="E21" s="72">
        <f>1085*0.8</f>
        <v>868</v>
      </c>
      <c r="F21" s="72">
        <f>1005*0.8</f>
        <v>804</v>
      </c>
      <c r="G21" s="137"/>
      <c r="H21" s="137"/>
      <c r="I21" s="137"/>
      <c r="J21" s="137"/>
      <c r="K21" s="137"/>
      <c r="L21" s="137"/>
      <c r="M21" s="137"/>
    </row>
    <row r="22" spans="1:13" ht="12.75">
      <c r="A22" s="69">
        <v>43672</v>
      </c>
      <c r="B22" s="70">
        <v>1420</v>
      </c>
      <c r="C22" s="71">
        <v>1350</v>
      </c>
      <c r="D22" s="72">
        <f>1297*0.8</f>
        <v>1037.6000000000001</v>
      </c>
      <c r="E22" s="72">
        <f>1207*0.8</f>
        <v>965.6</v>
      </c>
      <c r="F22" s="137"/>
      <c r="G22" s="137"/>
      <c r="H22" s="137"/>
      <c r="I22" s="137"/>
      <c r="J22" s="137"/>
      <c r="K22" s="137"/>
      <c r="L22" s="137"/>
      <c r="M22" s="137"/>
    </row>
    <row r="23" spans="1:13" ht="12.75">
      <c r="A23" s="69">
        <v>43680</v>
      </c>
      <c r="B23" s="70">
        <v>1670</v>
      </c>
      <c r="C23" s="71">
        <v>1587</v>
      </c>
      <c r="D23" s="72">
        <f>1502*0.8</f>
        <v>1201.6000000000001</v>
      </c>
      <c r="E23" s="137"/>
      <c r="F23" s="137"/>
      <c r="G23" s="137"/>
      <c r="H23" s="137"/>
      <c r="I23" s="137"/>
      <c r="J23" s="137"/>
      <c r="K23" s="137"/>
      <c r="L23" s="137"/>
      <c r="M23" s="137"/>
    </row>
    <row r="24" spans="1:13" ht="12.75">
      <c r="A24" s="69">
        <v>43687</v>
      </c>
      <c r="B24" s="70">
        <v>1820</v>
      </c>
      <c r="C24" s="71">
        <v>1718</v>
      </c>
      <c r="D24" s="137"/>
      <c r="E24" s="137"/>
      <c r="F24" s="137"/>
      <c r="G24" s="137"/>
      <c r="H24" s="137"/>
      <c r="I24" s="137"/>
      <c r="J24" s="137"/>
      <c r="K24" s="137"/>
      <c r="L24" s="137"/>
      <c r="M24" s="137"/>
    </row>
    <row r="25" spans="1:13" ht="12.75">
      <c r="A25" s="138"/>
      <c r="B25" s="71"/>
      <c r="C25" s="137"/>
      <c r="D25" s="137"/>
      <c r="E25" s="137"/>
      <c r="F25" s="137"/>
      <c r="G25" s="137"/>
      <c r="H25" s="137"/>
      <c r="I25" s="137"/>
      <c r="J25" s="137"/>
      <c r="K25" s="137"/>
      <c r="L25" s="137"/>
      <c r="M25" s="137"/>
    </row>
    <row r="26" spans="1:13" ht="12.75">
      <c r="A26" s="139"/>
      <c r="B26" s="134"/>
      <c r="C26" s="134"/>
      <c r="D26" s="134"/>
      <c r="E26" s="134"/>
      <c r="F26" s="134"/>
      <c r="G26" s="134"/>
      <c r="H26" s="134"/>
      <c r="I26" s="134"/>
      <c r="J26" s="134"/>
      <c r="K26" s="134"/>
      <c r="L26" s="134"/>
      <c r="M26" s="137"/>
    </row>
    <row r="27" spans="1:13" ht="19.149999999999999" customHeight="1">
      <c r="A27" s="227" t="s">
        <v>167</v>
      </c>
      <c r="B27" s="146"/>
      <c r="C27" s="146"/>
      <c r="D27" s="146"/>
      <c r="E27" s="146"/>
      <c r="F27" s="146"/>
      <c r="G27" s="146"/>
      <c r="H27" s="146"/>
      <c r="I27" s="146"/>
      <c r="J27" s="146"/>
      <c r="K27" s="146"/>
      <c r="L27" s="146"/>
      <c r="M27" s="147"/>
    </row>
    <row r="28" spans="1:13" ht="19.899999999999999" customHeight="1">
      <c r="A28" s="66" t="s">
        <v>82</v>
      </c>
      <c r="B28" s="67" t="s">
        <v>166</v>
      </c>
      <c r="C28" s="228" t="s">
        <v>168</v>
      </c>
      <c r="D28" s="143"/>
      <c r="E28" s="143"/>
      <c r="F28" s="143"/>
      <c r="G28" s="143"/>
      <c r="H28" s="143"/>
      <c r="I28" s="143"/>
      <c r="J28" s="143"/>
      <c r="K28" s="143"/>
      <c r="L28" s="143"/>
      <c r="M28" s="144"/>
    </row>
    <row r="29" spans="1:13" ht="21.6" customHeight="1">
      <c r="A29" s="73"/>
      <c r="B29" s="74"/>
      <c r="C29" s="75">
        <v>0</v>
      </c>
      <c r="D29" s="75">
        <v>1</v>
      </c>
      <c r="E29" s="75">
        <v>2</v>
      </c>
      <c r="F29" s="75">
        <v>3</v>
      </c>
      <c r="G29" s="75">
        <v>4</v>
      </c>
      <c r="H29" s="75">
        <v>5</v>
      </c>
      <c r="I29" s="75">
        <v>6</v>
      </c>
      <c r="J29" s="75">
        <v>7</v>
      </c>
      <c r="K29" s="75">
        <v>8</v>
      </c>
      <c r="L29" s="75">
        <v>9</v>
      </c>
      <c r="M29" s="71">
        <v>10</v>
      </c>
    </row>
    <row r="30" spans="1:13" ht="20.45" customHeight="1">
      <c r="A30" s="76">
        <v>43617</v>
      </c>
      <c r="B30" s="77">
        <v>240</v>
      </c>
      <c r="C30" s="78">
        <f t="shared" ref="C30:M39" si="0">B14-C14</f>
        <v>3</v>
      </c>
      <c r="D30" s="79">
        <f t="shared" si="0"/>
        <v>57.799999999999983</v>
      </c>
      <c r="E30" s="79">
        <f t="shared" si="0"/>
        <v>5.5999999999999943</v>
      </c>
      <c r="F30" s="79">
        <f t="shared" si="0"/>
        <v>11.200000000000017</v>
      </c>
      <c r="G30" s="79">
        <f t="shared" si="0"/>
        <v>8.7999999999999829</v>
      </c>
      <c r="H30" s="79">
        <f t="shared" si="0"/>
        <v>10.400000000000006</v>
      </c>
      <c r="I30" s="79">
        <f t="shared" si="0"/>
        <v>12.800000000000011</v>
      </c>
      <c r="J30" s="79">
        <f t="shared" si="0"/>
        <v>4</v>
      </c>
      <c r="K30" s="79">
        <f t="shared" si="0"/>
        <v>6.4000000000000057</v>
      </c>
      <c r="L30" s="79">
        <f t="shared" si="0"/>
        <v>2.3999999999999915</v>
      </c>
      <c r="M30" s="79">
        <f t="shared" si="0"/>
        <v>3.2000000000000028</v>
      </c>
    </row>
    <row r="31" spans="1:13" ht="9.6" customHeight="1">
      <c r="A31" s="69">
        <v>43623</v>
      </c>
      <c r="B31" s="70">
        <v>324</v>
      </c>
      <c r="C31" s="71">
        <f t="shared" si="0"/>
        <v>17</v>
      </c>
      <c r="D31" s="72">
        <f t="shared" si="0"/>
        <v>80.599999999999994</v>
      </c>
      <c r="E31" s="72">
        <f t="shared" si="0"/>
        <v>12</v>
      </c>
      <c r="F31" s="72">
        <f t="shared" si="0"/>
        <v>20.799999999999983</v>
      </c>
      <c r="G31" s="72">
        <f t="shared" si="0"/>
        <v>10.400000000000006</v>
      </c>
      <c r="H31" s="72">
        <f t="shared" si="0"/>
        <v>12.800000000000011</v>
      </c>
      <c r="I31" s="72">
        <f t="shared" si="0"/>
        <v>14.400000000000006</v>
      </c>
      <c r="J31" s="72">
        <f t="shared" si="0"/>
        <v>4</v>
      </c>
      <c r="K31" s="72">
        <f t="shared" si="0"/>
        <v>6.4000000000000057</v>
      </c>
      <c r="L31" s="72">
        <f t="shared" si="0"/>
        <v>2.5999999999999943</v>
      </c>
      <c r="M31" s="137"/>
    </row>
    <row r="32" spans="1:13" ht="15" customHeight="1">
      <c r="A32" s="69">
        <v>43630</v>
      </c>
      <c r="B32" s="70">
        <v>425</v>
      </c>
      <c r="C32" s="71">
        <f t="shared" si="0"/>
        <v>11</v>
      </c>
      <c r="D32" s="72">
        <f t="shared" si="0"/>
        <v>100.39999999999998</v>
      </c>
      <c r="E32" s="72">
        <f t="shared" si="0"/>
        <v>11.199999999999989</v>
      </c>
      <c r="F32" s="72">
        <f t="shared" si="0"/>
        <v>20</v>
      </c>
      <c r="G32" s="72">
        <f t="shared" si="0"/>
        <v>12.800000000000011</v>
      </c>
      <c r="H32" s="72">
        <f t="shared" si="0"/>
        <v>25.600000000000023</v>
      </c>
      <c r="I32" s="72">
        <f t="shared" si="0"/>
        <v>9.5999999999999943</v>
      </c>
      <c r="J32" s="72">
        <f t="shared" si="0"/>
        <v>6.4000000000000057</v>
      </c>
      <c r="K32" s="72">
        <f t="shared" si="0"/>
        <v>11.199999999999989</v>
      </c>
      <c r="L32" s="137"/>
      <c r="M32" s="137"/>
    </row>
    <row r="33" spans="1:13" ht="19.149999999999999" customHeight="1">
      <c r="A33" s="69">
        <v>43637</v>
      </c>
      <c r="B33" s="70">
        <v>634</v>
      </c>
      <c r="C33" s="71">
        <f t="shared" si="0"/>
        <v>16</v>
      </c>
      <c r="D33" s="72">
        <f t="shared" si="0"/>
        <v>148.39999999999998</v>
      </c>
      <c r="E33" s="72">
        <f t="shared" si="0"/>
        <v>26.399999999999977</v>
      </c>
      <c r="F33" s="72">
        <f t="shared" si="0"/>
        <v>19.200000000000045</v>
      </c>
      <c r="G33" s="72">
        <f t="shared" si="0"/>
        <v>18.399999999999977</v>
      </c>
      <c r="H33" s="72">
        <f t="shared" si="0"/>
        <v>20</v>
      </c>
      <c r="I33" s="72">
        <f t="shared" si="0"/>
        <v>19.199999999999989</v>
      </c>
      <c r="J33" s="72">
        <f t="shared" si="0"/>
        <v>12.800000000000011</v>
      </c>
      <c r="K33" s="137"/>
      <c r="L33" s="137"/>
      <c r="M33" s="137"/>
    </row>
    <row r="34" spans="1:13" ht="14.45" customHeight="1">
      <c r="A34" s="69">
        <v>43644</v>
      </c>
      <c r="B34" s="70">
        <v>796</v>
      </c>
      <c r="C34" s="71">
        <f t="shared" si="0"/>
        <v>24</v>
      </c>
      <c r="D34" s="72">
        <f t="shared" si="0"/>
        <v>169.60000000000002</v>
      </c>
      <c r="E34" s="72">
        <f t="shared" si="0"/>
        <v>19.199999999999932</v>
      </c>
      <c r="F34" s="72">
        <f t="shared" si="0"/>
        <v>28</v>
      </c>
      <c r="G34" s="72">
        <f t="shared" si="0"/>
        <v>36</v>
      </c>
      <c r="H34" s="72">
        <f t="shared" si="0"/>
        <v>29.600000000000023</v>
      </c>
      <c r="I34" s="72">
        <f t="shared" si="0"/>
        <v>20.800000000000011</v>
      </c>
      <c r="J34" s="137"/>
      <c r="K34" s="137"/>
      <c r="L34" s="137"/>
      <c r="M34" s="137"/>
    </row>
    <row r="35" spans="1:13" ht="17.45" customHeight="1">
      <c r="A35" s="69">
        <v>43651</v>
      </c>
      <c r="B35" s="70">
        <v>918</v>
      </c>
      <c r="C35" s="71">
        <f t="shared" si="0"/>
        <v>33</v>
      </c>
      <c r="D35" s="72">
        <f t="shared" si="0"/>
        <v>213</v>
      </c>
      <c r="E35" s="72">
        <f t="shared" si="0"/>
        <v>29.599999999999909</v>
      </c>
      <c r="F35" s="72">
        <f t="shared" si="0"/>
        <v>24</v>
      </c>
      <c r="G35" s="72">
        <f t="shared" si="0"/>
        <v>20.000000000000114</v>
      </c>
      <c r="H35" s="72">
        <f t="shared" si="0"/>
        <v>35.199999999999932</v>
      </c>
      <c r="I35" s="137"/>
      <c r="J35" s="137"/>
      <c r="K35" s="137"/>
      <c r="L35" s="137"/>
      <c r="M35" s="137"/>
    </row>
    <row r="36" spans="1:13" ht="15" customHeight="1">
      <c r="A36" s="69">
        <v>43658</v>
      </c>
      <c r="B36" s="70">
        <v>1129</v>
      </c>
      <c r="C36" s="71">
        <f t="shared" si="0"/>
        <v>45</v>
      </c>
      <c r="D36" s="72">
        <f t="shared" si="0"/>
        <v>260</v>
      </c>
      <c r="E36" s="72">
        <f t="shared" si="0"/>
        <v>44.799999999999955</v>
      </c>
      <c r="F36" s="72">
        <f t="shared" si="0"/>
        <v>36.799999999999955</v>
      </c>
      <c r="G36" s="72">
        <f t="shared" si="0"/>
        <v>27.200000000000045</v>
      </c>
      <c r="H36" s="137"/>
      <c r="I36" s="137"/>
      <c r="J36" s="137"/>
      <c r="K36" s="137"/>
      <c r="L36" s="137"/>
      <c r="M36" s="137"/>
    </row>
    <row r="37" spans="1:13" ht="16.899999999999999" customHeight="1">
      <c r="A37" s="69">
        <v>43665</v>
      </c>
      <c r="B37" s="70">
        <v>1298</v>
      </c>
      <c r="C37" s="71">
        <f t="shared" si="0"/>
        <v>80</v>
      </c>
      <c r="D37" s="72">
        <f t="shared" si="0"/>
        <v>278</v>
      </c>
      <c r="E37" s="72">
        <f t="shared" si="0"/>
        <v>72</v>
      </c>
      <c r="F37" s="72">
        <f t="shared" si="0"/>
        <v>64</v>
      </c>
      <c r="G37" s="137"/>
      <c r="H37" s="137"/>
      <c r="I37" s="137"/>
      <c r="J37" s="137"/>
      <c r="K37" s="137"/>
      <c r="L37" s="137"/>
      <c r="M37" s="137"/>
    </row>
    <row r="38" spans="1:13" ht="15" customHeight="1">
      <c r="A38" s="69">
        <v>43672</v>
      </c>
      <c r="B38" s="70">
        <v>1420</v>
      </c>
      <c r="C38" s="71">
        <f t="shared" si="0"/>
        <v>70</v>
      </c>
      <c r="D38" s="72">
        <f t="shared" si="0"/>
        <v>312.39999999999986</v>
      </c>
      <c r="E38" s="72">
        <f t="shared" si="0"/>
        <v>72.000000000000114</v>
      </c>
      <c r="F38" s="137"/>
      <c r="G38" s="137"/>
      <c r="H38" s="137"/>
      <c r="I38" s="137"/>
      <c r="J38" s="137"/>
      <c r="K38" s="137"/>
      <c r="L38" s="137"/>
      <c r="M38" s="137"/>
    </row>
    <row r="39" spans="1:13" ht="12" customHeight="1">
      <c r="A39" s="69">
        <v>43680</v>
      </c>
      <c r="B39" s="70">
        <v>1670</v>
      </c>
      <c r="C39" s="71">
        <f t="shared" si="0"/>
        <v>83</v>
      </c>
      <c r="D39" s="72">
        <f t="shared" si="0"/>
        <v>385.39999999999986</v>
      </c>
      <c r="E39" s="137"/>
      <c r="F39" s="137"/>
      <c r="G39" s="137"/>
      <c r="H39" s="137"/>
      <c r="I39" s="137"/>
      <c r="J39" s="137"/>
      <c r="K39" s="137"/>
      <c r="L39" s="137"/>
      <c r="M39" s="137"/>
    </row>
    <row r="40" spans="1:13" ht="19.899999999999999" customHeight="1">
      <c r="A40" s="80">
        <v>43687</v>
      </c>
      <c r="B40" s="71">
        <v>1820</v>
      </c>
      <c r="C40" s="71">
        <f>B24-C24</f>
        <v>102</v>
      </c>
      <c r="D40" s="137"/>
      <c r="E40" s="137"/>
      <c r="F40" s="137"/>
      <c r="G40" s="137"/>
      <c r="H40" s="137"/>
      <c r="I40" s="137"/>
      <c r="J40" s="137"/>
      <c r="K40" s="137"/>
      <c r="L40" s="137"/>
      <c r="M40" s="137"/>
    </row>
    <row r="41" spans="1:13" ht="13.9" customHeight="1">
      <c r="A41" s="113"/>
      <c r="B41" s="113"/>
      <c r="C41" s="113"/>
      <c r="D41" s="113"/>
      <c r="E41" s="113"/>
      <c r="F41" s="113"/>
      <c r="G41" s="113"/>
      <c r="H41" s="113"/>
      <c r="I41" s="113"/>
      <c r="J41" s="113"/>
      <c r="K41" s="113"/>
      <c r="L41" s="113"/>
      <c r="M41" s="113"/>
    </row>
    <row r="42" spans="1:13" ht="13.9" customHeight="1">
      <c r="A42" s="113"/>
      <c r="B42" s="113"/>
      <c r="C42" s="113"/>
      <c r="D42" s="113"/>
      <c r="E42" s="113"/>
      <c r="F42" s="113"/>
      <c r="G42" s="113"/>
      <c r="H42" s="113"/>
      <c r="I42" s="113"/>
      <c r="J42" s="113"/>
      <c r="K42" s="113"/>
      <c r="L42" s="113"/>
      <c r="M42" s="113"/>
    </row>
    <row r="43" spans="1:13" ht="45">
      <c r="A43" s="81" t="s">
        <v>82</v>
      </c>
      <c r="B43" s="82" t="s">
        <v>166</v>
      </c>
      <c r="C43" s="82" t="s">
        <v>169</v>
      </c>
      <c r="D43" s="82" t="s">
        <v>170</v>
      </c>
      <c r="E43" s="82" t="s">
        <v>171</v>
      </c>
      <c r="F43" s="82" t="s">
        <v>172</v>
      </c>
      <c r="G43" s="82" t="s">
        <v>173</v>
      </c>
      <c r="H43" s="113"/>
      <c r="I43" s="113"/>
      <c r="J43" s="113"/>
      <c r="K43" s="113"/>
      <c r="L43" s="113"/>
      <c r="M43" s="113"/>
    </row>
    <row r="44" spans="1:13" ht="12.75">
      <c r="A44" s="83">
        <v>43617</v>
      </c>
      <c r="B44" s="68">
        <v>240</v>
      </c>
      <c r="C44" s="84">
        <v>237</v>
      </c>
      <c r="D44" s="84">
        <f>C30</f>
        <v>3</v>
      </c>
      <c r="E44" s="84">
        <v>474</v>
      </c>
      <c r="F44" s="85">
        <f t="shared" ref="F44:F54" si="1">C44*0.97</f>
        <v>229.89</v>
      </c>
      <c r="G44" s="86">
        <v>7</v>
      </c>
      <c r="H44" s="113"/>
      <c r="I44" s="113"/>
      <c r="J44" s="113"/>
      <c r="K44" s="113"/>
      <c r="L44" s="113"/>
      <c r="M44" s="113"/>
    </row>
    <row r="45" spans="1:13" ht="12.75">
      <c r="A45" s="83">
        <v>43623</v>
      </c>
      <c r="B45" s="68">
        <v>324</v>
      </c>
      <c r="C45" s="86">
        <v>486</v>
      </c>
      <c r="D45" s="86">
        <v>75</v>
      </c>
      <c r="E45" s="86">
        <v>735</v>
      </c>
      <c r="F45" s="85">
        <f t="shared" si="1"/>
        <v>471.41999999999996</v>
      </c>
      <c r="G45" s="87">
        <f>C45-F45</f>
        <v>14.580000000000041</v>
      </c>
      <c r="H45" s="113"/>
      <c r="I45" s="113"/>
      <c r="J45" s="113"/>
      <c r="K45" s="113"/>
      <c r="L45" s="113"/>
      <c r="M45" s="113"/>
    </row>
    <row r="46" spans="1:13" ht="12.75">
      <c r="A46" s="83">
        <v>43630</v>
      </c>
      <c r="B46" s="68">
        <v>425</v>
      </c>
      <c r="C46" s="88">
        <f>C16+D15+E14</f>
        <v>814</v>
      </c>
      <c r="D46" s="88">
        <f>C32+D31+E30</f>
        <v>97.199999999999989</v>
      </c>
      <c r="E46" s="88">
        <f>B46+F46+G46-D46</f>
        <v>1141.8</v>
      </c>
      <c r="F46" s="85">
        <f t="shared" si="1"/>
        <v>789.57999999999993</v>
      </c>
      <c r="G46" s="88">
        <f>C46-F46</f>
        <v>24.420000000000073</v>
      </c>
      <c r="H46" s="113"/>
      <c r="I46" s="113"/>
      <c r="J46" s="113"/>
      <c r="K46" s="113"/>
      <c r="L46" s="113"/>
      <c r="M46" s="113"/>
    </row>
    <row r="47" spans="1:13" ht="12.75">
      <c r="A47" s="83">
        <v>43637</v>
      </c>
      <c r="B47" s="68">
        <v>634</v>
      </c>
      <c r="C47" s="88">
        <f>C17+D16+E15+F14</f>
        <v>1308.4000000000001</v>
      </c>
      <c r="D47" s="88">
        <f>C33+D32+E31+F30</f>
        <v>139.6</v>
      </c>
      <c r="E47" s="88">
        <f t="shared" ref="E47:E54" si="2">B47+F47+G47-D47</f>
        <v>1802.8000000000002</v>
      </c>
      <c r="F47" s="85">
        <f t="shared" si="1"/>
        <v>1269.1480000000001</v>
      </c>
      <c r="G47" s="88">
        <f t="shared" ref="G47:G54" si="3">C47-F47</f>
        <v>39.251999999999953</v>
      </c>
      <c r="H47" s="113"/>
      <c r="I47" s="113"/>
      <c r="J47" s="113"/>
      <c r="K47" s="113"/>
      <c r="L47" s="113"/>
      <c r="M47" s="113"/>
    </row>
    <row r="48" spans="1:13" ht="12.75">
      <c r="A48" s="83">
        <v>43644</v>
      </c>
      <c r="B48" s="68">
        <v>796</v>
      </c>
      <c r="C48" s="88">
        <f>C18+D17+E16+F15+G14</f>
        <v>1891.1999999999998</v>
      </c>
      <c r="D48" s="88">
        <f>C34+D33+E32+F31+G30</f>
        <v>213.19999999999993</v>
      </c>
      <c r="E48" s="88">
        <f t="shared" si="2"/>
        <v>2474</v>
      </c>
      <c r="F48" s="85">
        <f t="shared" si="1"/>
        <v>1834.4639999999997</v>
      </c>
      <c r="G48" s="88">
        <f t="shared" si="3"/>
        <v>56.736000000000104</v>
      </c>
      <c r="H48" s="113"/>
      <c r="I48" s="113"/>
      <c r="J48" s="113"/>
      <c r="K48" s="113"/>
      <c r="L48" s="113"/>
      <c r="M48" s="113"/>
    </row>
    <row r="49" spans="1:13" ht="12.75">
      <c r="A49" s="83">
        <v>43651</v>
      </c>
      <c r="B49" s="68">
        <v>918</v>
      </c>
      <c r="C49" s="88">
        <f>C19+D18+E17+F16+G15+H14</f>
        <v>2539.3999999999996</v>
      </c>
      <c r="D49" s="88">
        <f>C35+D34+E33+F32+G31+H30</f>
        <v>269.79999999999995</v>
      </c>
      <c r="E49" s="88">
        <f t="shared" si="2"/>
        <v>3187.5999999999995</v>
      </c>
      <c r="F49" s="85">
        <f t="shared" si="1"/>
        <v>2463.2179999999994</v>
      </c>
      <c r="G49" s="88">
        <f t="shared" si="3"/>
        <v>76.182000000000244</v>
      </c>
      <c r="H49" s="113"/>
      <c r="I49" s="113"/>
      <c r="J49" s="113"/>
      <c r="K49" s="113"/>
      <c r="L49" s="113"/>
      <c r="M49" s="113"/>
    </row>
    <row r="50" spans="1:13" ht="12.75">
      <c r="A50" s="83">
        <v>43658</v>
      </c>
      <c r="B50" s="68">
        <v>1129</v>
      </c>
      <c r="C50" s="88">
        <f>C20+D19+E18+F17+G16+H15+I14</f>
        <v>3333.6</v>
      </c>
      <c r="D50" s="88">
        <f>C36+D35+E34+F33+G32+H31+I30</f>
        <v>334.8</v>
      </c>
      <c r="E50" s="88">
        <f t="shared" si="2"/>
        <v>4127.8</v>
      </c>
      <c r="F50" s="85">
        <f t="shared" si="1"/>
        <v>3233.5919999999996</v>
      </c>
      <c r="G50" s="88">
        <f t="shared" si="3"/>
        <v>100.00800000000027</v>
      </c>
      <c r="H50" s="113"/>
      <c r="I50" s="113"/>
      <c r="J50" s="113"/>
      <c r="K50" s="113"/>
      <c r="L50" s="113"/>
      <c r="M50" s="113"/>
    </row>
    <row r="51" spans="1:13" ht="12.75">
      <c r="A51" s="83">
        <v>43665</v>
      </c>
      <c r="B51" s="68">
        <v>1298</v>
      </c>
      <c r="C51" s="88">
        <f>C21+D20+E19+F18+G17+H16+I15+J14</f>
        <v>4171.6000000000004</v>
      </c>
      <c r="D51" s="88">
        <f>C37+D36+E35+F34+G33+H32+I31+J30</f>
        <v>459.99999999999989</v>
      </c>
      <c r="E51" s="88">
        <f t="shared" si="2"/>
        <v>5009.6000000000004</v>
      </c>
      <c r="F51" s="85">
        <f t="shared" si="1"/>
        <v>4046.4520000000002</v>
      </c>
      <c r="G51" s="88">
        <f t="shared" si="3"/>
        <v>125.14800000000014</v>
      </c>
      <c r="H51" s="113"/>
      <c r="I51" s="113"/>
      <c r="J51" s="113"/>
      <c r="K51" s="113"/>
      <c r="L51" s="113"/>
      <c r="M51" s="113"/>
    </row>
    <row r="52" spans="1:13" ht="12.75">
      <c r="A52" s="83">
        <v>43672</v>
      </c>
      <c r="B52" s="68">
        <v>1420</v>
      </c>
      <c r="C52" s="88">
        <f>C22+D21+E20+F19+G18+H17+I16+J15+K14</f>
        <v>5098.8</v>
      </c>
      <c r="D52" s="88">
        <f>C38+D37+E36+F35+G34+H33+I32+J31+K30</f>
        <v>492.79999999999995</v>
      </c>
      <c r="E52" s="88">
        <f t="shared" si="2"/>
        <v>6026</v>
      </c>
      <c r="F52" s="85">
        <f t="shared" si="1"/>
        <v>4945.8360000000002</v>
      </c>
      <c r="G52" s="88">
        <f t="shared" si="3"/>
        <v>152.96399999999994</v>
      </c>
      <c r="H52" s="113"/>
      <c r="I52" s="113"/>
      <c r="J52" s="113"/>
      <c r="K52" s="113"/>
      <c r="L52" s="113"/>
      <c r="M52" s="113"/>
    </row>
    <row r="53" spans="1:13" ht="12.75">
      <c r="A53" s="83">
        <v>43680</v>
      </c>
      <c r="B53" s="68">
        <v>1670</v>
      </c>
      <c r="C53" s="88">
        <f>C23+D22+E21+F20+G19+H18+I17+J16+K15+L14</f>
        <v>6180.6</v>
      </c>
      <c r="D53" s="88">
        <f>C39+D38+E37+F36+G35+H34+I33+J32+K31+L30</f>
        <v>588.19999999999993</v>
      </c>
      <c r="E53" s="88">
        <f t="shared" si="2"/>
        <v>7262.4000000000005</v>
      </c>
      <c r="F53" s="85">
        <f t="shared" si="1"/>
        <v>5995.1819999999998</v>
      </c>
      <c r="G53" s="88">
        <f t="shared" si="3"/>
        <v>185.41800000000057</v>
      </c>
      <c r="H53" s="113"/>
      <c r="I53" s="113"/>
      <c r="J53" s="113"/>
      <c r="K53" s="113"/>
      <c r="L53" s="113"/>
      <c r="M53" s="113"/>
    </row>
    <row r="54" spans="1:13" ht="12.75">
      <c r="A54" s="83">
        <v>43687</v>
      </c>
      <c r="B54" s="68">
        <v>1820</v>
      </c>
      <c r="C54" s="88">
        <f>C24+D23+E22+F21+G20+H19+I18+J17+K16+L15+M14</f>
        <v>7264.2000000000007</v>
      </c>
      <c r="D54" s="88">
        <f>C40+D39+E38+F37+G36+H35+I34+J33+K32+L31+M30</f>
        <v>736.4</v>
      </c>
      <c r="E54" s="88">
        <f t="shared" si="2"/>
        <v>8347.8000000000011</v>
      </c>
      <c r="F54" s="85">
        <f t="shared" si="1"/>
        <v>7046.2740000000003</v>
      </c>
      <c r="G54" s="88">
        <f t="shared" si="3"/>
        <v>217.92600000000039</v>
      </c>
      <c r="H54" s="113"/>
      <c r="I54" s="113"/>
      <c r="J54" s="113"/>
      <c r="K54" s="113"/>
      <c r="L54" s="113"/>
      <c r="M54" s="113"/>
    </row>
    <row r="55" spans="1:13" ht="12.75">
      <c r="A55" s="113"/>
      <c r="B55" s="134"/>
      <c r="C55" s="134"/>
      <c r="D55" s="134"/>
      <c r="E55" s="134"/>
      <c r="F55" s="134"/>
      <c r="G55" s="113"/>
      <c r="H55" s="113"/>
      <c r="I55" s="113"/>
      <c r="J55" s="113"/>
      <c r="K55" s="113"/>
      <c r="L55" s="113"/>
      <c r="M55" s="113"/>
    </row>
    <row r="56" spans="1:13" ht="12.75">
      <c r="A56" s="140"/>
      <c r="B56" s="229" t="s">
        <v>174</v>
      </c>
      <c r="C56" s="190"/>
      <c r="D56" s="190"/>
      <c r="E56" s="190"/>
      <c r="F56" s="163"/>
      <c r="G56" s="113"/>
      <c r="H56" s="113"/>
      <c r="I56" s="113"/>
      <c r="J56" s="113"/>
      <c r="K56" s="113"/>
      <c r="L56" s="113"/>
      <c r="M56" s="113"/>
    </row>
    <row r="57" spans="1:13" ht="12.75">
      <c r="A57" s="140"/>
      <c r="B57" s="164"/>
      <c r="C57" s="205"/>
      <c r="D57" s="205"/>
      <c r="E57" s="205"/>
      <c r="F57" s="165"/>
      <c r="G57" s="113"/>
      <c r="H57" s="113"/>
      <c r="I57" s="113"/>
      <c r="J57" s="113"/>
      <c r="K57" s="113"/>
      <c r="L57" s="113"/>
      <c r="M57" s="113"/>
    </row>
    <row r="58" spans="1:13" ht="12.75">
      <c r="A58" s="140"/>
      <c r="B58" s="164"/>
      <c r="C58" s="205"/>
      <c r="D58" s="205"/>
      <c r="E58" s="205"/>
      <c r="F58" s="165"/>
      <c r="G58" s="113"/>
      <c r="H58" s="113"/>
      <c r="I58" s="113"/>
      <c r="J58" s="113"/>
      <c r="K58" s="113"/>
      <c r="L58" s="113"/>
      <c r="M58" s="113"/>
    </row>
    <row r="59" spans="1:13" ht="12.75">
      <c r="A59" s="140"/>
      <c r="B59" s="164"/>
      <c r="C59" s="205"/>
      <c r="D59" s="205"/>
      <c r="E59" s="205"/>
      <c r="F59" s="165"/>
      <c r="G59" s="113"/>
      <c r="H59" s="113"/>
      <c r="I59" s="113"/>
      <c r="J59" s="113"/>
      <c r="K59" s="113"/>
      <c r="L59" s="113"/>
      <c r="M59" s="113"/>
    </row>
    <row r="60" spans="1:13" ht="12.75">
      <c r="A60" s="140"/>
      <c r="B60" s="164"/>
      <c r="C60" s="205"/>
      <c r="D60" s="205"/>
      <c r="E60" s="205"/>
      <c r="F60" s="165"/>
      <c r="G60" s="113"/>
      <c r="H60" s="113"/>
      <c r="I60" s="113"/>
      <c r="J60" s="113"/>
      <c r="K60" s="113"/>
      <c r="L60" s="113"/>
      <c r="M60" s="113"/>
    </row>
    <row r="61" spans="1:13" ht="12.75">
      <c r="A61" s="140"/>
      <c r="B61" s="164"/>
      <c r="C61" s="205"/>
      <c r="D61" s="205"/>
      <c r="E61" s="205"/>
      <c r="F61" s="165"/>
      <c r="G61" s="113"/>
      <c r="H61" s="113"/>
      <c r="I61" s="113"/>
      <c r="J61" s="113"/>
      <c r="K61" s="113"/>
      <c r="L61" s="113"/>
      <c r="M61" s="113"/>
    </row>
    <row r="62" spans="1:13" ht="12.75">
      <c r="A62" s="140"/>
      <c r="B62" s="164"/>
      <c r="C62" s="205"/>
      <c r="D62" s="205"/>
      <c r="E62" s="205"/>
      <c r="F62" s="165"/>
      <c r="G62" s="113"/>
      <c r="H62" s="113"/>
      <c r="I62" s="113"/>
      <c r="J62" s="113"/>
      <c r="K62" s="113"/>
      <c r="L62" s="113"/>
      <c r="M62" s="113"/>
    </row>
    <row r="63" spans="1:13" ht="12.75">
      <c r="A63" s="140"/>
      <c r="B63" s="164"/>
      <c r="C63" s="205"/>
      <c r="D63" s="205"/>
      <c r="E63" s="205"/>
      <c r="F63" s="165"/>
      <c r="G63" s="113"/>
      <c r="H63" s="113"/>
      <c r="I63" s="113"/>
      <c r="J63" s="113"/>
      <c r="K63" s="113"/>
      <c r="L63" s="113"/>
      <c r="M63" s="113"/>
    </row>
    <row r="64" spans="1:13" ht="12.75">
      <c r="A64" s="140"/>
      <c r="B64" s="164"/>
      <c r="C64" s="205"/>
      <c r="D64" s="205"/>
      <c r="E64" s="205"/>
      <c r="F64" s="165"/>
      <c r="G64" s="113"/>
      <c r="H64" s="113"/>
      <c r="I64" s="113"/>
      <c r="J64" s="113"/>
      <c r="K64" s="113"/>
      <c r="L64" s="113"/>
      <c r="M64" s="113"/>
    </row>
    <row r="65" spans="1:13" ht="12.75">
      <c r="A65" s="140"/>
      <c r="B65" s="164"/>
      <c r="C65" s="205"/>
      <c r="D65" s="205"/>
      <c r="E65" s="205"/>
      <c r="F65" s="165"/>
      <c r="G65" s="113"/>
      <c r="H65" s="113"/>
      <c r="I65" s="113"/>
      <c r="J65" s="113"/>
      <c r="K65" s="113"/>
      <c r="L65" s="113"/>
      <c r="M65" s="113"/>
    </row>
    <row r="66" spans="1:13" ht="12.75">
      <c r="A66" s="140"/>
      <c r="B66" s="164"/>
      <c r="C66" s="205"/>
      <c r="D66" s="205"/>
      <c r="E66" s="205"/>
      <c r="F66" s="165"/>
      <c r="G66" s="113"/>
      <c r="H66" s="113"/>
      <c r="I66" s="113"/>
      <c r="J66" s="113"/>
      <c r="K66" s="113"/>
      <c r="L66" s="113"/>
      <c r="M66" s="113"/>
    </row>
    <row r="67" spans="1:13" ht="12.75">
      <c r="A67" s="140"/>
      <c r="B67" s="164"/>
      <c r="C67" s="205"/>
      <c r="D67" s="205"/>
      <c r="E67" s="205"/>
      <c r="F67" s="165"/>
      <c r="G67" s="113"/>
      <c r="H67" s="113"/>
      <c r="I67" s="113"/>
      <c r="J67" s="113"/>
      <c r="K67" s="113"/>
      <c r="L67" s="113"/>
      <c r="M67" s="113"/>
    </row>
    <row r="68" spans="1:13" ht="12.75">
      <c r="A68" s="140"/>
      <c r="B68" s="164"/>
      <c r="C68" s="205"/>
      <c r="D68" s="205"/>
      <c r="E68" s="205"/>
      <c r="F68" s="165"/>
      <c r="G68" s="113"/>
      <c r="H68" s="113"/>
      <c r="I68" s="113"/>
      <c r="J68" s="113"/>
      <c r="K68" s="113"/>
      <c r="L68" s="113"/>
      <c r="M68" s="113"/>
    </row>
    <row r="69" spans="1:13" ht="12.75">
      <c r="A69" s="140"/>
      <c r="B69" s="164"/>
      <c r="C69" s="205"/>
      <c r="D69" s="205"/>
      <c r="E69" s="205"/>
      <c r="F69" s="165"/>
      <c r="G69" s="113"/>
      <c r="H69" s="113"/>
      <c r="I69" s="113"/>
      <c r="J69" s="113"/>
      <c r="K69" s="113"/>
      <c r="L69" s="113"/>
      <c r="M69" s="113"/>
    </row>
    <row r="70" spans="1:13" ht="12.75">
      <c r="A70" s="140"/>
      <c r="B70" s="164"/>
      <c r="C70" s="205"/>
      <c r="D70" s="205"/>
      <c r="E70" s="205"/>
      <c r="F70" s="165"/>
      <c r="G70" s="113"/>
      <c r="H70" s="113"/>
      <c r="I70" s="113"/>
      <c r="J70" s="113"/>
      <c r="K70" s="113"/>
      <c r="L70" s="113"/>
      <c r="M70" s="113"/>
    </row>
    <row r="71" spans="1:13" ht="12.75">
      <c r="A71" s="140"/>
      <c r="B71" s="164"/>
      <c r="C71" s="205"/>
      <c r="D71" s="205"/>
      <c r="E71" s="205"/>
      <c r="F71" s="165"/>
      <c r="G71" s="113"/>
      <c r="H71" s="113"/>
      <c r="I71" s="113"/>
      <c r="J71" s="113"/>
      <c r="K71" s="113"/>
      <c r="L71" s="113"/>
      <c r="M71" s="113"/>
    </row>
    <row r="72" spans="1:13" ht="12.75">
      <c r="A72" s="140"/>
      <c r="B72" s="164"/>
      <c r="C72" s="205"/>
      <c r="D72" s="205"/>
      <c r="E72" s="205"/>
      <c r="F72" s="165"/>
      <c r="G72" s="113"/>
      <c r="H72" s="113"/>
      <c r="I72" s="113"/>
      <c r="J72" s="113"/>
      <c r="K72" s="113"/>
      <c r="L72" s="113"/>
      <c r="M72" s="113"/>
    </row>
    <row r="73" spans="1:13" ht="12.75">
      <c r="A73" s="140"/>
      <c r="B73" s="164"/>
      <c r="C73" s="205"/>
      <c r="D73" s="205"/>
      <c r="E73" s="205"/>
      <c r="F73" s="165"/>
      <c r="G73" s="113"/>
      <c r="H73" s="113"/>
      <c r="I73" s="113"/>
      <c r="J73" s="113"/>
      <c r="K73" s="113"/>
      <c r="L73" s="113"/>
      <c r="M73" s="113"/>
    </row>
    <row r="74" spans="1:13" ht="12.75">
      <c r="A74" s="140"/>
      <c r="B74" s="166"/>
      <c r="C74" s="146"/>
      <c r="D74" s="146"/>
      <c r="E74" s="146"/>
      <c r="F74" s="147"/>
      <c r="G74" s="113"/>
      <c r="H74" s="113"/>
      <c r="I74" s="113"/>
      <c r="J74" s="113"/>
      <c r="K74" s="113"/>
      <c r="L74" s="113"/>
      <c r="M74" s="113"/>
    </row>
  </sheetData>
  <mergeCells count="15">
    <mergeCell ref="A27:M27"/>
    <mergeCell ref="C28:M28"/>
    <mergeCell ref="B56:F74"/>
    <mergeCell ref="A1:M1"/>
    <mergeCell ref="A2:H2"/>
    <mergeCell ref="A3:H3"/>
    <mergeCell ref="A4:H4"/>
    <mergeCell ref="A5:H5"/>
    <mergeCell ref="A6:H6"/>
    <mergeCell ref="A7:H7"/>
    <mergeCell ref="A8:H8"/>
    <mergeCell ref="A9:H9"/>
    <mergeCell ref="A10:H10"/>
    <mergeCell ref="A11:M11"/>
    <mergeCell ref="C12:M1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34"/>
  <sheetViews>
    <sheetView showGridLines="0" topLeftCell="A27" workbookViewId="0">
      <selection activeCell="B27" sqref="B27:J29"/>
    </sheetView>
  </sheetViews>
  <sheetFormatPr defaultColWidth="14.42578125" defaultRowHeight="15.75" customHeight="1"/>
  <cols>
    <col min="1" max="1" width="18.5703125" style="116" customWidth="1"/>
    <col min="2" max="16384" width="14.42578125" style="116"/>
  </cols>
  <sheetData>
    <row r="1" spans="1:13" ht="37.5">
      <c r="A1" s="238" t="s">
        <v>15</v>
      </c>
      <c r="B1" s="146"/>
      <c r="C1" s="146"/>
      <c r="D1" s="146"/>
      <c r="E1" s="146"/>
      <c r="F1" s="146"/>
      <c r="G1" s="146"/>
      <c r="H1" s="146"/>
      <c r="I1" s="146"/>
      <c r="J1" s="146"/>
      <c r="K1" s="146"/>
      <c r="L1" s="146"/>
      <c r="M1" s="146"/>
    </row>
    <row r="2" spans="1:13" ht="12.75">
      <c r="A2" s="231" t="s">
        <v>175</v>
      </c>
      <c r="B2" s="143"/>
      <c r="C2" s="143"/>
      <c r="D2" s="143"/>
      <c r="E2" s="143"/>
      <c r="F2" s="143"/>
      <c r="G2" s="143"/>
      <c r="H2" s="144"/>
      <c r="K2" s="113"/>
      <c r="L2" s="113"/>
      <c r="M2" s="113"/>
    </row>
    <row r="3" spans="1:13" ht="12.75">
      <c r="A3" s="185" t="s">
        <v>176</v>
      </c>
      <c r="B3" s="143"/>
      <c r="C3" s="143"/>
      <c r="D3" s="143"/>
      <c r="E3" s="143"/>
      <c r="F3" s="143"/>
      <c r="G3" s="143"/>
      <c r="H3" s="144"/>
      <c r="K3" s="113"/>
      <c r="L3" s="113"/>
      <c r="M3" s="113"/>
    </row>
    <row r="4" spans="1:13" ht="12.75">
      <c r="A4" s="185" t="s">
        <v>177</v>
      </c>
      <c r="B4" s="143"/>
      <c r="C4" s="143"/>
      <c r="D4" s="143"/>
      <c r="E4" s="143"/>
      <c r="F4" s="143"/>
      <c r="G4" s="143"/>
      <c r="H4" s="144"/>
      <c r="K4" s="113"/>
      <c r="L4" s="113"/>
      <c r="M4" s="113"/>
    </row>
    <row r="5" spans="1:13" ht="12.75">
      <c r="A5" s="185" t="s">
        <v>178</v>
      </c>
      <c r="B5" s="143"/>
      <c r="C5" s="143"/>
      <c r="D5" s="143"/>
      <c r="E5" s="143"/>
      <c r="F5" s="143"/>
      <c r="G5" s="143"/>
      <c r="H5" s="144"/>
      <c r="K5" s="113"/>
      <c r="L5" s="113"/>
      <c r="M5" s="113"/>
    </row>
    <row r="6" spans="1:13" ht="12.75">
      <c r="A6" s="234" t="s">
        <v>179</v>
      </c>
      <c r="B6" s="190"/>
      <c r="C6" s="190"/>
      <c r="D6" s="190"/>
      <c r="E6" s="190"/>
      <c r="F6" s="190"/>
      <c r="G6" s="190"/>
      <c r="H6" s="163"/>
      <c r="K6" s="113"/>
      <c r="L6" s="113"/>
      <c r="M6" s="113"/>
    </row>
    <row r="7" spans="1:13" ht="12.75">
      <c r="A7" s="226" t="s">
        <v>180</v>
      </c>
      <c r="B7" s="190"/>
      <c r="C7" s="190"/>
      <c r="D7" s="190"/>
      <c r="E7" s="190"/>
      <c r="F7" s="190"/>
      <c r="G7" s="190"/>
      <c r="H7" s="163"/>
      <c r="K7" s="113"/>
      <c r="L7" s="113"/>
      <c r="M7" s="113"/>
    </row>
    <row r="8" spans="1:13" ht="12.75">
      <c r="A8" s="236" t="s">
        <v>181</v>
      </c>
      <c r="B8" s="205"/>
      <c r="C8" s="205"/>
      <c r="D8" s="205"/>
      <c r="E8" s="205"/>
      <c r="F8" s="205"/>
      <c r="G8" s="205"/>
      <c r="H8" s="165"/>
      <c r="K8" s="113"/>
      <c r="L8" s="113"/>
      <c r="M8" s="113"/>
    </row>
    <row r="9" spans="1:13" ht="12.75">
      <c r="A9" s="236" t="s">
        <v>182</v>
      </c>
      <c r="B9" s="205"/>
      <c r="C9" s="205"/>
      <c r="D9" s="205"/>
      <c r="E9" s="205"/>
      <c r="F9" s="205"/>
      <c r="G9" s="205"/>
      <c r="H9" s="165"/>
      <c r="K9" s="113"/>
      <c r="L9" s="113"/>
      <c r="M9" s="113"/>
    </row>
    <row r="10" spans="1:13" ht="12.75">
      <c r="A10" s="236" t="s">
        <v>183</v>
      </c>
      <c r="B10" s="205"/>
      <c r="C10" s="205"/>
      <c r="D10" s="205"/>
      <c r="E10" s="205"/>
      <c r="F10" s="205"/>
      <c r="G10" s="205"/>
      <c r="H10" s="165"/>
      <c r="K10" s="113"/>
      <c r="L10" s="113"/>
      <c r="M10" s="113"/>
    </row>
    <row r="11" spans="1:13" ht="12.75">
      <c r="A11" s="237" t="s">
        <v>184</v>
      </c>
      <c r="B11" s="146"/>
      <c r="C11" s="146"/>
      <c r="D11" s="146"/>
      <c r="E11" s="146"/>
      <c r="F11" s="146"/>
      <c r="G11" s="146"/>
      <c r="H11" s="147"/>
      <c r="K11" s="113"/>
      <c r="L11" s="113"/>
      <c r="M11" s="113"/>
    </row>
    <row r="12" spans="1:13" ht="12.75">
      <c r="A12" s="233" t="s">
        <v>104</v>
      </c>
      <c r="B12" s="143"/>
      <c r="C12" s="143"/>
      <c r="D12" s="143"/>
      <c r="E12" s="143"/>
      <c r="F12" s="143"/>
      <c r="G12" s="143"/>
      <c r="H12" s="144"/>
      <c r="I12" s="134"/>
      <c r="J12" s="134"/>
      <c r="K12" s="134"/>
      <c r="L12" s="134"/>
      <c r="M12" s="134"/>
    </row>
    <row r="13" spans="1:13" ht="12.75">
      <c r="A13" s="89" t="s">
        <v>185</v>
      </c>
      <c r="B13" s="71" t="s">
        <v>186</v>
      </c>
      <c r="C13" s="71" t="s">
        <v>187</v>
      </c>
      <c r="D13" s="71" t="s">
        <v>188</v>
      </c>
      <c r="E13" s="71" t="s">
        <v>189</v>
      </c>
      <c r="F13" s="71" t="s">
        <v>190</v>
      </c>
      <c r="G13" s="71" t="s">
        <v>191</v>
      </c>
      <c r="H13" s="71" t="s">
        <v>192</v>
      </c>
      <c r="I13" s="71" t="s">
        <v>193</v>
      </c>
      <c r="J13" s="71" t="s">
        <v>194</v>
      </c>
      <c r="K13" s="71" t="s">
        <v>195</v>
      </c>
      <c r="L13" s="71" t="s">
        <v>196</v>
      </c>
      <c r="M13" s="71" t="s">
        <v>197</v>
      </c>
    </row>
    <row r="14" spans="1:13" ht="12.75">
      <c r="A14" s="90" t="s">
        <v>198</v>
      </c>
      <c r="B14" s="72">
        <v>97</v>
      </c>
      <c r="C14" s="72">
        <f>B14*1.21</f>
        <v>117.36999999999999</v>
      </c>
      <c r="D14" s="72">
        <f>C14*1.27</f>
        <v>149.0599</v>
      </c>
      <c r="E14" s="72">
        <f>D14*1.22</f>
        <v>181.85307799999998</v>
      </c>
      <c r="F14" s="72">
        <f>E14*1.26</f>
        <v>229.13487827999998</v>
      </c>
      <c r="G14" s="72">
        <f>F14*1.23</f>
        <v>281.8359002844</v>
      </c>
      <c r="H14" s="72">
        <f t="shared" ref="H14:I14" si="0">G14*1.18</f>
        <v>332.56636233559198</v>
      </c>
      <c r="I14" s="72">
        <f t="shared" si="0"/>
        <v>392.42830755599851</v>
      </c>
      <c r="J14" s="72">
        <f>I14*1.28</f>
        <v>502.30823367167812</v>
      </c>
      <c r="K14" s="72">
        <f>J14*1.29</f>
        <v>647.9776214364648</v>
      </c>
      <c r="L14" s="72">
        <f>K14*1.19</f>
        <v>771.09336950939303</v>
      </c>
      <c r="M14" s="72">
        <f>L14*1.25</f>
        <v>963.86671188674131</v>
      </c>
    </row>
    <row r="15" spans="1:13" ht="25.5">
      <c r="A15" s="91" t="s">
        <v>199</v>
      </c>
      <c r="B15" s="71">
        <v>1523</v>
      </c>
      <c r="C15" s="72">
        <f t="shared" ref="C15:M15" si="1">B15*1.25</f>
        <v>1903.75</v>
      </c>
      <c r="D15" s="72">
        <f t="shared" si="1"/>
        <v>2379.6875</v>
      </c>
      <c r="E15" s="72">
        <f t="shared" si="1"/>
        <v>2974.609375</v>
      </c>
      <c r="F15" s="72">
        <f t="shared" si="1"/>
        <v>3718.26171875</v>
      </c>
      <c r="G15" s="72">
        <f t="shared" si="1"/>
        <v>4647.8271484375</v>
      </c>
      <c r="H15" s="72">
        <f t="shared" si="1"/>
        <v>5809.783935546875</v>
      </c>
      <c r="I15" s="72">
        <f t="shared" si="1"/>
        <v>7262.2299194335938</v>
      </c>
      <c r="J15" s="72">
        <f t="shared" si="1"/>
        <v>9077.7873992919922</v>
      </c>
      <c r="K15" s="72">
        <f t="shared" si="1"/>
        <v>11347.23424911499</v>
      </c>
      <c r="L15" s="72">
        <f t="shared" si="1"/>
        <v>14184.042811393738</v>
      </c>
      <c r="M15" s="72">
        <f t="shared" si="1"/>
        <v>17730.053514242172</v>
      </c>
    </row>
    <row r="16" spans="1:13" ht="25.5">
      <c r="A16" s="91" t="s">
        <v>200</v>
      </c>
      <c r="B16" s="72">
        <f t="shared" ref="B16:M16" si="2">B15-B14</f>
        <v>1426</v>
      </c>
      <c r="C16" s="72">
        <f t="shared" si="2"/>
        <v>1786.38</v>
      </c>
      <c r="D16" s="72">
        <f t="shared" si="2"/>
        <v>2230.6275999999998</v>
      </c>
      <c r="E16" s="72">
        <f t="shared" si="2"/>
        <v>2792.7562969999999</v>
      </c>
      <c r="F16" s="72">
        <f t="shared" si="2"/>
        <v>3489.1268404699999</v>
      </c>
      <c r="G16" s="72">
        <f t="shared" si="2"/>
        <v>4365.9912481531001</v>
      </c>
      <c r="H16" s="72">
        <f t="shared" si="2"/>
        <v>5477.2175732112828</v>
      </c>
      <c r="I16" s="72">
        <f t="shared" si="2"/>
        <v>6869.801611877595</v>
      </c>
      <c r="J16" s="72">
        <f t="shared" si="2"/>
        <v>8575.4791656203142</v>
      </c>
      <c r="K16" s="72">
        <f t="shared" si="2"/>
        <v>10699.256627678526</v>
      </c>
      <c r="L16" s="72">
        <f t="shared" si="2"/>
        <v>13412.949441884344</v>
      </c>
      <c r="M16" s="72">
        <f t="shared" si="2"/>
        <v>16766.186802355431</v>
      </c>
    </row>
    <row r="17" spans="1:13" ht="25.5">
      <c r="A17" s="91" t="s">
        <v>201</v>
      </c>
      <c r="B17" s="92">
        <v>83</v>
      </c>
      <c r="C17" s="92">
        <f t="shared" ref="C17:M17" si="3">B17*1.13</f>
        <v>93.789999999999992</v>
      </c>
      <c r="D17" s="92">
        <f t="shared" si="3"/>
        <v>105.98269999999998</v>
      </c>
      <c r="E17" s="92">
        <f t="shared" si="3"/>
        <v>119.76045099999996</v>
      </c>
      <c r="F17" s="92">
        <f t="shared" si="3"/>
        <v>135.32930962999995</v>
      </c>
      <c r="G17" s="92">
        <f t="shared" si="3"/>
        <v>152.92211988189993</v>
      </c>
      <c r="H17" s="92">
        <f t="shared" si="3"/>
        <v>172.80199546654691</v>
      </c>
      <c r="I17" s="92">
        <f t="shared" si="3"/>
        <v>195.26625487719798</v>
      </c>
      <c r="J17" s="92">
        <f t="shared" si="3"/>
        <v>220.65086801123368</v>
      </c>
      <c r="K17" s="92">
        <f t="shared" si="3"/>
        <v>249.33548085269405</v>
      </c>
      <c r="L17" s="92">
        <f t="shared" si="3"/>
        <v>281.74909336354426</v>
      </c>
      <c r="M17" s="92">
        <f t="shared" si="3"/>
        <v>318.37647550080499</v>
      </c>
    </row>
    <row r="18" spans="1:13" ht="12.75">
      <c r="A18" s="93" t="s">
        <v>202</v>
      </c>
      <c r="B18" s="94">
        <v>0.82</v>
      </c>
      <c r="C18" s="94">
        <v>0.82</v>
      </c>
      <c r="D18" s="94">
        <v>0.82</v>
      </c>
      <c r="E18" s="94">
        <v>0.82</v>
      </c>
      <c r="F18" s="94">
        <v>0.82</v>
      </c>
      <c r="G18" s="94">
        <v>0.82</v>
      </c>
      <c r="H18" s="94">
        <v>0.82</v>
      </c>
      <c r="I18" s="94">
        <v>0.82</v>
      </c>
      <c r="J18" s="94">
        <v>0.82</v>
      </c>
      <c r="K18" s="94">
        <v>0.82</v>
      </c>
      <c r="L18" s="94">
        <v>0.82</v>
      </c>
      <c r="M18" s="94">
        <v>0.82</v>
      </c>
    </row>
    <row r="19" spans="1:13" ht="12.75">
      <c r="A19" s="93" t="s">
        <v>203</v>
      </c>
      <c r="B19" s="95">
        <v>6.3700000000000007E-2</v>
      </c>
      <c r="C19" s="96">
        <f>C14/C15</f>
        <v>6.1652002626395266E-2</v>
      </c>
      <c r="D19" s="96">
        <f t="shared" ref="D19:M19" si="4">D14/D15</f>
        <v>6.2638434668417592E-2</v>
      </c>
      <c r="E19" s="96">
        <f>E14/E15</f>
        <v>6.113511223637557E-2</v>
      </c>
      <c r="F19" s="96">
        <f t="shared" si="4"/>
        <v>6.1624193134266571E-2</v>
      </c>
      <c r="G19" s="96">
        <f t="shared" si="4"/>
        <v>6.0638206044118313E-2</v>
      </c>
      <c r="H19" s="96">
        <f t="shared" si="4"/>
        <v>5.7242466505647682E-2</v>
      </c>
      <c r="I19" s="96">
        <f t="shared" si="4"/>
        <v>5.4036888381331409E-2</v>
      </c>
      <c r="J19" s="96">
        <f t="shared" si="4"/>
        <v>5.5333773702483366E-2</v>
      </c>
      <c r="K19" s="96">
        <f t="shared" si="4"/>
        <v>5.7104454460962836E-2</v>
      </c>
      <c r="L19" s="96">
        <f t="shared" si="4"/>
        <v>5.4363440646836618E-2</v>
      </c>
      <c r="M19" s="96">
        <f t="shared" si="4"/>
        <v>5.4363440646836618E-2</v>
      </c>
    </row>
    <row r="20" spans="1:13" ht="12.75">
      <c r="A20" s="93" t="s">
        <v>204</v>
      </c>
      <c r="B20" s="95">
        <v>0.93630000000000002</v>
      </c>
      <c r="C20" s="96">
        <f>1-C19</f>
        <v>0.93834799737360475</v>
      </c>
      <c r="D20" s="96">
        <f t="shared" ref="D20:M20" si="5">1-D19</f>
        <v>0.93736156533158244</v>
      </c>
      <c r="E20" s="96">
        <f t="shared" si="5"/>
        <v>0.93886488776362442</v>
      </c>
      <c r="F20" s="96">
        <f t="shared" si="5"/>
        <v>0.93837580686573341</v>
      </c>
      <c r="G20" s="96">
        <f t="shared" si="5"/>
        <v>0.93936179395588171</v>
      </c>
      <c r="H20" s="96">
        <f t="shared" si="5"/>
        <v>0.94275753349435232</v>
      </c>
      <c r="I20" s="96">
        <f t="shared" si="5"/>
        <v>0.94596311161866864</v>
      </c>
      <c r="J20" s="96">
        <f t="shared" si="5"/>
        <v>0.94466622629751662</v>
      </c>
      <c r="K20" s="96">
        <f t="shared" si="5"/>
        <v>0.94289554553903721</v>
      </c>
      <c r="L20" s="96">
        <f t="shared" si="5"/>
        <v>0.94563655935316338</v>
      </c>
      <c r="M20" s="96">
        <f t="shared" si="5"/>
        <v>0.94563655935316338</v>
      </c>
    </row>
    <row r="21" spans="1:13" ht="12.75">
      <c r="A21" s="93" t="s">
        <v>205</v>
      </c>
      <c r="B21" s="97">
        <v>1068.45</v>
      </c>
      <c r="C21" s="98">
        <f>C17/C19</f>
        <v>1521.280672233109</v>
      </c>
      <c r="D21" s="98">
        <f>D17/D19</f>
        <v>1691.9755508104458</v>
      </c>
      <c r="E21" s="98">
        <f t="shared" ref="E21:M21" si="6">E17/E19</f>
        <v>1958.9471028850446</v>
      </c>
      <c r="F21" s="98">
        <f t="shared" si="6"/>
        <v>2196.0418911310521</v>
      </c>
      <c r="G21" s="98">
        <f t="shared" si="6"/>
        <v>2521.877374977732</v>
      </c>
      <c r="H21" s="98">
        <f t="shared" si="6"/>
        <v>3018.7727052169885</v>
      </c>
      <c r="I21" s="98">
        <f t="shared" si="6"/>
        <v>3613.573259422878</v>
      </c>
      <c r="J21" s="98">
        <f t="shared" si="6"/>
        <v>3987.6345538553232</v>
      </c>
      <c r="K21" s="98">
        <f t="shared" si="6"/>
        <v>4366.3052769927472</v>
      </c>
      <c r="L21" s="98">
        <f t="shared" si="6"/>
        <v>5182.6942888674412</v>
      </c>
      <c r="M21" s="98">
        <f t="shared" si="6"/>
        <v>5856.4445464202081</v>
      </c>
    </row>
    <row r="22" spans="1:13" ht="12.75">
      <c r="A22" s="113"/>
      <c r="B22" s="113"/>
      <c r="C22" s="113"/>
      <c r="D22" s="113"/>
      <c r="E22" s="113"/>
      <c r="F22" s="113"/>
      <c r="G22" s="113"/>
      <c r="H22" s="113"/>
      <c r="I22" s="113"/>
      <c r="J22" s="113"/>
      <c r="K22" s="113"/>
      <c r="L22" s="113"/>
      <c r="M22" s="113"/>
    </row>
    <row r="23" spans="1:13" ht="12.75">
      <c r="A23" s="113"/>
      <c r="B23" s="113"/>
      <c r="C23" s="113"/>
      <c r="D23" s="113"/>
      <c r="E23" s="113"/>
      <c r="F23" s="113"/>
      <c r="G23" s="113"/>
      <c r="H23" s="113"/>
      <c r="I23" s="113"/>
      <c r="J23" s="113"/>
      <c r="K23" s="113"/>
      <c r="L23" s="113"/>
      <c r="M23" s="113"/>
    </row>
    <row r="24" spans="1:13" ht="12.75">
      <c r="A24" s="134"/>
      <c r="B24" s="134"/>
      <c r="C24" s="134"/>
      <c r="D24" s="134"/>
      <c r="E24" s="134"/>
      <c r="F24" s="134"/>
      <c r="G24" s="134"/>
      <c r="H24" s="134"/>
      <c r="I24" s="134"/>
      <c r="J24" s="134"/>
      <c r="K24" s="113"/>
      <c r="L24" s="113"/>
      <c r="M24" s="113"/>
    </row>
    <row r="25" spans="1:13" ht="12.75">
      <c r="A25" s="235" t="s">
        <v>206</v>
      </c>
      <c r="B25" s="220" t="s">
        <v>260</v>
      </c>
      <c r="C25" s="212"/>
      <c r="D25" s="212"/>
      <c r="E25" s="212"/>
      <c r="F25" s="212"/>
      <c r="G25" s="212"/>
      <c r="H25" s="212"/>
      <c r="I25" s="212"/>
      <c r="J25" s="213"/>
      <c r="K25" s="113"/>
      <c r="L25" s="113"/>
      <c r="M25" s="113"/>
    </row>
    <row r="26" spans="1:13" ht="36.75" customHeight="1">
      <c r="A26" s="169"/>
      <c r="B26" s="215"/>
      <c r="C26" s="215"/>
      <c r="D26" s="215"/>
      <c r="E26" s="215"/>
      <c r="F26" s="215"/>
      <c r="G26" s="215"/>
      <c r="H26" s="215"/>
      <c r="I26" s="215"/>
      <c r="J26" s="216"/>
      <c r="K26" s="113"/>
      <c r="L26" s="113"/>
      <c r="M26" s="113"/>
    </row>
    <row r="27" spans="1:13" ht="12.75">
      <c r="A27" s="235" t="s">
        <v>207</v>
      </c>
      <c r="B27" s="220" t="s">
        <v>262</v>
      </c>
      <c r="C27" s="212"/>
      <c r="D27" s="212"/>
      <c r="E27" s="212"/>
      <c r="F27" s="212"/>
      <c r="G27" s="212"/>
      <c r="H27" s="212"/>
      <c r="I27" s="212"/>
      <c r="J27" s="213"/>
      <c r="K27" s="113"/>
      <c r="L27" s="113"/>
      <c r="M27" s="113"/>
    </row>
    <row r="28" spans="1:13" ht="12.75">
      <c r="A28" s="168"/>
      <c r="B28" s="212"/>
      <c r="C28" s="212"/>
      <c r="D28" s="212"/>
      <c r="E28" s="212"/>
      <c r="F28" s="212"/>
      <c r="G28" s="212"/>
      <c r="H28" s="212"/>
      <c r="I28" s="212"/>
      <c r="J28" s="213"/>
      <c r="K28" s="113"/>
      <c r="L28" s="113"/>
      <c r="M28" s="113"/>
    </row>
    <row r="29" spans="1:13" ht="12.75">
      <c r="A29" s="169"/>
      <c r="B29" s="215"/>
      <c r="C29" s="215"/>
      <c r="D29" s="215"/>
      <c r="E29" s="215"/>
      <c r="F29" s="215"/>
      <c r="G29" s="215"/>
      <c r="H29" s="215"/>
      <c r="I29" s="215"/>
      <c r="J29" s="216"/>
      <c r="K29" s="113"/>
      <c r="L29" s="113"/>
      <c r="M29" s="113"/>
    </row>
    <row r="30" spans="1:13" ht="12.75">
      <c r="A30" s="235" t="s">
        <v>208</v>
      </c>
      <c r="B30" s="220" t="s">
        <v>261</v>
      </c>
      <c r="C30" s="212"/>
      <c r="D30" s="212"/>
      <c r="E30" s="212"/>
      <c r="F30" s="213"/>
      <c r="G30" s="99"/>
      <c r="H30" s="99"/>
      <c r="I30" s="99"/>
      <c r="J30" s="99"/>
      <c r="K30" s="113"/>
      <c r="L30" s="113"/>
      <c r="M30" s="113"/>
    </row>
    <row r="31" spans="1:13" ht="12.75">
      <c r="A31" s="168"/>
      <c r="B31" s="212"/>
      <c r="C31" s="212"/>
      <c r="D31" s="212"/>
      <c r="E31" s="212"/>
      <c r="F31" s="213"/>
      <c r="G31" s="99"/>
      <c r="H31" s="99"/>
      <c r="I31" s="99"/>
      <c r="J31" s="99"/>
      <c r="K31" s="113"/>
      <c r="L31" s="113"/>
      <c r="M31" s="113"/>
    </row>
    <row r="32" spans="1:13" ht="12.75">
      <c r="A32" s="168"/>
      <c r="B32" s="212"/>
      <c r="C32" s="212"/>
      <c r="D32" s="212"/>
      <c r="E32" s="212"/>
      <c r="F32" s="213"/>
      <c r="G32" s="99"/>
      <c r="H32" s="99"/>
      <c r="I32" s="99"/>
      <c r="J32" s="99"/>
      <c r="K32" s="113"/>
      <c r="L32" s="113"/>
      <c r="M32" s="113"/>
    </row>
    <row r="33" spans="1:13" ht="12.75">
      <c r="A33" s="169"/>
      <c r="B33" s="215"/>
      <c r="C33" s="215"/>
      <c r="D33" s="215"/>
      <c r="E33" s="215"/>
      <c r="F33" s="216"/>
      <c r="G33" s="99"/>
      <c r="H33" s="99"/>
      <c r="I33" s="99"/>
      <c r="J33" s="99"/>
      <c r="K33" s="113"/>
      <c r="L33" s="113"/>
      <c r="M33" s="113"/>
    </row>
    <row r="34" spans="1:13" ht="12.75">
      <c r="A34" s="113"/>
      <c r="B34" s="113"/>
      <c r="C34" s="113"/>
      <c r="D34" s="113"/>
      <c r="E34" s="113"/>
      <c r="F34" s="113"/>
      <c r="G34" s="113"/>
      <c r="H34" s="113"/>
      <c r="I34" s="113"/>
      <c r="J34" s="113"/>
      <c r="K34" s="113"/>
      <c r="L34" s="113"/>
      <c r="M34" s="113"/>
    </row>
  </sheetData>
  <mergeCells count="18">
    <mergeCell ref="A1:M1"/>
    <mergeCell ref="A2:H2"/>
    <mergeCell ref="A3:H3"/>
    <mergeCell ref="A4:H4"/>
    <mergeCell ref="A5:H5"/>
    <mergeCell ref="A6:H6"/>
    <mergeCell ref="A7:H7"/>
    <mergeCell ref="A27:A29"/>
    <mergeCell ref="B27:J29"/>
    <mergeCell ref="A30:A33"/>
    <mergeCell ref="B30:F33"/>
    <mergeCell ref="A8:H8"/>
    <mergeCell ref="A9:H9"/>
    <mergeCell ref="A10:H10"/>
    <mergeCell ref="A11:H11"/>
    <mergeCell ref="A12:H12"/>
    <mergeCell ref="A25:A26"/>
    <mergeCell ref="B25:J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L21"/>
  <sheetViews>
    <sheetView showGridLines="0" topLeftCell="A18" zoomScale="85" zoomScaleNormal="85" workbookViewId="0">
      <selection activeCell="L20" sqref="L20"/>
    </sheetView>
  </sheetViews>
  <sheetFormatPr defaultColWidth="12.5703125" defaultRowHeight="15.75" customHeight="1"/>
  <cols>
    <col min="2" max="2" width="41" customWidth="1"/>
    <col min="3" max="3" width="40.28515625" customWidth="1"/>
    <col min="4" max="4" width="23.85546875" customWidth="1"/>
    <col min="5" max="5" width="24.85546875" customWidth="1"/>
    <col min="6" max="6" width="25.42578125" customWidth="1"/>
    <col min="7" max="12" width="25" customWidth="1"/>
  </cols>
  <sheetData>
    <row r="1" spans="1:12" ht="37.5">
      <c r="A1" s="238" t="s">
        <v>209</v>
      </c>
      <c r="B1" s="146"/>
      <c r="C1" s="146"/>
      <c r="D1" s="146"/>
      <c r="E1" s="146"/>
      <c r="F1" s="146"/>
      <c r="G1" s="146"/>
      <c r="H1" s="146"/>
      <c r="I1" s="100"/>
      <c r="J1" s="100"/>
      <c r="K1" s="100"/>
      <c r="L1" s="100"/>
    </row>
    <row r="2" spans="1:12" ht="12.75">
      <c r="A2" s="231" t="s">
        <v>210</v>
      </c>
      <c r="B2" s="143"/>
      <c r="C2" s="143"/>
      <c r="D2" s="143"/>
      <c r="E2" s="144"/>
      <c r="G2" s="64"/>
      <c r="H2" s="64"/>
      <c r="I2" s="64"/>
      <c r="J2" s="64"/>
      <c r="K2" s="64"/>
      <c r="L2" s="64"/>
    </row>
    <row r="3" spans="1:12" ht="12.75">
      <c r="A3" s="185" t="s">
        <v>211</v>
      </c>
      <c r="B3" s="143"/>
      <c r="C3" s="143"/>
      <c r="D3" s="143"/>
      <c r="E3" s="144"/>
      <c r="G3" s="64"/>
      <c r="H3" s="64"/>
      <c r="I3" s="64"/>
      <c r="J3" s="64"/>
      <c r="K3" s="64"/>
      <c r="L3" s="64"/>
    </row>
    <row r="4" spans="1:12" ht="12.75">
      <c r="A4" s="185" t="s">
        <v>212</v>
      </c>
      <c r="B4" s="143"/>
      <c r="C4" s="143"/>
      <c r="D4" s="143"/>
      <c r="E4" s="144"/>
      <c r="G4" s="64"/>
      <c r="H4" s="64"/>
      <c r="I4" s="64"/>
      <c r="J4" s="64"/>
      <c r="K4" s="64"/>
      <c r="L4" s="64"/>
    </row>
    <row r="5" spans="1:12" ht="12.75">
      <c r="A5" s="197" t="s">
        <v>213</v>
      </c>
      <c r="B5" s="190"/>
      <c r="C5" s="190"/>
      <c r="D5" s="190"/>
      <c r="E5" s="163"/>
      <c r="G5" s="52"/>
      <c r="H5" s="52"/>
      <c r="I5" s="52"/>
      <c r="J5" s="52"/>
      <c r="K5" s="52"/>
      <c r="L5" s="52"/>
    </row>
    <row r="6" spans="1:12" ht="12.75">
      <c r="A6" s="240" t="s">
        <v>20</v>
      </c>
      <c r="B6" s="152"/>
      <c r="C6" s="152"/>
      <c r="D6" s="152"/>
      <c r="E6" s="152"/>
      <c r="F6" s="152"/>
      <c r="G6" s="152"/>
      <c r="H6" s="152"/>
      <c r="I6" s="152"/>
      <c r="J6" s="20"/>
      <c r="K6" s="20"/>
      <c r="L6" s="20"/>
    </row>
    <row r="7" spans="1:12" ht="12.75">
      <c r="A7" s="240" t="s">
        <v>214</v>
      </c>
      <c r="B7" s="152"/>
      <c r="C7" s="152"/>
      <c r="D7" s="152"/>
      <c r="E7" s="152"/>
      <c r="F7" s="152"/>
      <c r="G7" s="152"/>
      <c r="H7" s="152"/>
      <c r="I7" s="152"/>
      <c r="J7" s="20"/>
      <c r="K7" s="20"/>
      <c r="L7" s="20"/>
    </row>
    <row r="8" spans="1:12" ht="12.75">
      <c r="A8" s="239" t="s">
        <v>215</v>
      </c>
      <c r="B8" s="152"/>
      <c r="C8" s="152"/>
      <c r="D8" s="152"/>
      <c r="E8" s="152"/>
      <c r="F8" s="152"/>
      <c r="G8" s="20"/>
      <c r="H8" s="20"/>
      <c r="I8" s="20"/>
      <c r="J8" s="20"/>
      <c r="K8" s="20"/>
      <c r="L8" s="20"/>
    </row>
    <row r="9" spans="1:12" ht="12.75">
      <c r="A9" s="239" t="s">
        <v>216</v>
      </c>
      <c r="B9" s="152"/>
      <c r="C9" s="152"/>
      <c r="D9" s="152"/>
      <c r="E9" s="152"/>
      <c r="F9" s="152"/>
      <c r="G9" s="20"/>
      <c r="H9" s="20"/>
      <c r="I9" s="20"/>
      <c r="J9" s="20"/>
      <c r="K9" s="20"/>
      <c r="L9" s="20"/>
    </row>
    <row r="10" spans="1:12" ht="12.75">
      <c r="A10" s="239" t="s">
        <v>217</v>
      </c>
      <c r="B10" s="152"/>
      <c r="C10" s="152"/>
      <c r="D10" s="152"/>
      <c r="E10" s="152"/>
      <c r="F10" s="152"/>
      <c r="G10" s="20"/>
      <c r="H10" s="20"/>
      <c r="I10" s="20"/>
      <c r="J10" s="20"/>
      <c r="K10" s="20"/>
      <c r="L10" s="20"/>
    </row>
    <row r="11" spans="1:12" ht="12.75">
      <c r="A11" s="239" t="s">
        <v>218</v>
      </c>
      <c r="B11" s="152"/>
      <c r="C11" s="152"/>
      <c r="D11" s="152"/>
      <c r="E11" s="152"/>
      <c r="F11" s="152"/>
      <c r="G11" s="20"/>
      <c r="H11" s="20"/>
      <c r="I11" s="20"/>
      <c r="J11" s="20"/>
      <c r="K11" s="20"/>
      <c r="L11" s="20"/>
    </row>
    <row r="12" spans="1:12" ht="12.75">
      <c r="A12" s="239" t="s">
        <v>219</v>
      </c>
      <c r="B12" s="152"/>
      <c r="C12" s="152"/>
      <c r="D12" s="152"/>
      <c r="E12" s="152"/>
      <c r="F12" s="152"/>
      <c r="G12" s="20"/>
      <c r="H12" s="20"/>
      <c r="I12" s="20"/>
      <c r="J12" s="20"/>
      <c r="K12" s="20"/>
      <c r="L12" s="20"/>
    </row>
    <row r="13" spans="1:12" ht="12.75">
      <c r="A13" s="239" t="s">
        <v>220</v>
      </c>
      <c r="B13" s="152"/>
      <c r="C13" s="152"/>
      <c r="D13" s="152"/>
      <c r="E13" s="152"/>
      <c r="F13" s="152"/>
      <c r="G13" s="20"/>
      <c r="H13" s="20"/>
      <c r="I13" s="20"/>
      <c r="J13" s="20"/>
      <c r="K13" s="20"/>
      <c r="L13" s="20"/>
    </row>
    <row r="14" spans="1:12" ht="12.75">
      <c r="A14" s="239" t="s">
        <v>221</v>
      </c>
      <c r="B14" s="152"/>
      <c r="C14" s="152"/>
      <c r="D14" s="152"/>
      <c r="E14" s="152"/>
      <c r="F14" s="152"/>
      <c r="G14" s="20"/>
      <c r="H14" s="20"/>
      <c r="I14" s="20"/>
      <c r="J14" s="20"/>
      <c r="K14" s="20"/>
      <c r="L14" s="20"/>
    </row>
    <row r="15" spans="1:12" ht="12.75">
      <c r="A15" s="65"/>
      <c r="B15" s="65"/>
      <c r="C15" s="65"/>
      <c r="D15" s="65"/>
      <c r="E15" s="65"/>
      <c r="F15" s="65"/>
      <c r="G15" s="65"/>
      <c r="H15" s="65"/>
      <c r="I15" s="64"/>
      <c r="J15" s="64"/>
      <c r="K15" s="64"/>
      <c r="L15" s="64"/>
    </row>
    <row r="16" spans="1:12" ht="63.75">
      <c r="A16" s="101"/>
      <c r="B16" s="102" t="s">
        <v>209</v>
      </c>
      <c r="C16" s="102" t="s">
        <v>222</v>
      </c>
      <c r="D16" s="102" t="s">
        <v>223</v>
      </c>
      <c r="E16" s="102" t="s">
        <v>224</v>
      </c>
      <c r="F16" s="102" t="s">
        <v>225</v>
      </c>
      <c r="G16" s="102" t="s">
        <v>226</v>
      </c>
      <c r="H16" s="102" t="s">
        <v>227</v>
      </c>
      <c r="I16" s="103" t="s">
        <v>228</v>
      </c>
      <c r="J16" s="104" t="s">
        <v>229</v>
      </c>
      <c r="K16" s="104" t="s">
        <v>230</v>
      </c>
      <c r="L16" s="104" t="s">
        <v>231</v>
      </c>
    </row>
    <row r="17" spans="1:12" ht="151.5" customHeight="1">
      <c r="A17" s="105">
        <v>1</v>
      </c>
      <c r="B17" s="106" t="s">
        <v>263</v>
      </c>
      <c r="C17" s="106" t="s">
        <v>264</v>
      </c>
      <c r="D17" s="106" t="s">
        <v>265</v>
      </c>
      <c r="E17" s="107" t="s">
        <v>266</v>
      </c>
      <c r="F17" s="107" t="s">
        <v>267</v>
      </c>
      <c r="G17" s="107" t="s">
        <v>274</v>
      </c>
      <c r="H17" s="107" t="s">
        <v>268</v>
      </c>
      <c r="I17" s="108">
        <v>9</v>
      </c>
      <c r="J17" s="108">
        <v>8</v>
      </c>
      <c r="K17" s="108">
        <v>9</v>
      </c>
      <c r="L17" s="141">
        <f>AVERAGE(I17:K17)</f>
        <v>8.6666666666666661</v>
      </c>
    </row>
    <row r="18" spans="1:12" ht="126" customHeight="1">
      <c r="A18" s="105">
        <v>2</v>
      </c>
      <c r="B18" s="107" t="s">
        <v>269</v>
      </c>
      <c r="C18" s="107" t="s">
        <v>270</v>
      </c>
      <c r="D18" s="107" t="s">
        <v>271</v>
      </c>
      <c r="E18" s="107" t="s">
        <v>272</v>
      </c>
      <c r="F18" s="106" t="s">
        <v>273</v>
      </c>
      <c r="G18" s="107" t="s">
        <v>275</v>
      </c>
      <c r="H18" s="106" t="s">
        <v>276</v>
      </c>
      <c r="I18" s="108">
        <v>10</v>
      </c>
      <c r="J18" s="109">
        <v>9</v>
      </c>
      <c r="K18" s="109">
        <v>10</v>
      </c>
      <c r="L18" s="110">
        <f>AVERAGE(I18:K18)</f>
        <v>9.6666666666666661</v>
      </c>
    </row>
    <row r="19" spans="1:12" ht="126" customHeight="1">
      <c r="A19" s="111">
        <v>3</v>
      </c>
      <c r="B19" s="107" t="s">
        <v>277</v>
      </c>
      <c r="C19" s="112" t="s">
        <v>278</v>
      </c>
      <c r="D19" s="107" t="s">
        <v>279</v>
      </c>
      <c r="E19" s="107" t="s">
        <v>280</v>
      </c>
      <c r="F19" s="106" t="s">
        <v>281</v>
      </c>
      <c r="G19" s="107" t="s">
        <v>282</v>
      </c>
      <c r="H19" s="106" t="s">
        <v>283</v>
      </c>
      <c r="I19" s="108">
        <v>9</v>
      </c>
      <c r="J19" s="109">
        <v>8</v>
      </c>
      <c r="K19" s="109">
        <v>8</v>
      </c>
      <c r="L19" s="110">
        <f>AVERAGE(I19:K19)</f>
        <v>8.3333333333333339</v>
      </c>
    </row>
    <row r="20" spans="1:12" ht="12.75">
      <c r="I20" s="113"/>
      <c r="J20" s="113"/>
      <c r="K20" s="113"/>
      <c r="L20" s="114"/>
    </row>
    <row r="21" spans="1:12" ht="12.75">
      <c r="I21" s="113"/>
      <c r="J21" s="113"/>
      <c r="K21" s="113"/>
    </row>
  </sheetData>
  <mergeCells count="14">
    <mergeCell ref="A13:F13"/>
    <mergeCell ref="A14:F14"/>
    <mergeCell ref="A1:H1"/>
    <mergeCell ref="A2:E2"/>
    <mergeCell ref="A3:E3"/>
    <mergeCell ref="A4:E4"/>
    <mergeCell ref="A5:E5"/>
    <mergeCell ref="A6:I6"/>
    <mergeCell ref="A7:I7"/>
    <mergeCell ref="A8:F8"/>
    <mergeCell ref="A9:F9"/>
    <mergeCell ref="A10:F10"/>
    <mergeCell ref="A11:F11"/>
    <mergeCell ref="A12:F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Deliverable</vt:lpstr>
      <vt:lpstr>Tab 1 - Engagement Type Analysi</vt:lpstr>
      <vt:lpstr>Tab 2 - Engagement State Analys</vt:lpstr>
      <vt:lpstr>Tab 3 - Retention Cohort Analys</vt:lpstr>
      <vt:lpstr>Tab 4 - Retention Curve </vt:lpstr>
      <vt:lpstr>Tab 5 - Retention Segmentation</vt:lpstr>
      <vt:lpstr>Tab 6 - Lifecycle Chart</vt:lpstr>
      <vt:lpstr>Tab 7 - Churn &amp; LTV Analysis</vt:lpstr>
      <vt:lpstr>Tab 8 - Experment Brief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Jamil Abdulai</cp:lastModifiedBy>
  <dcterms:modified xsi:type="dcterms:W3CDTF">2022-10-07T11:40:35Z</dcterms:modified>
</cp:coreProperties>
</file>