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l-FPR1EndocytosisCalculations-2022-23\"/>
    </mc:Choice>
  </mc:AlternateContent>
  <xr:revisionPtr revIDLastSave="0" documentId="13_ncr:1_{832902EF-2DA2-4CB6-A2FD-8385191231BE}" xr6:coauthVersionLast="47" xr6:coauthVersionMax="47" xr10:uidLastSave="{00000000-0000-0000-0000-000000000000}"/>
  <bookViews>
    <workbookView xWindow="-120" yWindow="-120" windowWidth="29040" windowHeight="15840" activeTab="7" xr2:uid="{97803097-60E1-4A78-BC47-B70244695675}"/>
  </bookViews>
  <sheets>
    <sheet name="6-5-24" sheetId="2" r:id="rId1"/>
    <sheet name="6-6-24" sheetId="1" r:id="rId2"/>
    <sheet name="6-14-24" sheetId="4" r:id="rId3"/>
    <sheet name="6-17-24" sheetId="5" r:id="rId4"/>
    <sheet name="6-18-24" sheetId="6" r:id="rId5"/>
    <sheet name="6-20-24" sheetId="7" r:id="rId6"/>
    <sheet name="6-21-24" sheetId="8" r:id="rId7"/>
    <sheet name="6-24-24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0" l="1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6" i="10"/>
  <c r="I28" i="10"/>
  <c r="I29" i="10"/>
  <c r="I27" i="10"/>
  <c r="I11" i="10"/>
  <c r="I10" i="10"/>
  <c r="I7" i="10"/>
  <c r="H29" i="10"/>
  <c r="H28" i="10"/>
  <c r="H27" i="10"/>
  <c r="H26" i="10"/>
  <c r="I26" i="10" s="1"/>
  <c r="H25" i="10"/>
  <c r="I25" i="10" s="1"/>
  <c r="H24" i="10"/>
  <c r="I24" i="10" s="1"/>
  <c r="H23" i="10"/>
  <c r="I23" i="10" s="1"/>
  <c r="H22" i="10"/>
  <c r="I22" i="10" s="1"/>
  <c r="H21" i="10"/>
  <c r="I21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H12" i="10"/>
  <c r="I12" i="10" s="1"/>
  <c r="H11" i="10"/>
  <c r="H10" i="10"/>
  <c r="H9" i="10"/>
  <c r="I9" i="10" s="1"/>
  <c r="H8" i="10"/>
  <c r="I8" i="10" s="1"/>
  <c r="H7" i="10"/>
  <c r="I15" i="8"/>
  <c r="I8" i="8"/>
  <c r="I6" i="8"/>
  <c r="H17" i="8"/>
  <c r="I17" i="8" s="1"/>
  <c r="H18" i="8"/>
  <c r="I18" i="8" s="1"/>
  <c r="H19" i="8"/>
  <c r="I19" i="8" s="1"/>
  <c r="H20" i="8"/>
  <c r="I20" i="8" s="1"/>
  <c r="I19" i="7"/>
  <c r="H28" i="8"/>
  <c r="I28" i="8" s="1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16" i="8"/>
  <c r="I16" i="8" s="1"/>
  <c r="H15" i="8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H7" i="8"/>
  <c r="I7" i="8" s="1"/>
  <c r="H6" i="8"/>
  <c r="I15" i="7"/>
  <c r="I16" i="7"/>
  <c r="I14" i="7"/>
  <c r="I12" i="7"/>
  <c r="I13" i="7"/>
  <c r="I11" i="7"/>
  <c r="I9" i="7"/>
  <c r="I10" i="7"/>
  <c r="I8" i="7"/>
  <c r="I6" i="7"/>
  <c r="I7" i="7"/>
  <c r="I5" i="7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H16" i="7"/>
  <c r="H15" i="7"/>
  <c r="H14" i="7"/>
  <c r="H13" i="7"/>
  <c r="H12" i="7"/>
  <c r="H11" i="7"/>
  <c r="H10" i="7"/>
  <c r="H9" i="7"/>
  <c r="H8" i="7"/>
  <c r="H7" i="7"/>
  <c r="H6" i="7"/>
  <c r="H5" i="7"/>
  <c r="I15" i="6"/>
  <c r="I16" i="6"/>
  <c r="I14" i="6"/>
  <c r="I12" i="6"/>
  <c r="I13" i="6"/>
  <c r="I11" i="6"/>
  <c r="I9" i="6"/>
  <c r="I10" i="6"/>
  <c r="I8" i="6"/>
  <c r="I6" i="6"/>
  <c r="I7" i="6"/>
  <c r="I5" i="6"/>
  <c r="H16" i="6"/>
  <c r="H15" i="6"/>
  <c r="H14" i="6"/>
  <c r="H13" i="6"/>
  <c r="H12" i="6"/>
  <c r="H11" i="6"/>
  <c r="H10" i="6"/>
  <c r="H9" i="6"/>
  <c r="H8" i="6"/>
  <c r="H7" i="6"/>
  <c r="H6" i="6"/>
  <c r="H5" i="6"/>
  <c r="I31" i="5"/>
  <c r="I32" i="5"/>
  <c r="I30" i="5"/>
  <c r="I29" i="5"/>
  <c r="I19" i="5"/>
  <c r="I15" i="5"/>
  <c r="I16" i="5"/>
  <c r="I14" i="5"/>
  <c r="I12" i="5"/>
  <c r="I13" i="5"/>
  <c r="I11" i="5"/>
  <c r="I9" i="5"/>
  <c r="I10" i="5"/>
  <c r="I8" i="5"/>
  <c r="I6" i="5"/>
  <c r="I7" i="5"/>
  <c r="I5" i="5"/>
  <c r="I15" i="4"/>
  <c r="I14" i="4"/>
  <c r="I12" i="4"/>
  <c r="I11" i="4"/>
  <c r="I9" i="4"/>
  <c r="I8" i="4"/>
  <c r="I6" i="4"/>
  <c r="I7" i="4"/>
  <c r="I5" i="4"/>
  <c r="H35" i="5"/>
  <c r="I35" i="5" s="1"/>
  <c r="H34" i="5"/>
  <c r="I34" i="5" s="1"/>
  <c r="H33" i="5"/>
  <c r="I33" i="5" s="1"/>
  <c r="H32" i="5"/>
  <c r="H31" i="5"/>
  <c r="H30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H16" i="5"/>
  <c r="H15" i="5"/>
  <c r="H14" i="5"/>
  <c r="H13" i="5"/>
  <c r="H12" i="5"/>
  <c r="H11" i="5"/>
  <c r="H10" i="5"/>
  <c r="H9" i="5"/>
  <c r="H8" i="5"/>
  <c r="H7" i="5"/>
  <c r="H6" i="5"/>
  <c r="H5" i="5"/>
  <c r="H16" i="4"/>
  <c r="I16" i="4" s="1"/>
  <c r="H15" i="4"/>
  <c r="H14" i="4"/>
  <c r="H13" i="4"/>
  <c r="I13" i="4" s="1"/>
  <c r="H12" i="4"/>
  <c r="H11" i="4"/>
  <c r="H10" i="4"/>
  <c r="I10" i="4" s="1"/>
  <c r="H9" i="4"/>
  <c r="H8" i="4"/>
  <c r="H7" i="4"/>
  <c r="H6" i="4"/>
  <c r="H5" i="4"/>
  <c r="I35" i="1"/>
  <c r="I33" i="1"/>
  <c r="I31" i="1"/>
  <c r="I29" i="1"/>
  <c r="I19" i="1"/>
  <c r="H33" i="1"/>
  <c r="H34" i="1"/>
  <c r="I34" i="1" s="1"/>
  <c r="H35" i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H30" i="1"/>
  <c r="I30" i="1" s="1"/>
  <c r="H31" i="1"/>
  <c r="H32" i="1"/>
  <c r="I32" i="1" s="1"/>
  <c r="H19" i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<sst xmlns="http://schemas.openxmlformats.org/spreadsheetml/2006/main" count="595" uniqueCount="254">
  <si>
    <t>Applying gate R1</t>
  </si>
  <si>
    <t>SUMMARY TABLE:</t>
  </si>
  <si>
    <t>Sample                        Gated  APC-A-mean  APC-A-frac</t>
  </si>
  <si>
    <t>100nM_SC823.fcs                0.85      1562.7       0.555</t>
  </si>
  <si>
    <t>100nM_SC849_C1.fcs             0.53      4076.3       0.977</t>
  </si>
  <si>
    <t>100nM_SC849_C4.fcs             0.71      3807.2       0.971</t>
  </si>
  <si>
    <t>100nM_SC850_C9.fcs             0.54      7286.7       0.970</t>
  </si>
  <si>
    <t>1uM_SC823.fcs                  0.86       801.2       0.243</t>
  </si>
  <si>
    <t>1uM_SC849_C1.fcs               0.55      2362.3       0.870</t>
  </si>
  <si>
    <t>1uM_SC849_C4.fcs               0.69      1935.4       0.854</t>
  </si>
  <si>
    <t>1uM_SC850_C9.fcs               0.56      5528.3       0.915</t>
  </si>
  <si>
    <t>SC495_100nM_101_10.fcs         0.85      2854.9       0.775</t>
  </si>
  <si>
    <t>SC495_100nM_101_20.fcs         0.86      3106.9       0.783</t>
  </si>
  <si>
    <t>SC495_100nM_NAV10.fcs          0.86      1420.6       0.576</t>
  </si>
  <si>
    <t>SC495_100nM_NAV100.fcs         0.89      5173.7       0.833</t>
  </si>
  <si>
    <t>SC495_100nM_NAV25.fcs          0.87      2317.3       0.728</t>
  </si>
  <si>
    <t>SC495_100nM_NAV50.fcs          0.87      3854.3       0.804</t>
  </si>
  <si>
    <t>SC495_100nM_Untreated.fcs      0.86      1161.4       0.464</t>
  </si>
  <si>
    <t>SC495_101_10.fcs               0.85      6106.2       0.858</t>
  </si>
  <si>
    <t>SC495_101_20.fcs               0.85      7547.1       0.869</t>
  </si>
  <si>
    <t>SC495_1uM_101_10.fcs           0.87       921.9       0.382</t>
  </si>
  <si>
    <t>SC495_1uM_101_20.fcs           0.86       822.1       0.332</t>
  </si>
  <si>
    <t>SC495_1uM_Untreated.fcs        0.88       645.4       0.149</t>
  </si>
  <si>
    <t>SC495_NAV10.fcs                0.88      6833.8       0.865</t>
  </si>
  <si>
    <t>SC495_NAV100.fcs               0.89      7298.1       0.858</t>
  </si>
  <si>
    <t>SC495_NAV25.fcs                0.89      6540.4       0.836</t>
  </si>
  <si>
    <t>SC495_NAV50.fcs                0.89      6825.3       0.826</t>
  </si>
  <si>
    <t>SC495_Untreated.fcs            0.88      6797.2       0.868</t>
  </si>
  <si>
    <t>medium_SC823.fcs               0.85      7959.0       0.880</t>
  </si>
  <si>
    <t>medium_SC849_C1.fcs            0.58     18126.6       0.998</t>
  </si>
  <si>
    <t>medium_SC849_C4.fcs            0.71     22029.5       0.995</t>
  </si>
  <si>
    <t>medium_SC850_C9.fcs            0.59     15603.1       0.991</t>
  </si>
  <si>
    <t>unst_SC495.fcs                 0.83        89.1       0.008</t>
  </si>
  <si>
    <t>unst_SC823.fcs                 0.85        98.4       0.007</t>
  </si>
  <si>
    <t>unst_SC849_C1.fcs              0.59       176.1       0.015</t>
  </si>
  <si>
    <t>unst_SC849_C4.fcs              0.67       186.7       0.008</t>
  </si>
  <si>
    <t>unst_SC850_C9.fcs              0.56       259.5       0.051</t>
  </si>
  <si>
    <t>EA20240606_ARF6cloned_CRISPRkos_InhibTitrationSC495</t>
  </si>
  <si>
    <t>Background</t>
  </si>
  <si>
    <t>APC (APC-antiFPR1)</t>
  </si>
  <si>
    <t>Background Substracted</t>
  </si>
  <si>
    <t>% FPR1 on Surface</t>
  </si>
  <si>
    <t>SC701</t>
  </si>
  <si>
    <t>medium</t>
  </si>
  <si>
    <t>100 nM</t>
  </si>
  <si>
    <t>SC823</t>
  </si>
  <si>
    <t>1 uM</t>
  </si>
  <si>
    <t>SC849 Clone 1</t>
  </si>
  <si>
    <t>SC849 Clone 4</t>
  </si>
  <si>
    <t>SC850 Clone 9</t>
  </si>
  <si>
    <t>100nM_SC701.fcs                0.81      2312.9       0.628</t>
  </si>
  <si>
    <t>100nM_SC823.fcs                0.84      1526.7       0.498</t>
  </si>
  <si>
    <t>100nM_SC849_C1.fcs             0.58      3826.3       0.948</t>
  </si>
  <si>
    <t>100nM_SC849_C4.fcs             0.74      3451.6       0.940</t>
  </si>
  <si>
    <t>100nM_SC850_C9.fcs             0.55      8152.4       0.959</t>
  </si>
  <si>
    <t>1uM_SC701.fcs                  0.81      1141.5       0.360</t>
  </si>
  <si>
    <t>1uM_SC823.fcs                  0.83       739.1       0.242</t>
  </si>
  <si>
    <t>1uM_SC849_C1.fcs               0.60      2278.7       0.768</t>
  </si>
  <si>
    <t>1uM_SC849_C4.fcs               0.76      1845.9       0.737</t>
  </si>
  <si>
    <t>1uM_SC850_C9.fcs               0.54      6436.1       0.905</t>
  </si>
  <si>
    <t>medium_SC701.fcs               0.78      9371.5       0.878</t>
  </si>
  <si>
    <t>medium_SC823.fcs               0.82      5855.1       0.803</t>
  </si>
  <si>
    <t>medium_SC849_C1.fcs            0.61     15457.9       0.995</t>
  </si>
  <si>
    <t>medium_SC849_C4.fcs            0.72     15428.4       0.985</t>
  </si>
  <si>
    <t>medium_SC850_C9.fcs            0.48     11360.7       0.984</t>
  </si>
  <si>
    <t>unst_SC701.fcs                 0.81       108.1       0.002</t>
  </si>
  <si>
    <t>unst_SC823.fcs                 0.79        78.2       0.001</t>
  </si>
  <si>
    <t>unst_SC849_C1.fcs              0.65       156.5       0.004</t>
  </si>
  <si>
    <t>unst_SC849_C4.fcs              0.71       172.9       0.004</t>
  </si>
  <si>
    <t>unst_SC850_C9.fcs              0.53       195.6       0.021</t>
  </si>
  <si>
    <t>SC495</t>
  </si>
  <si>
    <t>NAV10</t>
  </si>
  <si>
    <t>NAV25</t>
  </si>
  <si>
    <t>NAV50</t>
  </si>
  <si>
    <t>NAV100</t>
  </si>
  <si>
    <t>Untreated</t>
  </si>
  <si>
    <t>Cmpd101_10</t>
  </si>
  <si>
    <t>Cmpd101_20</t>
  </si>
  <si>
    <t>100nM_SC823.fcs                0.79      1255.7       0.404</t>
  </si>
  <si>
    <t>100nM_SC849_C1.fcs             0.52      3568.5       0.913</t>
  </si>
  <si>
    <t>100nM_SC849_C4.fcs             0.61      3221.9       0.910</t>
  </si>
  <si>
    <t>100nM_SC850_C9.fcs             0.62      7057.5       0.931</t>
  </si>
  <si>
    <t>1uM_SC823.fcs                  0.82       740.3       0.218</t>
  </si>
  <si>
    <t>1uM_SC849_C1.fcs               0.56      2179.0       0.719</t>
  </si>
  <si>
    <t>1uM_SC849_C4.fcs               0.66      1584.8       0.644</t>
  </si>
  <si>
    <t>1uM_SC850_C9.fcs               0.63      5944.6       0.862</t>
  </si>
  <si>
    <t>medium_SC823.fcs               0.75      7844.1       0.806</t>
  </si>
  <si>
    <t>medium_SC849_C1.fcs            0.56     14209.9       0.989</t>
  </si>
  <si>
    <t>medium_SC849_C4.fcs            0.58     16331.7       0.991</t>
  </si>
  <si>
    <t>medium_SC850_C9.fcs            0.59     11129.3       0.975</t>
  </si>
  <si>
    <t>unst_SC823.fcs                 0.79       110.5       0.006</t>
  </si>
  <si>
    <t>unst_SC849_C1.fcs              0.60       216.6       0.022</t>
  </si>
  <si>
    <t>unst_SC849_C4.fcs              0.63       241.5       0.015</t>
  </si>
  <si>
    <t>unst_SC850_C9.fcs              0.59       224.2       0.040</t>
  </si>
  <si>
    <t>100nM_SC823.fcs                0.81       943.2       0.360</t>
  </si>
  <si>
    <t>100nM_SC849_C1.fcs             0.65      2538.1       0.867</t>
  </si>
  <si>
    <t>100nM_SC849_C4.fcs             0.67      2195.1       0.843</t>
  </si>
  <si>
    <t>100nM_SC850_C9.fcs             0.61      6251.8       0.943</t>
  </si>
  <si>
    <t>1uM_SC823.fcs                  0.83       523.3       0.146</t>
  </si>
  <si>
    <t>1uM_SC849_C1.fcs               0.66      1432.3       0.565</t>
  </si>
  <si>
    <t>1uM_SC849_C4.fcs               0.68      1280.2       0.515</t>
  </si>
  <si>
    <t>1uM_SC850_C9.fcs               0.62      3971.7       0.792</t>
  </si>
  <si>
    <t>SC495_100nM_101_10.fcs         0.86      1533.3       0.505</t>
  </si>
  <si>
    <t>SC495_100nM_101_20.fcs         0.84      1805.2       0.536</t>
  </si>
  <si>
    <t>SC495_100nM_NAV10.fcs          0.85       695.2       0.249</t>
  </si>
  <si>
    <t>SC495_100nM_NAV100.fcs         0.87      2743.6       0.649</t>
  </si>
  <si>
    <t>SC495_100nM_NAV25.fcs          0.85      1157.0       0.415</t>
  </si>
  <si>
    <t>SC495_100nM_NAV50.fcs          0.87      1812.1       0.548</t>
  </si>
  <si>
    <t>SC495_100nM_Untreated.fcs      0.86       612.6       0.202</t>
  </si>
  <si>
    <t>SC495_101_10.fcs               0.86      2431.9       0.629</t>
  </si>
  <si>
    <t>SC495_101_20.fcs               0.84      3580.4       0.666</t>
  </si>
  <si>
    <t>SC495_1uM_101_10.fcs           0.86       582.8       0.183</t>
  </si>
  <si>
    <t>SC495_1uM_101_20.fcs           0.84       741.7       0.253</t>
  </si>
  <si>
    <t>SC495_1uM_Untreated.fcs        0.86       352.9       0.106</t>
  </si>
  <si>
    <t>SC495_NAV10.fcs                0.84      2629.9       0.643</t>
  </si>
  <si>
    <t>SC495_NAV100.fcs               0.86      3843.4       0.685</t>
  </si>
  <si>
    <t>SC495_NAV25.fcs                0.87      4039.3       0.672</t>
  </si>
  <si>
    <t>SC495_NAV50.fcs                0.85      3636.7       0.659</t>
  </si>
  <si>
    <t>SC495_Untreated.fcs            0.86      3005.1       0.662</t>
  </si>
  <si>
    <t>medium_SC823.fcs               0.77      4413.5       0.795</t>
  </si>
  <si>
    <t>medium_SC849_C1.fcs            0.68      8627.4       0.983</t>
  </si>
  <si>
    <t>medium_SC849_C4.fcs            0.65     11374.4       0.986</t>
  </si>
  <si>
    <t>medium_SC850_C9.fcs            0.58     10321.3       0.982</t>
  </si>
  <si>
    <t>unst_SC495.fcs                 0.86        72.5       0.002</t>
  </si>
  <si>
    <t>unst_SC495_N.fcs               0.86        70.0       0.002</t>
  </si>
  <si>
    <t>unst_SC823.fcs                 0.81       101.6       0.002</t>
  </si>
  <si>
    <t>unst_SC849_C1.fcs              0.69       159.3       0.005</t>
  </si>
  <si>
    <t>unst_SC849_C4.fcs              0.65       201.7       0.003</t>
  </si>
  <si>
    <t>unst_SC850_C9.fcs              0.57       149.2       0.015</t>
  </si>
  <si>
    <t>100nM_SC823.fcs                0.77      1220.7       0.437</t>
  </si>
  <si>
    <t>100nM_SC849_C1.fcs             0.56      2240.7       0.819</t>
  </si>
  <si>
    <t>100nM_SC849_C4.fcs             0.72      1557.3       0.701</t>
  </si>
  <si>
    <t>100nM_SC850_C9.fcs             0.59      5432.4       0.945</t>
  </si>
  <si>
    <t>1uM_SC823.fcs                  0.78       686.2       0.228</t>
  </si>
  <si>
    <t>1uM_SC849_C1.fcs               0.58      1464.8       0.564</t>
  </si>
  <si>
    <t>1uM_SC849_C4.fcs               0.72       953.2       0.383</t>
  </si>
  <si>
    <t>1uM_SC850_C9.fcs               0.58      3925.9       0.847</t>
  </si>
  <si>
    <t>medium_SC823.fcs               0.74      5328.1       0.824</t>
  </si>
  <si>
    <t>medium_SC849_C1.fcs            0.65      8477.2       0.986</t>
  </si>
  <si>
    <t>medium_SC849_C4.fcs            0.71      7572.1       0.974</t>
  </si>
  <si>
    <t>medium_SC850_C9.fcs            0.53      7281.8       0.985</t>
  </si>
  <si>
    <t>unst_SC823.fcs                 0.78        93.0       0.005</t>
  </si>
  <si>
    <t>unst_SC849_C1.fcs              0.65       153.3       0.012</t>
  </si>
  <si>
    <t>unst_SC849_C4.fcs              0.76       148.6       0.007</t>
  </si>
  <si>
    <t>unst_SC850_C9.fcs              0.57       230.4       0.045</t>
  </si>
  <si>
    <t>100nM_SC823.fcs                0.75      1724.0       0.564</t>
  </si>
  <si>
    <t>100nM_SC849_C1.fcs             0.50      2723.1       0.881</t>
  </si>
  <si>
    <t>100nM_SC849_C4.fcs             0.40      3081.5       0.896</t>
  </si>
  <si>
    <t>100nM_SC850_C9.fcs             0.53      7387.4       0.963</t>
  </si>
  <si>
    <t>1uM_SC823.fcs                  0.75       865.7       0.282</t>
  </si>
  <si>
    <t>1uM_SC849_C1.fcs               0.55      1537.9       0.579</t>
  </si>
  <si>
    <t>1uM_SC849_C4.fcs               0.37      1719.6       0.655</t>
  </si>
  <si>
    <t>1uM_SC850_C9.fcs               0.54      5422.2       0.867</t>
  </si>
  <si>
    <t>SC495_100nM_101_10.fcs         0.79      2171.3       0.673</t>
  </si>
  <si>
    <t>SC495_100nM_101_20.fcs         0.79      2583.0       0.727</t>
  </si>
  <si>
    <t>SC495_100nM_101_30.fcs         0.77      2706.8       0.735</t>
  </si>
  <si>
    <t>SC495_100nM_NAV10.fcs          0.81      1101.2       0.445</t>
  </si>
  <si>
    <t>SC495_100nM_NAV100.fcs         0.76      3576.7       0.782</t>
  </si>
  <si>
    <t>SC495_100nM_NAV25.fcs          0.78      1448.0       0.573</t>
  </si>
  <si>
    <t>SC495_100nM_NAV50.fcs          0.74      2267.9       0.723</t>
  </si>
  <si>
    <t>SC495_100nM_Untreated.fcs      0.80       787.8       0.294</t>
  </si>
  <si>
    <t>SC495_101_10.fcs               0.72      5237.5       0.776</t>
  </si>
  <si>
    <t>SC495_101_20.fcs               0.63      4584.8       0.761</t>
  </si>
  <si>
    <t>SC495_101_30.fcs               0.77      5499.7       0.817</t>
  </si>
  <si>
    <t>SC495_1uM_101_10.fcs           0.69       727.2       0.271</t>
  </si>
  <si>
    <t>SC495_1uM_101_20.fcs           0.79      1034.3       0.414</t>
  </si>
  <si>
    <t>SC495_1uM_101_30.fcs           0.77      1143.0       0.458</t>
  </si>
  <si>
    <t>SC495_1uM_DMSO.fcs             0.77       498.2       0.139</t>
  </si>
  <si>
    <t>SC495_1uM_NAV10.fcs            0.80       477.7       0.117</t>
  </si>
  <si>
    <t>SC495_1uM_NAV100.fcs           0.76      1042.4       0.428</t>
  </si>
  <si>
    <t>SC495_1uM_NAV25.fcs            0.75       467.8       0.124</t>
  </si>
  <si>
    <t>SC495_1uM_NAV50.fcs            0.74       587.7       0.178</t>
  </si>
  <si>
    <t>SC495_1uM_Untreated.fcs        0.80       453.5       0.114</t>
  </si>
  <si>
    <t>SC495_NAV10.fcs                0.79      4544.9       0.771</t>
  </si>
  <si>
    <t>SC495_NAV100.fcs               0.79      4976.3       0.784</t>
  </si>
  <si>
    <t>SC495_NAV25.fcs                0.75      4523.4       0.772</t>
  </si>
  <si>
    <t>SC495_NAV50.fcs                0.74      4947.6       0.787</t>
  </si>
  <si>
    <t>SC495_Untreated.fcs            0.78      4434.8       0.785</t>
  </si>
  <si>
    <t>medium_SC823.fcs               0.73      9164.0       0.865</t>
  </si>
  <si>
    <t>medium_SC849_C1.fcs            0.55     12113.6       0.987</t>
  </si>
  <si>
    <t>medium_SC849_C4.fcs            0.37     14398.3       0.988</t>
  </si>
  <si>
    <t>medium_SC850_C9.fcs            0.51     13010.3       0.990</t>
  </si>
  <si>
    <t>unst_SC495.fcs                 0.75        64.3       0.001</t>
  </si>
  <si>
    <t>unst_SC823.fcs                 0.72       101.3       0.002</t>
  </si>
  <si>
    <t>unst_SC849_C1.fcs              0.56       158.4       0.005</t>
  </si>
  <si>
    <t>unst_SC849_C4.fcs              0.38       239.3       0.012</t>
  </si>
  <si>
    <t>unst_SC850_C9.fcs              0.50       139.6       0.011</t>
  </si>
  <si>
    <t>EA20240620_ARF6cloned_CRISPRkos_InhibTitrationSC495</t>
  </si>
  <si>
    <t>Cmpd101_30</t>
  </si>
  <si>
    <t>Cmpd101_5</t>
  </si>
  <si>
    <t>APC</t>
  </si>
  <si>
    <t>SC495_100nM_101_10.fcs         0.79      2013.1       0.612</t>
  </si>
  <si>
    <t>SC495_100nM_101_20.fcs         0.80      2433.1       0.658</t>
  </si>
  <si>
    <t>SC495_100nM_101_30.fcs         0.79      2379.1       0.663</t>
  </si>
  <si>
    <t>SC495_100nM_101_5.fcs          0.83      1907.5       0.593</t>
  </si>
  <si>
    <t>SC495_100nM_NAV10.fcs          0.84      1256.7       0.420</t>
  </si>
  <si>
    <t>SC495_100nM_NAV100.fcs         0.81      4381.3       0.752</t>
  </si>
  <si>
    <t>SC495_100nM_NAV25.fcs          0.84      1652.5       0.542</t>
  </si>
  <si>
    <t>SC495_100nM_NAV50.fcs          0.85      2859.3       0.697</t>
  </si>
  <si>
    <t>SC495_100nM_Untreated.fcs      0.83       939.0       0.322</t>
  </si>
  <si>
    <t>SC495_101_10.fcs               0.82      5591.0       0.789</t>
  </si>
  <si>
    <t>SC495_101_20.fcs               0.80      5488.4       0.776</t>
  </si>
  <si>
    <t>SC495_101_30.fcs               0.78      5127.1       0.759</t>
  </si>
  <si>
    <t>SC495_101_5.fcs                0.83      5492.4       0.791</t>
  </si>
  <si>
    <t>SC495_1uM_101_10.fcs           0.80       926.2       0.342</t>
  </si>
  <si>
    <t>SC495_1uM_101_20.fcs           0.82       943.8       0.359</t>
  </si>
  <si>
    <t>SC495_1uM_101_30.fcs           0.79       935.5       0.362</t>
  </si>
  <si>
    <t>SC495_1uM_101_5.fcs            0.80       672.6       0.210</t>
  </si>
  <si>
    <t>SC495_1uM_Untreated.fcs        0.81       551.1       0.138</t>
  </si>
  <si>
    <t>SC495_NAV10.fcs                0.84      6305.9       0.777</t>
  </si>
  <si>
    <t>SC495_NAV100.fcs               0.82      6330.0       0.773</t>
  </si>
  <si>
    <t>SC495_NAV25.fcs                0.84      6301.2       0.773</t>
  </si>
  <si>
    <t>SC495_NAV50.fcs                0.83      6554.0       0.787</t>
  </si>
  <si>
    <t>SC495_Untreated.fcs            0.80      6029.9       0.777</t>
  </si>
  <si>
    <t>unst_SC495.fcs                 0.78        85.4       0.008</t>
  </si>
  <si>
    <t>EA20240621_InhibTitrationSC495</t>
  </si>
  <si>
    <t>SC495_100nM_101_10.fcs         0.84      2158.1       0.682</t>
  </si>
  <si>
    <t>SC495_100nM_101_20.fcs         0.81      2287.7       0.692</t>
  </si>
  <si>
    <t>SC495_100nM_101_30.fcs         0.82      2207.8       0.686</t>
  </si>
  <si>
    <t>SC495_100nM_101_5.fcs          0.83      1833.9       0.635</t>
  </si>
  <si>
    <t>SC495_100nM_NAV10.fcs          0.82      1001.7       0.379</t>
  </si>
  <si>
    <t>SC495_100nM_NAV100.fcs         0.79      3379.2       0.747</t>
  </si>
  <si>
    <t>SC495_100nM_NAV25.fcs          0.83      1480.0       0.567</t>
  </si>
  <si>
    <t>SC495_100nM_NAV50.fcs          0.82      2254.9       0.653</t>
  </si>
  <si>
    <t>SC495_100nM_Untreated.fcs      0.84       847.0       0.297</t>
  </si>
  <si>
    <t>SC495_101_10.fcs               0.81      4926.0       0.802</t>
  </si>
  <si>
    <t>SC495_101_20.fcs               0.81      4837.4       0.796</t>
  </si>
  <si>
    <t>SC495_101_30.fcs               0.79      4552.8       0.801</t>
  </si>
  <si>
    <t>SC495_101_5.fcs                0.82      5073.4       0.815</t>
  </si>
  <si>
    <t>SC495_1uM_101_10.fcs           0.83       814.2       0.327</t>
  </si>
  <si>
    <t>SC495_1uM_101_20.fcs           0.81       951.6       0.384</t>
  </si>
  <si>
    <t>SC495_1uM_101_30.fcs           0.82       880.9       0.354</t>
  </si>
  <si>
    <t>SC495_1uM_101_5.fcs            0.84       678.9       0.226</t>
  </si>
  <si>
    <t>SC495_1uM_Untreated.fcs        0.85       455.8       0.117</t>
  </si>
  <si>
    <t>SC495_NAV10.fcs                0.81      4332.7       0.763</t>
  </si>
  <si>
    <t>SC495_NAV100.fcs               0.78      4977.7       0.774</t>
  </si>
  <si>
    <t>SC495_NAV25.fcs                0.82      4629.1       0.772</t>
  </si>
  <si>
    <t>SC495_NAV50.fcs                0.82      4179.4       0.705</t>
  </si>
  <si>
    <t>SC495_Untreated.fcs            0.82      5039.4       0.798</t>
  </si>
  <si>
    <t>unst_C10.fcs                   0.80        70.8       0.002</t>
  </si>
  <si>
    <t>unst_F10.fcs                   0.83        73.5       0.003</t>
  </si>
  <si>
    <t>unst_N50.fcs                   0.81        65.5       0.002</t>
  </si>
  <si>
    <t>unst_SC495.fcs                 0.80        76.9       0.004</t>
  </si>
  <si>
    <t>average</t>
  </si>
  <si>
    <t>EA20240605_ARF6cloned_CRISPRkos_InhibTitrationSC495</t>
  </si>
  <si>
    <t>EA20240614_ARF6cloned_CRISPRkos</t>
  </si>
  <si>
    <t>EA20240617_ARF6cloned_CRISPRkos_InhibTitrationSC495</t>
  </si>
  <si>
    <t>EA20240624_InhibTitrationSC495</t>
  </si>
  <si>
    <t>EA20240618_ARF6cloned_CRISPRkos</t>
  </si>
  <si>
    <t>Cas9</t>
  </si>
  <si>
    <t>ST-sgRNA</t>
  </si>
  <si>
    <t>Arf6 g1</t>
  </si>
  <si>
    <t>Arf6 g2</t>
  </si>
  <si>
    <t>3XHA-FPR1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</si>
</sst>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A709F5"/>
      <name val="Consolas"/>
      <family val="3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indent="3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16" fontId="0" fillId="0" borderId="0" xfId="0" applyNumberForma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5400-66C6-4F89-A4B0-79BD06D166A1}">
  <dimension ref="A1:K26"/>
  <sheetViews>
    <sheetView workbookViewId="0">
      <selection activeCell="D1" sqref="D1"/>
    </sheetView>
  </sheetViews>
  <sheetFormatPr defaultRowHeight="15" x14ac:dyDescent="0.25"/>
  <cols>
    <col min="1" max="1" width="46.7109375" bestFit="1" customWidth="1"/>
    <col min="3" max="3" width="9.42578125" bestFit="1" customWidth="1"/>
    <col min="4" max="4" width="13.140625" bestFit="1" customWidth="1"/>
    <col min="5" max="5" width="8.28515625" bestFit="1" customWidth="1"/>
    <col min="6" max="6" width="12" customWidth="1"/>
    <col min="7" max="7" width="11.5703125" customWidth="1"/>
    <col min="8" max="8" width="12.28515625" bestFit="1" customWidth="1"/>
    <col min="9" max="9" width="12" bestFit="1" customWidth="1"/>
  </cols>
  <sheetData>
    <row r="1" spans="1:11" x14ac:dyDescent="0.25">
      <c r="A1" s="1" t="s">
        <v>244</v>
      </c>
    </row>
    <row r="3" spans="1:11" x14ac:dyDescent="0.25">
      <c r="A3" t="s">
        <v>0</v>
      </c>
    </row>
    <row r="4" spans="1:11" ht="28.5" x14ac:dyDescent="0.25">
      <c r="D4" s="2"/>
      <c r="F4" s="3" t="s">
        <v>38</v>
      </c>
      <c r="G4" s="3" t="s">
        <v>39</v>
      </c>
      <c r="H4" s="3" t="s">
        <v>40</v>
      </c>
      <c r="I4" s="3" t="s">
        <v>41</v>
      </c>
    </row>
    <row r="5" spans="1:11" x14ac:dyDescent="0.25">
      <c r="A5" t="s">
        <v>1</v>
      </c>
      <c r="C5" t="s">
        <v>249</v>
      </c>
      <c r="D5" s="2" t="s">
        <v>42</v>
      </c>
      <c r="E5" t="s">
        <v>43</v>
      </c>
      <c r="F5">
        <v>108.1</v>
      </c>
      <c r="G5">
        <v>9371.5</v>
      </c>
      <c r="H5" s="4">
        <f>G5-F5</f>
        <v>9263.4</v>
      </c>
      <c r="I5">
        <f>(H5/9263.4)*100</f>
        <v>100</v>
      </c>
    </row>
    <row r="6" spans="1:11" x14ac:dyDescent="0.25">
      <c r="A6" t="s">
        <v>2</v>
      </c>
      <c r="D6" s="2"/>
      <c r="E6" t="s">
        <v>44</v>
      </c>
      <c r="F6">
        <v>108.1</v>
      </c>
      <c r="G6">
        <v>2312.9</v>
      </c>
      <c r="H6" s="4">
        <f t="shared" ref="H6:H7" si="0">G6-F6</f>
        <v>2204.8000000000002</v>
      </c>
      <c r="I6">
        <f t="shared" ref="I6:I7" si="1">(H6/9263.4)*100</f>
        <v>23.801196105101802</v>
      </c>
      <c r="K6" s="2"/>
    </row>
    <row r="7" spans="1:11" x14ac:dyDescent="0.25">
      <c r="A7" t="s">
        <v>50</v>
      </c>
      <c r="D7" s="2"/>
      <c r="E7" t="s">
        <v>46</v>
      </c>
      <c r="F7">
        <v>108.1</v>
      </c>
      <c r="G7">
        <v>1141.5</v>
      </c>
      <c r="H7" s="4">
        <f t="shared" si="0"/>
        <v>1033.4000000000001</v>
      </c>
      <c r="I7">
        <f t="shared" si="1"/>
        <v>11.155731157026578</v>
      </c>
      <c r="K7" s="2"/>
    </row>
    <row r="8" spans="1:11" x14ac:dyDescent="0.25">
      <c r="A8" t="s">
        <v>51</v>
      </c>
      <c r="C8" t="s">
        <v>250</v>
      </c>
      <c r="D8" s="2" t="s">
        <v>45</v>
      </c>
      <c r="E8" t="s">
        <v>43</v>
      </c>
      <c r="F8">
        <v>78.2</v>
      </c>
      <c r="G8">
        <v>5855.1</v>
      </c>
      <c r="H8" s="4">
        <f t="shared" ref="H8:H19" si="2">G8-F8</f>
        <v>5776.9000000000005</v>
      </c>
      <c r="I8">
        <f>(H8/5776.9)*100</f>
        <v>100.00000000000003</v>
      </c>
      <c r="K8" s="2"/>
    </row>
    <row r="9" spans="1:11" x14ac:dyDescent="0.25">
      <c r="A9" t="s">
        <v>52</v>
      </c>
      <c r="D9" s="2"/>
      <c r="E9" t="s">
        <v>44</v>
      </c>
      <c r="F9">
        <v>78.2</v>
      </c>
      <c r="G9">
        <v>1526.7</v>
      </c>
      <c r="H9" s="4">
        <f t="shared" si="2"/>
        <v>1448.5</v>
      </c>
      <c r="I9">
        <f t="shared" ref="I9:I10" si="3">(H9/5776.9)*100</f>
        <v>25.074001627170283</v>
      </c>
      <c r="K9" s="2"/>
    </row>
    <row r="10" spans="1:11" x14ac:dyDescent="0.25">
      <c r="A10" t="s">
        <v>53</v>
      </c>
      <c r="D10" s="2"/>
      <c r="E10" t="s">
        <v>46</v>
      </c>
      <c r="F10">
        <v>78.2</v>
      </c>
      <c r="G10">
        <v>739.1</v>
      </c>
      <c r="H10" s="4">
        <f t="shared" si="2"/>
        <v>660.9</v>
      </c>
      <c r="I10">
        <f t="shared" si="3"/>
        <v>11.440391905693366</v>
      </c>
      <c r="K10" s="2"/>
    </row>
    <row r="11" spans="1:11" x14ac:dyDescent="0.25">
      <c r="A11" t="s">
        <v>54</v>
      </c>
      <c r="C11" t="s">
        <v>251</v>
      </c>
      <c r="D11" s="2" t="s">
        <v>47</v>
      </c>
      <c r="E11" t="s">
        <v>43</v>
      </c>
      <c r="F11">
        <v>156.5</v>
      </c>
      <c r="G11">
        <v>15457.9</v>
      </c>
      <c r="H11" s="4">
        <f t="shared" si="2"/>
        <v>15301.4</v>
      </c>
      <c r="I11">
        <f>(H11/15301.4)*100</f>
        <v>100</v>
      </c>
      <c r="K11" s="2"/>
    </row>
    <row r="12" spans="1:11" x14ac:dyDescent="0.25">
      <c r="A12" t="s">
        <v>55</v>
      </c>
      <c r="D12" s="2"/>
      <c r="E12" t="s">
        <v>44</v>
      </c>
      <c r="F12">
        <v>156.5</v>
      </c>
      <c r="G12">
        <v>3826.3</v>
      </c>
      <c r="H12" s="4">
        <f t="shared" si="2"/>
        <v>3669.8</v>
      </c>
      <c r="I12">
        <f t="shared" ref="I12:I13" si="4">(H12/15301.4)*100</f>
        <v>23.983426353144157</v>
      </c>
    </row>
    <row r="13" spans="1:11" x14ac:dyDescent="0.25">
      <c r="A13" t="s">
        <v>56</v>
      </c>
      <c r="D13" s="2"/>
      <c r="E13" t="s">
        <v>46</v>
      </c>
      <c r="F13">
        <v>156.5</v>
      </c>
      <c r="G13">
        <v>2278.6999999999998</v>
      </c>
      <c r="H13" s="4">
        <f t="shared" si="2"/>
        <v>2122.1999999999998</v>
      </c>
      <c r="I13">
        <f t="shared" si="4"/>
        <v>13.86931914726757</v>
      </c>
      <c r="K13" s="2"/>
    </row>
    <row r="14" spans="1:11" x14ac:dyDescent="0.25">
      <c r="A14" t="s">
        <v>57</v>
      </c>
      <c r="C14" t="s">
        <v>251</v>
      </c>
      <c r="D14" s="2" t="s">
        <v>48</v>
      </c>
      <c r="E14" t="s">
        <v>43</v>
      </c>
      <c r="F14">
        <v>172.9</v>
      </c>
      <c r="G14">
        <v>15428.4</v>
      </c>
      <c r="H14" s="4">
        <f t="shared" si="2"/>
        <v>15255.5</v>
      </c>
      <c r="I14">
        <f>(H14/15255.5)*100</f>
        <v>100</v>
      </c>
      <c r="K14" s="2"/>
    </row>
    <row r="15" spans="1:11" x14ac:dyDescent="0.25">
      <c r="A15" t="s">
        <v>58</v>
      </c>
      <c r="D15" s="2"/>
      <c r="E15" t="s">
        <v>44</v>
      </c>
      <c r="F15">
        <v>172.9</v>
      </c>
      <c r="G15">
        <v>3451.6</v>
      </c>
      <c r="H15" s="4">
        <f t="shared" si="2"/>
        <v>3278.7</v>
      </c>
      <c r="I15">
        <f t="shared" ref="I15:I16" si="5">(H15/15255.5)*100</f>
        <v>21.491920946543868</v>
      </c>
    </row>
    <row r="16" spans="1:11" x14ac:dyDescent="0.25">
      <c r="A16" t="s">
        <v>59</v>
      </c>
      <c r="D16" s="2"/>
      <c r="E16" t="s">
        <v>46</v>
      </c>
      <c r="F16">
        <v>172.9</v>
      </c>
      <c r="G16">
        <v>1845.9</v>
      </c>
      <c r="H16" s="4">
        <f t="shared" si="2"/>
        <v>1673</v>
      </c>
      <c r="I16">
        <f t="shared" si="5"/>
        <v>10.966536658909902</v>
      </c>
    </row>
    <row r="17" spans="1:9" x14ac:dyDescent="0.25">
      <c r="A17" t="s">
        <v>60</v>
      </c>
      <c r="C17" t="s">
        <v>252</v>
      </c>
      <c r="D17" s="2" t="s">
        <v>49</v>
      </c>
      <c r="E17" t="s">
        <v>43</v>
      </c>
      <c r="F17">
        <v>195.6</v>
      </c>
      <c r="G17">
        <v>11360.7</v>
      </c>
      <c r="H17" s="4">
        <f t="shared" si="2"/>
        <v>11165.1</v>
      </c>
      <c r="I17">
        <f>(H17/11165.1)*100</f>
        <v>100</v>
      </c>
    </row>
    <row r="18" spans="1:9" x14ac:dyDescent="0.25">
      <c r="A18" t="s">
        <v>61</v>
      </c>
      <c r="D18" s="2"/>
      <c r="E18" t="s">
        <v>44</v>
      </c>
      <c r="F18">
        <v>195.6</v>
      </c>
      <c r="G18">
        <v>8152.4</v>
      </c>
      <c r="H18" s="4">
        <f t="shared" si="2"/>
        <v>7956.7999999999993</v>
      </c>
      <c r="I18" s="6">
        <f t="shared" ref="I18:I19" si="6">(H18/11165.1)*100</f>
        <v>71.264923735568857</v>
      </c>
    </row>
    <row r="19" spans="1:9" x14ac:dyDescent="0.25">
      <c r="A19" t="s">
        <v>62</v>
      </c>
      <c r="D19" s="2"/>
      <c r="E19" t="s">
        <v>46</v>
      </c>
      <c r="F19">
        <v>195.6</v>
      </c>
      <c r="G19">
        <v>6436.1</v>
      </c>
      <c r="H19" s="4">
        <f t="shared" si="2"/>
        <v>6240.5</v>
      </c>
      <c r="I19" s="6">
        <f t="shared" si="6"/>
        <v>55.892916319603046</v>
      </c>
    </row>
    <row r="20" spans="1:9" x14ac:dyDescent="0.25">
      <c r="A20" t="s">
        <v>63</v>
      </c>
    </row>
    <row r="21" spans="1:9" x14ac:dyDescent="0.25">
      <c r="A21" t="s">
        <v>64</v>
      </c>
    </row>
    <row r="22" spans="1:9" x14ac:dyDescent="0.25">
      <c r="A22" t="s">
        <v>65</v>
      </c>
    </row>
    <row r="23" spans="1:9" x14ac:dyDescent="0.25">
      <c r="A23" t="s">
        <v>66</v>
      </c>
    </row>
    <row r="24" spans="1:9" x14ac:dyDescent="0.25">
      <c r="A24" t="s">
        <v>67</v>
      </c>
    </row>
    <row r="25" spans="1:9" x14ac:dyDescent="0.25">
      <c r="A25" t="s">
        <v>68</v>
      </c>
    </row>
    <row r="26" spans="1:9" x14ac:dyDescent="0.25">
      <c r="A26" t="s">
        <v>69</v>
      </c>
      <c r="D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EED8-8A97-40D2-86AD-C28D9A2B473C}">
  <dimension ref="A1:S52"/>
  <sheetViews>
    <sheetView workbookViewId="0">
      <selection activeCell="C1" sqref="C1"/>
    </sheetView>
  </sheetViews>
  <sheetFormatPr defaultRowHeight="15" x14ac:dyDescent="0.25"/>
  <cols>
    <col min="1" max="1" width="48.42578125" bestFit="1" customWidth="1"/>
    <col min="3" max="3" width="10.5703125" bestFit="1" customWidth="1"/>
    <col min="4" max="4" width="13.140625" bestFit="1" customWidth="1"/>
    <col min="6" max="6" width="12.140625" bestFit="1" customWidth="1"/>
    <col min="7" max="7" width="11.5703125" customWidth="1"/>
    <col min="8" max="8" width="12.28515625" customWidth="1"/>
    <col min="9" max="9" width="12" bestFit="1" customWidth="1"/>
  </cols>
  <sheetData>
    <row r="1" spans="1:17" x14ac:dyDescent="0.25">
      <c r="A1" s="1" t="s">
        <v>37</v>
      </c>
    </row>
    <row r="3" spans="1:17" x14ac:dyDescent="0.25">
      <c r="A3" t="s">
        <v>0</v>
      </c>
    </row>
    <row r="4" spans="1:17" ht="28.5" x14ac:dyDescent="0.25">
      <c r="D4" s="2"/>
      <c r="F4" s="3" t="s">
        <v>38</v>
      </c>
      <c r="G4" s="3" t="s">
        <v>39</v>
      </c>
      <c r="H4" s="3" t="s">
        <v>40</v>
      </c>
      <c r="I4" s="3" t="s">
        <v>41</v>
      </c>
    </row>
    <row r="5" spans="1:17" x14ac:dyDescent="0.25">
      <c r="A5" t="s">
        <v>1</v>
      </c>
      <c r="C5" t="s">
        <v>250</v>
      </c>
      <c r="D5" s="2" t="s">
        <v>45</v>
      </c>
      <c r="E5" t="s">
        <v>43</v>
      </c>
      <c r="F5">
        <v>98.4</v>
      </c>
      <c r="G5">
        <v>7959</v>
      </c>
      <c r="H5" s="4">
        <f>G5-F5</f>
        <v>7860.6</v>
      </c>
      <c r="I5">
        <f>(H5/7860.6)*100</f>
        <v>100</v>
      </c>
      <c r="P5" s="5"/>
      <c r="Q5" s="5"/>
    </row>
    <row r="6" spans="1:17" x14ac:dyDescent="0.25">
      <c r="A6" t="s">
        <v>2</v>
      </c>
      <c r="D6" s="2"/>
      <c r="E6" t="s">
        <v>44</v>
      </c>
      <c r="F6">
        <v>98.4</v>
      </c>
      <c r="G6">
        <v>1562.7</v>
      </c>
      <c r="H6" s="4">
        <f t="shared" ref="H6:H16" si="0">G6-F6</f>
        <v>1464.3</v>
      </c>
      <c r="I6">
        <f t="shared" ref="I6:I7" si="1">(H6/7860.6)*100</f>
        <v>18.628348980993817</v>
      </c>
      <c r="K6" s="2"/>
      <c r="O6" s="2"/>
    </row>
    <row r="7" spans="1:17" x14ac:dyDescent="0.25">
      <c r="A7" t="s">
        <v>3</v>
      </c>
      <c r="D7" s="2"/>
      <c r="E7" t="s">
        <v>46</v>
      </c>
      <c r="F7">
        <v>98.4</v>
      </c>
      <c r="G7">
        <v>801.2</v>
      </c>
      <c r="H7" s="4">
        <f t="shared" si="0"/>
        <v>702.80000000000007</v>
      </c>
      <c r="I7">
        <f t="shared" si="1"/>
        <v>8.9407933236648613</v>
      </c>
      <c r="K7" s="2"/>
      <c r="O7" s="2"/>
    </row>
    <row r="8" spans="1:17" x14ac:dyDescent="0.25">
      <c r="A8" t="s">
        <v>4</v>
      </c>
      <c r="C8" t="s">
        <v>251</v>
      </c>
      <c r="D8" s="2" t="s">
        <v>47</v>
      </c>
      <c r="E8" t="s">
        <v>43</v>
      </c>
      <c r="F8">
        <v>176.1</v>
      </c>
      <c r="G8">
        <v>18126.599999999999</v>
      </c>
      <c r="H8" s="4">
        <f t="shared" si="0"/>
        <v>17950.5</v>
      </c>
      <c r="I8">
        <f>(H8/17950.5)*100</f>
        <v>100</v>
      </c>
      <c r="K8" s="2"/>
      <c r="O8" s="2"/>
    </row>
    <row r="9" spans="1:17" x14ac:dyDescent="0.25">
      <c r="A9" t="s">
        <v>5</v>
      </c>
      <c r="D9" s="2"/>
      <c r="E9" t="s">
        <v>44</v>
      </c>
      <c r="F9">
        <v>176.1</v>
      </c>
      <c r="G9">
        <v>4076.3</v>
      </c>
      <c r="H9" s="4">
        <f t="shared" si="0"/>
        <v>3900.2000000000003</v>
      </c>
      <c r="I9">
        <f t="shared" ref="I9:I10" si="2">(H9/17950.5)*100</f>
        <v>21.727528481100805</v>
      </c>
      <c r="K9" s="2"/>
      <c r="O9" s="2"/>
    </row>
    <row r="10" spans="1:17" x14ac:dyDescent="0.25">
      <c r="A10" t="s">
        <v>6</v>
      </c>
      <c r="D10" s="2"/>
      <c r="E10" t="s">
        <v>46</v>
      </c>
      <c r="F10">
        <v>176.1</v>
      </c>
      <c r="G10">
        <v>2362.3000000000002</v>
      </c>
      <c r="H10" s="4">
        <f t="shared" si="0"/>
        <v>2186.2000000000003</v>
      </c>
      <c r="I10">
        <f t="shared" si="2"/>
        <v>12.179047937383361</v>
      </c>
      <c r="K10" s="2"/>
    </row>
    <row r="11" spans="1:17" x14ac:dyDescent="0.25">
      <c r="A11" t="s">
        <v>7</v>
      </c>
      <c r="C11" t="s">
        <v>251</v>
      </c>
      <c r="D11" s="2" t="s">
        <v>48</v>
      </c>
      <c r="E11" t="s">
        <v>43</v>
      </c>
      <c r="F11">
        <v>186.7</v>
      </c>
      <c r="G11">
        <v>22029.5</v>
      </c>
      <c r="H11" s="4">
        <f t="shared" si="0"/>
        <v>21842.799999999999</v>
      </c>
      <c r="I11">
        <f>(H11/21842.8)*100</f>
        <v>100</v>
      </c>
      <c r="K11" s="2"/>
    </row>
    <row r="12" spans="1:17" x14ac:dyDescent="0.25">
      <c r="A12" t="s">
        <v>8</v>
      </c>
      <c r="D12" s="2"/>
      <c r="E12" t="s">
        <v>44</v>
      </c>
      <c r="F12">
        <v>186.7</v>
      </c>
      <c r="G12">
        <v>3807.2</v>
      </c>
      <c r="H12" s="4">
        <f t="shared" si="0"/>
        <v>3620.5</v>
      </c>
      <c r="I12">
        <f t="shared" ref="I12:I13" si="3">(H12/21842.8)*100</f>
        <v>16.575255919570754</v>
      </c>
      <c r="P12" s="5"/>
      <c r="Q12" s="5"/>
    </row>
    <row r="13" spans="1:17" x14ac:dyDescent="0.25">
      <c r="A13" t="s">
        <v>9</v>
      </c>
      <c r="D13" s="2"/>
      <c r="E13" t="s">
        <v>46</v>
      </c>
      <c r="F13">
        <v>186.7</v>
      </c>
      <c r="G13">
        <v>1935.4</v>
      </c>
      <c r="H13" s="4">
        <f t="shared" si="0"/>
        <v>1748.7</v>
      </c>
      <c r="I13">
        <f t="shared" si="3"/>
        <v>8.0058417419012216</v>
      </c>
      <c r="O13" s="2"/>
    </row>
    <row r="14" spans="1:17" x14ac:dyDescent="0.25">
      <c r="A14" t="s">
        <v>10</v>
      </c>
      <c r="C14" t="s">
        <v>252</v>
      </c>
      <c r="D14" s="2" t="s">
        <v>49</v>
      </c>
      <c r="E14" t="s">
        <v>43</v>
      </c>
      <c r="F14">
        <v>259.5</v>
      </c>
      <c r="G14">
        <v>15603.1</v>
      </c>
      <c r="H14" s="4">
        <f t="shared" si="0"/>
        <v>15343.6</v>
      </c>
      <c r="I14">
        <f>(H14/15343.6)*100</f>
        <v>100</v>
      </c>
      <c r="O14" s="2"/>
    </row>
    <row r="15" spans="1:17" x14ac:dyDescent="0.25">
      <c r="A15" t="s">
        <v>11</v>
      </c>
      <c r="D15" s="2"/>
      <c r="E15" t="s">
        <v>44</v>
      </c>
      <c r="F15">
        <v>259.5</v>
      </c>
      <c r="G15">
        <v>7286.7</v>
      </c>
      <c r="H15" s="4">
        <f t="shared" si="0"/>
        <v>7027.2</v>
      </c>
      <c r="I15" s="6">
        <f t="shared" ref="I15:I16" si="4">(H15/15343.6)*100</f>
        <v>45.798899867045542</v>
      </c>
      <c r="O15" s="2"/>
    </row>
    <row r="16" spans="1:17" x14ac:dyDescent="0.25">
      <c r="A16" t="s">
        <v>12</v>
      </c>
      <c r="D16" s="2"/>
      <c r="E16" t="s">
        <v>46</v>
      </c>
      <c r="F16">
        <v>259.5</v>
      </c>
      <c r="G16">
        <v>5528.3</v>
      </c>
      <c r="H16" s="4">
        <f t="shared" si="0"/>
        <v>5268.8</v>
      </c>
      <c r="I16" s="6">
        <f t="shared" si="4"/>
        <v>34.338747099767978</v>
      </c>
      <c r="O16" s="2"/>
    </row>
    <row r="17" spans="1:19" x14ac:dyDescent="0.25">
      <c r="H17" s="4"/>
    </row>
    <row r="18" spans="1:19" ht="28.5" x14ac:dyDescent="0.25">
      <c r="C18" t="s">
        <v>253</v>
      </c>
      <c r="D18" s="2" t="s">
        <v>70</v>
      </c>
      <c r="F18" s="3" t="s">
        <v>38</v>
      </c>
      <c r="G18" s="3" t="s">
        <v>39</v>
      </c>
      <c r="H18" s="3" t="s">
        <v>40</v>
      </c>
      <c r="I18" s="3" t="s">
        <v>41</v>
      </c>
      <c r="O18" s="2"/>
    </row>
    <row r="19" spans="1:19" x14ac:dyDescent="0.25">
      <c r="A19" t="s">
        <v>13</v>
      </c>
      <c r="D19" s="2" t="s">
        <v>75</v>
      </c>
      <c r="E19" t="s">
        <v>43</v>
      </c>
      <c r="F19">
        <v>89.1</v>
      </c>
      <c r="G19">
        <v>6797.2</v>
      </c>
      <c r="H19" s="4">
        <f>G19-F19</f>
        <v>6708.0999999999995</v>
      </c>
      <c r="I19">
        <f>(H19/6708.1)*100</f>
        <v>99.999999999999986</v>
      </c>
      <c r="O19" s="2"/>
    </row>
    <row r="20" spans="1:19" x14ac:dyDescent="0.25">
      <c r="A20" t="s">
        <v>14</v>
      </c>
      <c r="D20" s="2"/>
      <c r="E20" t="s">
        <v>44</v>
      </c>
      <c r="F20">
        <v>89.1</v>
      </c>
      <c r="G20">
        <v>1161.4000000000001</v>
      </c>
      <c r="H20" s="4">
        <f t="shared" ref="H20:H23" si="5">G20-F20</f>
        <v>1072.3000000000002</v>
      </c>
      <c r="I20">
        <f t="shared" ref="I20:I21" si="6">(H20/6708.1)*100</f>
        <v>15.985152278588574</v>
      </c>
      <c r="O20" s="2"/>
    </row>
    <row r="21" spans="1:19" x14ac:dyDescent="0.25">
      <c r="A21" t="s">
        <v>15</v>
      </c>
      <c r="D21" s="2"/>
      <c r="E21" t="s">
        <v>46</v>
      </c>
      <c r="F21">
        <v>89.1</v>
      </c>
      <c r="G21">
        <v>645.4</v>
      </c>
      <c r="H21" s="4">
        <f t="shared" si="5"/>
        <v>556.29999999999995</v>
      </c>
      <c r="I21">
        <f t="shared" si="6"/>
        <v>8.2929592582102227</v>
      </c>
      <c r="O21" s="2"/>
    </row>
    <row r="22" spans="1:19" x14ac:dyDescent="0.25">
      <c r="A22" t="s">
        <v>16</v>
      </c>
      <c r="D22" s="2" t="s">
        <v>71</v>
      </c>
      <c r="E22" t="s">
        <v>43</v>
      </c>
      <c r="F22">
        <v>89.1</v>
      </c>
      <c r="G22">
        <v>6833.8</v>
      </c>
      <c r="H22" s="4">
        <f t="shared" si="5"/>
        <v>6744.7</v>
      </c>
      <c r="I22">
        <f>(H22/6744.7)*100</f>
        <v>100</v>
      </c>
    </row>
    <row r="23" spans="1:19" x14ac:dyDescent="0.25">
      <c r="A23" t="s">
        <v>17</v>
      </c>
      <c r="D23" s="2"/>
      <c r="E23" t="s">
        <v>44</v>
      </c>
      <c r="F23">
        <v>89.1</v>
      </c>
      <c r="G23">
        <v>1420.6</v>
      </c>
      <c r="H23" s="4">
        <f t="shared" si="5"/>
        <v>1331.5</v>
      </c>
      <c r="I23">
        <f t="shared" ref="I23" si="7">(H23/6744.7)*100</f>
        <v>19.741426601627946</v>
      </c>
    </row>
    <row r="24" spans="1:19" x14ac:dyDescent="0.25">
      <c r="A24" t="s">
        <v>18</v>
      </c>
      <c r="D24" s="2" t="s">
        <v>72</v>
      </c>
      <c r="E24" t="s">
        <v>43</v>
      </c>
      <c r="F24">
        <v>89.1</v>
      </c>
      <c r="G24">
        <v>6540.4</v>
      </c>
      <c r="H24" s="4">
        <f t="shared" ref="H24:H35" si="8">G24-F24</f>
        <v>6451.2999999999993</v>
      </c>
      <c r="I24">
        <f>(H24/6451.3)*100</f>
        <v>99.999999999999986</v>
      </c>
    </row>
    <row r="25" spans="1:19" x14ac:dyDescent="0.25">
      <c r="A25" t="s">
        <v>19</v>
      </c>
      <c r="D25" s="2"/>
      <c r="E25" t="s">
        <v>44</v>
      </c>
      <c r="F25">
        <v>89.1</v>
      </c>
      <c r="G25">
        <v>2317.3000000000002</v>
      </c>
      <c r="H25" s="4">
        <f t="shared" si="8"/>
        <v>2228.2000000000003</v>
      </c>
      <c r="I25" s="6">
        <f t="shared" ref="I25" si="9">(H25/6451.3)*100</f>
        <v>34.538775130593834</v>
      </c>
      <c r="P25" s="5"/>
      <c r="Q25" s="5"/>
      <c r="R25" s="5"/>
      <c r="S25" s="5"/>
    </row>
    <row r="26" spans="1:19" x14ac:dyDescent="0.25">
      <c r="A26" t="s">
        <v>20</v>
      </c>
      <c r="D26" s="2" t="s">
        <v>73</v>
      </c>
      <c r="E26" t="s">
        <v>43</v>
      </c>
      <c r="F26">
        <v>89.1</v>
      </c>
      <c r="G26">
        <v>6825.3</v>
      </c>
      <c r="H26" s="4">
        <f t="shared" si="8"/>
        <v>6736.2</v>
      </c>
      <c r="I26">
        <f>(H26/6736.2)*100</f>
        <v>100</v>
      </c>
      <c r="N26" s="2"/>
      <c r="O26" s="2"/>
    </row>
    <row r="27" spans="1:19" x14ac:dyDescent="0.25">
      <c r="A27" t="s">
        <v>21</v>
      </c>
      <c r="D27" s="2"/>
      <c r="E27" t="s">
        <v>44</v>
      </c>
      <c r="F27">
        <v>89.1</v>
      </c>
      <c r="G27">
        <v>3854.3</v>
      </c>
      <c r="H27" s="4">
        <f t="shared" si="8"/>
        <v>3765.2000000000003</v>
      </c>
      <c r="I27" s="6">
        <f>(H27/6736.2)*100</f>
        <v>55.895014993616584</v>
      </c>
      <c r="O27" s="2"/>
    </row>
    <row r="28" spans="1:19" x14ac:dyDescent="0.25">
      <c r="A28" t="s">
        <v>22</v>
      </c>
      <c r="D28" s="2" t="s">
        <v>74</v>
      </c>
      <c r="E28" t="s">
        <v>43</v>
      </c>
      <c r="F28">
        <v>89.1</v>
      </c>
      <c r="G28">
        <v>7298.1</v>
      </c>
      <c r="H28" s="4">
        <f t="shared" si="8"/>
        <v>7209</v>
      </c>
      <c r="I28">
        <f>(H28/7209)*100</f>
        <v>100</v>
      </c>
      <c r="O28" s="2"/>
    </row>
    <row r="29" spans="1:19" x14ac:dyDescent="0.25">
      <c r="A29" t="s">
        <v>23</v>
      </c>
      <c r="E29" t="s">
        <v>44</v>
      </c>
      <c r="F29">
        <v>89.1</v>
      </c>
      <c r="G29">
        <v>5173.7</v>
      </c>
      <c r="H29" s="4">
        <f t="shared" si="8"/>
        <v>5084.5999999999995</v>
      </c>
      <c r="I29" s="6">
        <f>(H29/7209)*100</f>
        <v>70.531280344014419</v>
      </c>
      <c r="O29" s="2"/>
    </row>
    <row r="30" spans="1:19" x14ac:dyDescent="0.25">
      <c r="A30" t="s">
        <v>24</v>
      </c>
      <c r="D30" s="2" t="s">
        <v>76</v>
      </c>
      <c r="E30" t="s">
        <v>43</v>
      </c>
      <c r="F30">
        <v>89.1</v>
      </c>
      <c r="G30">
        <v>6106.2</v>
      </c>
      <c r="H30" s="4">
        <f t="shared" si="8"/>
        <v>6017.0999999999995</v>
      </c>
      <c r="I30">
        <f>(H30/6017.1)*100</f>
        <v>99.999999999999986</v>
      </c>
      <c r="O30" s="2"/>
    </row>
    <row r="31" spans="1:19" x14ac:dyDescent="0.25">
      <c r="A31" t="s">
        <v>25</v>
      </c>
      <c r="D31" s="2"/>
      <c r="E31" t="s">
        <v>44</v>
      </c>
      <c r="F31">
        <v>89.1</v>
      </c>
      <c r="G31">
        <v>2854.9</v>
      </c>
      <c r="H31" s="4">
        <f t="shared" si="8"/>
        <v>2765.8</v>
      </c>
      <c r="I31" s="6">
        <f t="shared" ref="I31:I32" si="10">(H31/6017.1)*100</f>
        <v>45.965664522776756</v>
      </c>
      <c r="O31" s="2"/>
    </row>
    <row r="32" spans="1:19" x14ac:dyDescent="0.25">
      <c r="A32" t="s">
        <v>26</v>
      </c>
      <c r="D32" s="2"/>
      <c r="E32" t="s">
        <v>46</v>
      </c>
      <c r="F32">
        <v>89.1</v>
      </c>
      <c r="G32">
        <v>921.9</v>
      </c>
      <c r="H32" s="4">
        <f t="shared" si="8"/>
        <v>832.8</v>
      </c>
      <c r="I32">
        <f t="shared" si="10"/>
        <v>13.840554419903276</v>
      </c>
      <c r="O32" s="2"/>
    </row>
    <row r="33" spans="1:15" x14ac:dyDescent="0.25">
      <c r="A33" t="s">
        <v>27</v>
      </c>
      <c r="D33" s="2" t="s">
        <v>77</v>
      </c>
      <c r="E33" t="s">
        <v>43</v>
      </c>
      <c r="F33">
        <v>89.1</v>
      </c>
      <c r="G33">
        <v>7547.1</v>
      </c>
      <c r="H33" s="4">
        <f t="shared" si="8"/>
        <v>7458</v>
      </c>
      <c r="I33">
        <f>(H33/7458)*100</f>
        <v>100</v>
      </c>
      <c r="O33" s="2"/>
    </row>
    <row r="34" spans="1:15" x14ac:dyDescent="0.25">
      <c r="A34" t="s">
        <v>28</v>
      </c>
      <c r="E34" t="s">
        <v>44</v>
      </c>
      <c r="F34">
        <v>89.1</v>
      </c>
      <c r="G34">
        <v>3106.9</v>
      </c>
      <c r="H34" s="4">
        <f t="shared" si="8"/>
        <v>3017.8</v>
      </c>
      <c r="I34" s="6">
        <f t="shared" ref="I34:I35" si="11">(H34/7458)*100</f>
        <v>40.463931348887108</v>
      </c>
      <c r="O34" s="2"/>
    </row>
    <row r="35" spans="1:15" x14ac:dyDescent="0.25">
      <c r="A35" t="s">
        <v>29</v>
      </c>
      <c r="E35" t="s">
        <v>46</v>
      </c>
      <c r="F35">
        <v>89.1</v>
      </c>
      <c r="G35">
        <v>822.1</v>
      </c>
      <c r="H35" s="4">
        <f t="shared" si="8"/>
        <v>733</v>
      </c>
      <c r="I35">
        <f t="shared" si="11"/>
        <v>9.8283722177527491</v>
      </c>
      <c r="O35" s="2"/>
    </row>
    <row r="36" spans="1:15" x14ac:dyDescent="0.25">
      <c r="A36" t="s">
        <v>30</v>
      </c>
      <c r="O36" s="2"/>
    </row>
    <row r="37" spans="1:15" x14ac:dyDescent="0.25">
      <c r="A37" t="s">
        <v>31</v>
      </c>
      <c r="O37" s="2"/>
    </row>
    <row r="38" spans="1:15" x14ac:dyDescent="0.25">
      <c r="A38" t="s">
        <v>32</v>
      </c>
      <c r="O38" s="2"/>
    </row>
    <row r="39" spans="1:15" x14ac:dyDescent="0.25">
      <c r="A39" t="s">
        <v>33</v>
      </c>
    </row>
    <row r="40" spans="1:15" x14ac:dyDescent="0.25">
      <c r="A40" t="s">
        <v>34</v>
      </c>
      <c r="N40" s="2"/>
      <c r="O40" s="2"/>
    </row>
    <row r="41" spans="1:15" x14ac:dyDescent="0.25">
      <c r="A41" t="s">
        <v>35</v>
      </c>
      <c r="O41" s="2"/>
    </row>
    <row r="42" spans="1:15" x14ac:dyDescent="0.25">
      <c r="A42" t="s">
        <v>36</v>
      </c>
      <c r="O42" s="2"/>
    </row>
    <row r="43" spans="1:15" x14ac:dyDescent="0.25">
      <c r="O43" s="2"/>
    </row>
    <row r="44" spans="1:15" x14ac:dyDescent="0.25">
      <c r="O44" s="2"/>
    </row>
    <row r="45" spans="1:15" x14ac:dyDescent="0.25">
      <c r="O45" s="2"/>
    </row>
    <row r="46" spans="1:15" x14ac:dyDescent="0.25">
      <c r="O46" s="2"/>
    </row>
    <row r="47" spans="1:15" x14ac:dyDescent="0.25">
      <c r="O47" s="2"/>
    </row>
    <row r="48" spans="1:15" x14ac:dyDescent="0.25">
      <c r="O48" s="2"/>
    </row>
    <row r="49" spans="15:15" x14ac:dyDescent="0.25">
      <c r="O49" s="2"/>
    </row>
    <row r="50" spans="15:15" x14ac:dyDescent="0.25">
      <c r="O50" s="2"/>
    </row>
    <row r="51" spans="15:15" x14ac:dyDescent="0.25">
      <c r="O51" s="2"/>
    </row>
    <row r="52" spans="15:15" x14ac:dyDescent="0.25">
      <c r="O5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7C44-CEE0-41C4-A807-406BAA91CEE4}">
  <dimension ref="A1:T45"/>
  <sheetViews>
    <sheetView workbookViewId="0">
      <selection activeCell="C1" sqref="C1"/>
    </sheetView>
  </sheetViews>
  <sheetFormatPr defaultRowHeight="15" x14ac:dyDescent="0.25"/>
  <cols>
    <col min="1" max="1" width="47" bestFit="1" customWidth="1"/>
    <col min="4" max="4" width="13.140625" bestFit="1" customWidth="1"/>
    <col min="6" max="6" width="12" customWidth="1"/>
    <col min="7" max="7" width="10.85546875" bestFit="1" customWidth="1"/>
    <col min="8" max="8" width="12.28515625" bestFit="1" customWidth="1"/>
    <col min="9" max="9" width="12" bestFit="1" customWidth="1"/>
  </cols>
  <sheetData>
    <row r="1" spans="1:20" x14ac:dyDescent="0.25">
      <c r="A1" s="1" t="s">
        <v>245</v>
      </c>
    </row>
    <row r="4" spans="1:20" ht="28.5" x14ac:dyDescent="0.25">
      <c r="A4" t="s">
        <v>0</v>
      </c>
      <c r="D4" s="2"/>
      <c r="F4" s="3" t="s">
        <v>38</v>
      </c>
      <c r="G4" s="3" t="s">
        <v>39</v>
      </c>
      <c r="H4" s="3" t="s">
        <v>40</v>
      </c>
      <c r="I4" s="3" t="s">
        <v>41</v>
      </c>
      <c r="P4" s="5"/>
      <c r="Q4" s="5"/>
      <c r="R4" s="5"/>
      <c r="S4" s="5"/>
    </row>
    <row r="5" spans="1:20" x14ac:dyDescent="0.25">
      <c r="C5" t="s">
        <v>250</v>
      </c>
      <c r="D5" s="2" t="s">
        <v>45</v>
      </c>
      <c r="E5" t="s">
        <v>43</v>
      </c>
      <c r="F5">
        <v>110.5</v>
      </c>
      <c r="G5">
        <v>7844.1</v>
      </c>
      <c r="H5" s="4">
        <f>G5-F5</f>
        <v>7733.6</v>
      </c>
      <c r="I5">
        <f>(H5/7733.6)*100</f>
        <v>100</v>
      </c>
      <c r="O5" s="2"/>
    </row>
    <row r="6" spans="1:20" x14ac:dyDescent="0.25">
      <c r="A6" t="s">
        <v>1</v>
      </c>
      <c r="D6" s="2"/>
      <c r="E6" t="s">
        <v>44</v>
      </c>
      <c r="F6">
        <v>110.5</v>
      </c>
      <c r="G6">
        <v>1255.7</v>
      </c>
      <c r="H6" s="4">
        <f t="shared" ref="H6:H16" si="0">G6-F6</f>
        <v>1145.2</v>
      </c>
      <c r="I6">
        <f t="shared" ref="I6:I7" si="1">(H6/7733.6)*100</f>
        <v>14.808110065170165</v>
      </c>
      <c r="K6" s="2"/>
      <c r="O6" s="2"/>
    </row>
    <row r="7" spans="1:20" x14ac:dyDescent="0.25">
      <c r="A7" t="s">
        <v>2</v>
      </c>
      <c r="D7" s="2"/>
      <c r="E7" t="s">
        <v>46</v>
      </c>
      <c r="F7">
        <v>110.5</v>
      </c>
      <c r="G7">
        <v>740.3</v>
      </c>
      <c r="H7" s="4">
        <f t="shared" si="0"/>
        <v>629.79999999999995</v>
      </c>
      <c r="I7">
        <f t="shared" si="1"/>
        <v>8.143684700527567</v>
      </c>
      <c r="K7" s="2"/>
      <c r="O7" s="2"/>
    </row>
    <row r="8" spans="1:20" x14ac:dyDescent="0.25">
      <c r="A8" t="s">
        <v>78</v>
      </c>
      <c r="C8" t="s">
        <v>251</v>
      </c>
      <c r="D8" s="2" t="s">
        <v>47</v>
      </c>
      <c r="E8" t="s">
        <v>43</v>
      </c>
      <c r="F8">
        <v>216.6</v>
      </c>
      <c r="G8">
        <v>14209.9</v>
      </c>
      <c r="H8" s="4">
        <f t="shared" si="0"/>
        <v>13993.3</v>
      </c>
      <c r="I8">
        <f>(H8/13993.3)*100</f>
        <v>100</v>
      </c>
      <c r="K8" s="2"/>
      <c r="O8" s="2"/>
    </row>
    <row r="9" spans="1:20" x14ac:dyDescent="0.25">
      <c r="A9" t="s">
        <v>79</v>
      </c>
      <c r="D9" s="2"/>
      <c r="E9" t="s">
        <v>44</v>
      </c>
      <c r="F9">
        <v>216.6</v>
      </c>
      <c r="G9">
        <v>3568.5</v>
      </c>
      <c r="H9" s="4">
        <f t="shared" si="0"/>
        <v>3351.9</v>
      </c>
      <c r="I9">
        <f t="shared" ref="I9:I10" si="2">(H9/13993.3)*100</f>
        <v>23.953606368762195</v>
      </c>
      <c r="K9" s="2"/>
    </row>
    <row r="10" spans="1:20" x14ac:dyDescent="0.25">
      <c r="A10" t="s">
        <v>80</v>
      </c>
      <c r="D10" s="2"/>
      <c r="E10" t="s">
        <v>46</v>
      </c>
      <c r="F10">
        <v>216.6</v>
      </c>
      <c r="G10">
        <v>2179</v>
      </c>
      <c r="H10" s="4">
        <f t="shared" si="0"/>
        <v>1962.4</v>
      </c>
      <c r="I10">
        <f t="shared" si="2"/>
        <v>14.02385427311642</v>
      </c>
    </row>
    <row r="11" spans="1:20" x14ac:dyDescent="0.25">
      <c r="A11" t="s">
        <v>81</v>
      </c>
      <c r="C11" t="s">
        <v>251</v>
      </c>
      <c r="D11" s="2" t="s">
        <v>48</v>
      </c>
      <c r="E11" t="s">
        <v>43</v>
      </c>
      <c r="F11">
        <v>241.5</v>
      </c>
      <c r="G11">
        <v>16331.7</v>
      </c>
      <c r="H11" s="4">
        <f t="shared" si="0"/>
        <v>16090.2</v>
      </c>
      <c r="I11">
        <f>(H11/16090.2)*100</f>
        <v>100</v>
      </c>
      <c r="Q11" s="5"/>
      <c r="R11" s="5"/>
      <c r="S11" s="5"/>
      <c r="T11" s="5"/>
    </row>
    <row r="12" spans="1:20" x14ac:dyDescent="0.25">
      <c r="A12" t="s">
        <v>82</v>
      </c>
      <c r="D12" s="2"/>
      <c r="E12" t="s">
        <v>44</v>
      </c>
      <c r="F12">
        <v>241.5</v>
      </c>
      <c r="G12">
        <v>3221.9</v>
      </c>
      <c r="H12" s="4">
        <f t="shared" si="0"/>
        <v>2980.4</v>
      </c>
      <c r="I12">
        <f t="shared" ref="I12:I13" si="3">(H12/16090.2)*100</f>
        <v>18.523076158158382</v>
      </c>
      <c r="P12" s="2"/>
    </row>
    <row r="13" spans="1:20" x14ac:dyDescent="0.25">
      <c r="A13" t="s">
        <v>83</v>
      </c>
      <c r="D13" s="2"/>
      <c r="E13" t="s">
        <v>46</v>
      </c>
      <c r="F13">
        <v>241.5</v>
      </c>
      <c r="G13">
        <v>1584.8</v>
      </c>
      <c r="H13" s="4">
        <f t="shared" si="0"/>
        <v>1343.3</v>
      </c>
      <c r="I13">
        <f t="shared" si="3"/>
        <v>8.3485599930392418</v>
      </c>
      <c r="P13" s="2"/>
    </row>
    <row r="14" spans="1:20" x14ac:dyDescent="0.25">
      <c r="A14" t="s">
        <v>84</v>
      </c>
      <c r="C14" t="s">
        <v>252</v>
      </c>
      <c r="D14" s="2" t="s">
        <v>49</v>
      </c>
      <c r="E14" t="s">
        <v>43</v>
      </c>
      <c r="F14">
        <v>224.2</v>
      </c>
      <c r="G14">
        <v>11129.3</v>
      </c>
      <c r="H14" s="4">
        <f t="shared" si="0"/>
        <v>10905.099999999999</v>
      </c>
      <c r="I14">
        <f>(H14/10905.1)*100</f>
        <v>99.999999999999972</v>
      </c>
      <c r="P14" s="2"/>
    </row>
    <row r="15" spans="1:20" x14ac:dyDescent="0.25">
      <c r="A15" t="s">
        <v>85</v>
      </c>
      <c r="D15" s="2"/>
      <c r="E15" t="s">
        <v>44</v>
      </c>
      <c r="F15">
        <v>224.2</v>
      </c>
      <c r="G15">
        <v>7057.5</v>
      </c>
      <c r="H15" s="4">
        <f t="shared" si="0"/>
        <v>6833.3</v>
      </c>
      <c r="I15" s="6">
        <f t="shared" ref="I15:I16" si="4">(H15/10905.1)*100</f>
        <v>62.661507001311314</v>
      </c>
      <c r="P15" s="2"/>
    </row>
    <row r="16" spans="1:20" x14ac:dyDescent="0.25">
      <c r="A16" t="s">
        <v>86</v>
      </c>
      <c r="D16" s="2"/>
      <c r="E16" t="s">
        <v>46</v>
      </c>
      <c r="F16">
        <v>224.2</v>
      </c>
      <c r="G16">
        <v>5944.6</v>
      </c>
      <c r="H16" s="4">
        <f t="shared" si="0"/>
        <v>5720.4000000000005</v>
      </c>
      <c r="I16" s="6">
        <f t="shared" si="4"/>
        <v>52.456190222923226</v>
      </c>
    </row>
    <row r="17" spans="1:16" x14ac:dyDescent="0.25">
      <c r="A17" t="s">
        <v>87</v>
      </c>
      <c r="H17" s="4"/>
      <c r="P17" s="2"/>
    </row>
    <row r="18" spans="1:16" x14ac:dyDescent="0.25">
      <c r="A18" t="s">
        <v>88</v>
      </c>
      <c r="D18" s="2"/>
      <c r="F18" s="3"/>
      <c r="G18" s="3"/>
      <c r="H18" s="3"/>
      <c r="I18" s="3"/>
      <c r="P18" s="2"/>
    </row>
    <row r="19" spans="1:16" x14ac:dyDescent="0.25">
      <c r="A19" t="s">
        <v>89</v>
      </c>
      <c r="D19" s="2"/>
      <c r="H19" s="4"/>
      <c r="P19" s="2"/>
    </row>
    <row r="20" spans="1:16" x14ac:dyDescent="0.25">
      <c r="A20" t="s">
        <v>90</v>
      </c>
      <c r="D20" s="2"/>
      <c r="H20" s="4"/>
      <c r="P20" s="2"/>
    </row>
    <row r="21" spans="1:16" x14ac:dyDescent="0.25">
      <c r="A21" t="s">
        <v>91</v>
      </c>
      <c r="D21" s="2"/>
      <c r="H21" s="4"/>
    </row>
    <row r="22" spans="1:16" x14ac:dyDescent="0.25">
      <c r="A22" t="s">
        <v>92</v>
      </c>
      <c r="D22" s="2"/>
      <c r="H22" s="4"/>
    </row>
    <row r="23" spans="1:16" x14ac:dyDescent="0.25">
      <c r="A23" t="s">
        <v>93</v>
      </c>
      <c r="D23" s="2"/>
      <c r="H23" s="4"/>
    </row>
    <row r="24" spans="1:16" x14ac:dyDescent="0.25">
      <c r="D24" s="2"/>
      <c r="H24" s="4"/>
    </row>
    <row r="25" spans="1:16" x14ac:dyDescent="0.25">
      <c r="D25" s="2"/>
      <c r="H25" s="4"/>
    </row>
    <row r="26" spans="1:16" x14ac:dyDescent="0.25">
      <c r="D26" s="2"/>
      <c r="H26" s="4"/>
      <c r="I26" s="6"/>
    </row>
    <row r="27" spans="1:16" x14ac:dyDescent="0.25">
      <c r="D27" s="2"/>
      <c r="H27" s="4"/>
    </row>
    <row r="28" spans="1:16" x14ac:dyDescent="0.25">
      <c r="D28" s="2"/>
      <c r="H28" s="4"/>
    </row>
    <row r="29" spans="1:16" x14ac:dyDescent="0.25">
      <c r="D29" s="2"/>
      <c r="H29" s="4"/>
      <c r="I29" s="6"/>
    </row>
    <row r="30" spans="1:16" x14ac:dyDescent="0.25">
      <c r="D30" s="2"/>
      <c r="H30" s="4"/>
    </row>
    <row r="31" spans="1:16" x14ac:dyDescent="0.25">
      <c r="D31" s="2"/>
      <c r="H31" s="4"/>
    </row>
    <row r="32" spans="1:16" x14ac:dyDescent="0.25">
      <c r="H32" s="4"/>
      <c r="I32" s="6"/>
    </row>
    <row r="33" spans="4:9" x14ac:dyDescent="0.25">
      <c r="H33" s="4"/>
      <c r="I33" s="6"/>
    </row>
    <row r="34" spans="4:9" x14ac:dyDescent="0.25">
      <c r="D34" s="2"/>
      <c r="H34" s="4"/>
    </row>
    <row r="35" spans="4:9" x14ac:dyDescent="0.25">
      <c r="D35" s="2"/>
      <c r="H35" s="4"/>
      <c r="I35" s="6"/>
    </row>
    <row r="36" spans="4:9" x14ac:dyDescent="0.25">
      <c r="D36" s="2"/>
      <c r="H36" s="4"/>
    </row>
    <row r="37" spans="4:9" x14ac:dyDescent="0.25">
      <c r="D37" s="2"/>
      <c r="H37" s="4"/>
    </row>
    <row r="38" spans="4:9" x14ac:dyDescent="0.25">
      <c r="D38" s="2"/>
      <c r="H38" s="4"/>
      <c r="I38" s="6"/>
    </row>
    <row r="39" spans="4:9" x14ac:dyDescent="0.25">
      <c r="D39" s="2"/>
      <c r="H39" s="4"/>
      <c r="I39" s="6"/>
    </row>
    <row r="40" spans="4:9" x14ac:dyDescent="0.25">
      <c r="D40" s="2"/>
      <c r="H40" s="4"/>
    </row>
    <row r="41" spans="4:9" x14ac:dyDescent="0.25">
      <c r="D41" s="2"/>
      <c r="H41" s="4"/>
      <c r="I41" s="6"/>
    </row>
    <row r="42" spans="4:9" x14ac:dyDescent="0.25">
      <c r="D42" s="2"/>
      <c r="H42" s="4"/>
    </row>
    <row r="43" spans="4:9" x14ac:dyDescent="0.25">
      <c r="D43" s="2"/>
      <c r="H43" s="4"/>
    </row>
    <row r="44" spans="4:9" x14ac:dyDescent="0.25">
      <c r="H44" s="4"/>
      <c r="I44" s="6"/>
    </row>
    <row r="45" spans="4:9" x14ac:dyDescent="0.25">
      <c r="H4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3629-EE7E-4A05-9EAF-FD4100F2C586}">
  <dimension ref="A1:T50"/>
  <sheetViews>
    <sheetView topLeftCell="A4" workbookViewId="0">
      <selection activeCell="C1" sqref="C1"/>
    </sheetView>
  </sheetViews>
  <sheetFormatPr defaultRowHeight="15" x14ac:dyDescent="0.25"/>
  <cols>
    <col min="1" max="1" width="48.5703125" bestFit="1" customWidth="1"/>
    <col min="3" max="3" width="10.5703125" bestFit="1" customWidth="1"/>
    <col min="4" max="4" width="13.140625" bestFit="1" customWidth="1"/>
    <col min="6" max="6" width="12.5703125" customWidth="1"/>
    <col min="7" max="7" width="12.28515625" customWidth="1"/>
    <col min="8" max="8" width="12.85546875" customWidth="1"/>
    <col min="9" max="9" width="11.85546875" customWidth="1"/>
  </cols>
  <sheetData>
    <row r="1" spans="1:20" x14ac:dyDescent="0.25">
      <c r="A1" s="1" t="s">
        <v>246</v>
      </c>
    </row>
    <row r="3" spans="1:20" x14ac:dyDescent="0.25">
      <c r="A3" t="s">
        <v>0</v>
      </c>
    </row>
    <row r="4" spans="1:20" ht="31.5" customHeight="1" x14ac:dyDescent="0.25">
      <c r="D4" s="2"/>
      <c r="F4" s="3" t="s">
        <v>38</v>
      </c>
      <c r="G4" s="3" t="s">
        <v>39</v>
      </c>
      <c r="H4" s="3" t="s">
        <v>40</v>
      </c>
      <c r="I4" s="3" t="s">
        <v>41</v>
      </c>
    </row>
    <row r="5" spans="1:20" x14ac:dyDescent="0.25">
      <c r="A5" t="s">
        <v>1</v>
      </c>
      <c r="C5" t="s">
        <v>250</v>
      </c>
      <c r="D5" s="2" t="s">
        <v>45</v>
      </c>
      <c r="E5" t="s">
        <v>43</v>
      </c>
      <c r="F5">
        <v>101.6</v>
      </c>
      <c r="G5">
        <v>4413.5</v>
      </c>
      <c r="H5" s="4">
        <f>G5-F5</f>
        <v>4311.8999999999996</v>
      </c>
      <c r="I5">
        <f>(H5/4311.9)*100</f>
        <v>100</v>
      </c>
      <c r="P5" s="5"/>
      <c r="Q5" s="5"/>
      <c r="R5" s="5"/>
      <c r="S5" s="5"/>
    </row>
    <row r="6" spans="1:20" x14ac:dyDescent="0.25">
      <c r="A6" t="s">
        <v>2</v>
      </c>
      <c r="D6" s="2"/>
      <c r="E6" t="s">
        <v>44</v>
      </c>
      <c r="F6">
        <v>101.6</v>
      </c>
      <c r="G6">
        <v>943.2</v>
      </c>
      <c r="H6" s="4">
        <f t="shared" ref="H6:H16" si="0">G6-F6</f>
        <v>841.6</v>
      </c>
      <c r="I6">
        <f t="shared" ref="I6:I7" si="1">(H6/4311.9)*100</f>
        <v>19.518077877501799</v>
      </c>
      <c r="K6" s="2"/>
      <c r="O6" s="2"/>
    </row>
    <row r="7" spans="1:20" x14ac:dyDescent="0.25">
      <c r="A7" t="s">
        <v>94</v>
      </c>
      <c r="D7" s="2"/>
      <c r="E7" t="s">
        <v>46</v>
      </c>
      <c r="F7">
        <v>101.6</v>
      </c>
      <c r="G7">
        <v>523.29999999999995</v>
      </c>
      <c r="H7" s="4">
        <f t="shared" si="0"/>
        <v>421.69999999999993</v>
      </c>
      <c r="I7">
        <f t="shared" si="1"/>
        <v>9.7799114079640059</v>
      </c>
      <c r="K7" s="2"/>
      <c r="O7" s="2"/>
    </row>
    <row r="8" spans="1:20" x14ac:dyDescent="0.25">
      <c r="A8" t="s">
        <v>95</v>
      </c>
      <c r="C8" t="s">
        <v>251</v>
      </c>
      <c r="D8" s="2" t="s">
        <v>47</v>
      </c>
      <c r="E8" t="s">
        <v>43</v>
      </c>
      <c r="F8">
        <v>159.30000000000001</v>
      </c>
      <c r="G8">
        <v>8627.4</v>
      </c>
      <c r="H8" s="4">
        <f t="shared" si="0"/>
        <v>8468.1</v>
      </c>
      <c r="I8">
        <f>(H8/8468.1)*100</f>
        <v>100</v>
      </c>
      <c r="K8" s="2"/>
      <c r="O8" s="2"/>
    </row>
    <row r="9" spans="1:20" x14ac:dyDescent="0.25">
      <c r="A9" t="s">
        <v>96</v>
      </c>
      <c r="D9" s="2"/>
      <c r="E9" t="s">
        <v>44</v>
      </c>
      <c r="F9">
        <v>159.30000000000001</v>
      </c>
      <c r="G9">
        <v>2538.1</v>
      </c>
      <c r="H9" s="4">
        <f t="shared" si="0"/>
        <v>2378.7999999999997</v>
      </c>
      <c r="I9">
        <f t="shared" ref="I9:I10" si="2">(H9/8468.1)*100</f>
        <v>28.091307377097575</v>
      </c>
      <c r="K9" s="2"/>
      <c r="O9" s="2"/>
    </row>
    <row r="10" spans="1:20" x14ac:dyDescent="0.25">
      <c r="A10" t="s">
        <v>97</v>
      </c>
      <c r="D10" s="2"/>
      <c r="E10" t="s">
        <v>46</v>
      </c>
      <c r="F10">
        <v>159.30000000000001</v>
      </c>
      <c r="G10">
        <v>1432.3</v>
      </c>
      <c r="H10" s="4">
        <f t="shared" si="0"/>
        <v>1273</v>
      </c>
      <c r="I10">
        <f t="shared" si="2"/>
        <v>15.032888133111321</v>
      </c>
    </row>
    <row r="11" spans="1:20" x14ac:dyDescent="0.25">
      <c r="A11" t="s">
        <v>98</v>
      </c>
      <c r="C11" t="s">
        <v>251</v>
      </c>
      <c r="D11" s="2" t="s">
        <v>48</v>
      </c>
      <c r="E11" t="s">
        <v>43</v>
      </c>
      <c r="F11">
        <v>201.7</v>
      </c>
      <c r="G11">
        <v>11374.4</v>
      </c>
      <c r="H11" s="4">
        <f t="shared" si="0"/>
        <v>11172.699999999999</v>
      </c>
      <c r="I11">
        <f>(H11/11172.7)*100</f>
        <v>99.999999999999986</v>
      </c>
      <c r="Q11" s="5"/>
      <c r="R11" s="5"/>
      <c r="S11" s="5"/>
      <c r="T11" s="5"/>
    </row>
    <row r="12" spans="1:20" x14ac:dyDescent="0.25">
      <c r="A12" t="s">
        <v>99</v>
      </c>
      <c r="D12" s="2"/>
      <c r="E12" t="s">
        <v>44</v>
      </c>
      <c r="F12">
        <v>201.7</v>
      </c>
      <c r="G12">
        <v>2195.1</v>
      </c>
      <c r="H12" s="4">
        <f t="shared" si="0"/>
        <v>1993.3999999999999</v>
      </c>
      <c r="I12">
        <f t="shared" ref="I12:I13" si="3">(H12/11172.7)*100</f>
        <v>17.841703437844028</v>
      </c>
      <c r="P12" s="2"/>
    </row>
    <row r="13" spans="1:20" x14ac:dyDescent="0.25">
      <c r="A13" t="s">
        <v>100</v>
      </c>
      <c r="D13" s="2"/>
      <c r="E13" t="s">
        <v>46</v>
      </c>
      <c r="F13">
        <v>201.7</v>
      </c>
      <c r="G13">
        <v>1280.2</v>
      </c>
      <c r="H13" s="4">
        <f t="shared" si="0"/>
        <v>1078.5</v>
      </c>
      <c r="I13">
        <f t="shared" si="3"/>
        <v>9.6529934572663727</v>
      </c>
      <c r="P13" s="2"/>
    </row>
    <row r="14" spans="1:20" x14ac:dyDescent="0.25">
      <c r="A14" t="s">
        <v>101</v>
      </c>
      <c r="C14" t="s">
        <v>252</v>
      </c>
      <c r="D14" s="2" t="s">
        <v>49</v>
      </c>
      <c r="E14" t="s">
        <v>43</v>
      </c>
      <c r="F14">
        <v>149.19999999999999</v>
      </c>
      <c r="G14">
        <v>10321.299999999999</v>
      </c>
      <c r="H14" s="4">
        <f t="shared" si="0"/>
        <v>10172.099999999999</v>
      </c>
      <c r="I14">
        <f>(H14/10172.1)*100</f>
        <v>99.999999999999972</v>
      </c>
      <c r="P14" s="2"/>
    </row>
    <row r="15" spans="1:20" x14ac:dyDescent="0.25">
      <c r="A15" t="s">
        <v>102</v>
      </c>
      <c r="D15" s="2"/>
      <c r="E15" t="s">
        <v>44</v>
      </c>
      <c r="F15">
        <v>149.19999999999999</v>
      </c>
      <c r="G15">
        <v>6251.8</v>
      </c>
      <c r="H15" s="4">
        <f t="shared" si="0"/>
        <v>6102.6</v>
      </c>
      <c r="I15" s="6">
        <f t="shared" ref="I15:I16" si="4">(H15/10172.1)*100</f>
        <v>59.993511664258115</v>
      </c>
      <c r="P15" s="2"/>
    </row>
    <row r="16" spans="1:20" x14ac:dyDescent="0.25">
      <c r="A16" t="s">
        <v>103</v>
      </c>
      <c r="D16" s="2"/>
      <c r="E16" t="s">
        <v>46</v>
      </c>
      <c r="F16">
        <v>149.19999999999999</v>
      </c>
      <c r="G16">
        <v>3971.7</v>
      </c>
      <c r="H16" s="4">
        <f t="shared" si="0"/>
        <v>3822.5</v>
      </c>
      <c r="I16" s="6">
        <f t="shared" si="4"/>
        <v>37.578277838401114</v>
      </c>
    </row>
    <row r="17" spans="1:20" x14ac:dyDescent="0.25">
      <c r="A17" t="s">
        <v>104</v>
      </c>
      <c r="H17" s="4"/>
      <c r="P17" s="2"/>
    </row>
    <row r="18" spans="1:20" ht="28.5" x14ac:dyDescent="0.25">
      <c r="A18" t="s">
        <v>105</v>
      </c>
      <c r="C18" t="s">
        <v>253</v>
      </c>
      <c r="D18" s="2" t="s">
        <v>70</v>
      </c>
      <c r="F18" s="3"/>
      <c r="G18" s="3"/>
      <c r="H18" s="3" t="s">
        <v>40</v>
      </c>
      <c r="I18" s="3" t="s">
        <v>41</v>
      </c>
      <c r="P18" s="2"/>
    </row>
    <row r="19" spans="1:20" x14ac:dyDescent="0.25">
      <c r="A19" t="s">
        <v>106</v>
      </c>
      <c r="D19" s="2" t="s">
        <v>75</v>
      </c>
      <c r="E19" t="s">
        <v>43</v>
      </c>
      <c r="F19">
        <v>72.5</v>
      </c>
      <c r="G19">
        <v>3005.1</v>
      </c>
      <c r="H19" s="4">
        <f>G19-F19</f>
        <v>2932.6</v>
      </c>
      <c r="I19">
        <f>(H19/2932.6)*100</f>
        <v>100</v>
      </c>
      <c r="P19" s="2"/>
    </row>
    <row r="20" spans="1:20" x14ac:dyDescent="0.25">
      <c r="A20" t="s">
        <v>107</v>
      </c>
      <c r="D20" s="2"/>
      <c r="E20" t="s">
        <v>44</v>
      </c>
      <c r="F20">
        <v>72.5</v>
      </c>
      <c r="G20">
        <v>612.6</v>
      </c>
      <c r="H20" s="4">
        <f t="shared" ref="H20:H23" si="5">G20-F20</f>
        <v>540.1</v>
      </c>
      <c r="I20">
        <f t="shared" ref="I20:I21" si="6">(H20/2932.6)*100</f>
        <v>18.417104276069018</v>
      </c>
      <c r="P20" s="2"/>
    </row>
    <row r="21" spans="1:20" x14ac:dyDescent="0.25">
      <c r="A21" t="s">
        <v>108</v>
      </c>
      <c r="D21" s="2"/>
      <c r="E21" t="s">
        <v>46</v>
      </c>
      <c r="F21">
        <v>72.5</v>
      </c>
      <c r="G21">
        <v>352.9</v>
      </c>
      <c r="H21" s="4">
        <f t="shared" si="5"/>
        <v>280.39999999999998</v>
      </c>
      <c r="I21">
        <f t="shared" si="6"/>
        <v>9.56148127941076</v>
      </c>
    </row>
    <row r="22" spans="1:20" x14ac:dyDescent="0.25">
      <c r="A22" t="s">
        <v>109</v>
      </c>
      <c r="D22" s="2" t="s">
        <v>71</v>
      </c>
      <c r="E22" t="s">
        <v>43</v>
      </c>
      <c r="F22">
        <v>72.5</v>
      </c>
      <c r="G22">
        <v>2629.9</v>
      </c>
      <c r="H22" s="4">
        <f t="shared" si="5"/>
        <v>2557.4</v>
      </c>
      <c r="I22">
        <f>(H22/2557.4)*100</f>
        <v>100</v>
      </c>
    </row>
    <row r="23" spans="1:20" x14ac:dyDescent="0.25">
      <c r="A23" t="s">
        <v>110</v>
      </c>
      <c r="D23" s="2"/>
      <c r="E23" t="s">
        <v>44</v>
      </c>
      <c r="F23">
        <v>72.5</v>
      </c>
      <c r="G23">
        <v>695.2</v>
      </c>
      <c r="H23" s="4">
        <f t="shared" si="5"/>
        <v>622.70000000000005</v>
      </c>
      <c r="I23">
        <f t="shared" ref="I23" si="7">(H23/2557.4)*100</f>
        <v>24.348948150465315</v>
      </c>
      <c r="Q23" s="5"/>
      <c r="R23" s="5"/>
      <c r="S23" s="5"/>
      <c r="T23" s="5"/>
    </row>
    <row r="24" spans="1:20" x14ac:dyDescent="0.25">
      <c r="A24" t="s">
        <v>111</v>
      </c>
      <c r="D24" s="2" t="s">
        <v>72</v>
      </c>
      <c r="E24" t="s">
        <v>43</v>
      </c>
      <c r="F24">
        <v>72.5</v>
      </c>
      <c r="G24">
        <v>4039.3</v>
      </c>
      <c r="H24" s="4">
        <f t="shared" ref="H24:H35" si="8">G24-F24</f>
        <v>3966.8</v>
      </c>
      <c r="I24">
        <f>(H24/3966.8)*100</f>
        <v>100</v>
      </c>
      <c r="O24" s="2"/>
      <c r="P24" s="2"/>
    </row>
    <row r="25" spans="1:20" x14ac:dyDescent="0.25">
      <c r="A25" t="s">
        <v>112</v>
      </c>
      <c r="D25" s="2"/>
      <c r="E25" t="s">
        <v>44</v>
      </c>
      <c r="F25">
        <v>72.5</v>
      </c>
      <c r="G25">
        <v>1157</v>
      </c>
      <c r="H25" s="4">
        <f t="shared" si="8"/>
        <v>1084.5</v>
      </c>
      <c r="I25" s="6">
        <f t="shared" ref="I25" si="9">(H25/3966.8)*100</f>
        <v>27.339417162448321</v>
      </c>
      <c r="P25" s="2"/>
    </row>
    <row r="26" spans="1:20" x14ac:dyDescent="0.25">
      <c r="A26" t="s">
        <v>113</v>
      </c>
      <c r="D26" s="2" t="s">
        <v>73</v>
      </c>
      <c r="E26" t="s">
        <v>43</v>
      </c>
      <c r="F26">
        <v>72.5</v>
      </c>
      <c r="G26">
        <v>3636.7</v>
      </c>
      <c r="H26" s="4">
        <f t="shared" si="8"/>
        <v>3564.2</v>
      </c>
      <c r="I26">
        <f>(H26/3564.2)*100</f>
        <v>100</v>
      </c>
      <c r="P26" s="2"/>
    </row>
    <row r="27" spans="1:20" x14ac:dyDescent="0.25">
      <c r="A27" t="s">
        <v>114</v>
      </c>
      <c r="D27" s="2"/>
      <c r="E27" t="s">
        <v>44</v>
      </c>
      <c r="F27">
        <v>72.5</v>
      </c>
      <c r="G27">
        <v>1812.1</v>
      </c>
      <c r="H27" s="4">
        <f t="shared" si="8"/>
        <v>1739.6</v>
      </c>
      <c r="I27" s="6">
        <f t="shared" ref="I27" si="10">(H27/3564.2)*100</f>
        <v>48.807586555187697</v>
      </c>
      <c r="P27" s="2"/>
    </row>
    <row r="28" spans="1:20" x14ac:dyDescent="0.25">
      <c r="A28" t="s">
        <v>115</v>
      </c>
      <c r="D28" s="2" t="s">
        <v>74</v>
      </c>
      <c r="E28" t="s">
        <v>43</v>
      </c>
      <c r="F28">
        <v>72.5</v>
      </c>
      <c r="G28">
        <v>3843.4</v>
      </c>
      <c r="H28" s="4">
        <f t="shared" si="8"/>
        <v>3770.9</v>
      </c>
      <c r="I28">
        <f>(H28/3770.9)*100</f>
        <v>100</v>
      </c>
      <c r="P28" s="2"/>
    </row>
    <row r="29" spans="1:20" x14ac:dyDescent="0.25">
      <c r="A29" t="s">
        <v>116</v>
      </c>
      <c r="E29" t="s">
        <v>44</v>
      </c>
      <c r="F29">
        <v>72.5</v>
      </c>
      <c r="G29">
        <v>2743.6</v>
      </c>
      <c r="H29" s="4">
        <f t="shared" si="8"/>
        <v>2671.1</v>
      </c>
      <c r="I29" s="6">
        <f>(H29/3770.9)*100</f>
        <v>70.834548781458011</v>
      </c>
      <c r="P29" s="2"/>
    </row>
    <row r="30" spans="1:20" x14ac:dyDescent="0.25">
      <c r="A30" t="s">
        <v>117</v>
      </c>
      <c r="D30" s="2" t="s">
        <v>76</v>
      </c>
      <c r="E30" t="s">
        <v>43</v>
      </c>
      <c r="F30">
        <v>72.5</v>
      </c>
      <c r="G30">
        <v>2431.9</v>
      </c>
      <c r="H30" s="4">
        <f t="shared" si="8"/>
        <v>2359.4</v>
      </c>
      <c r="I30">
        <f>(H30/2359.4)*100</f>
        <v>100</v>
      </c>
      <c r="P30" s="2"/>
    </row>
    <row r="31" spans="1:20" x14ac:dyDescent="0.25">
      <c r="A31" t="s">
        <v>118</v>
      </c>
      <c r="D31" s="2"/>
      <c r="E31" t="s">
        <v>44</v>
      </c>
      <c r="F31">
        <v>72.5</v>
      </c>
      <c r="G31">
        <v>1533.3</v>
      </c>
      <c r="H31" s="4">
        <f t="shared" si="8"/>
        <v>1460.8</v>
      </c>
      <c r="I31" s="6">
        <f t="shared" ref="I31:I32" si="11">(H31/2359.4)*100</f>
        <v>61.914045943884034</v>
      </c>
      <c r="P31" s="2"/>
    </row>
    <row r="32" spans="1:20" x14ac:dyDescent="0.25">
      <c r="A32" t="s">
        <v>119</v>
      </c>
      <c r="D32" s="2"/>
      <c r="E32" t="s">
        <v>46</v>
      </c>
      <c r="F32">
        <v>72.5</v>
      </c>
      <c r="G32">
        <v>582.79999999999995</v>
      </c>
      <c r="H32" s="4">
        <f t="shared" si="8"/>
        <v>510.29999999999995</v>
      </c>
      <c r="I32" s="6">
        <f t="shared" si="11"/>
        <v>21.628380096634736</v>
      </c>
      <c r="P32" s="2"/>
    </row>
    <row r="33" spans="1:16" x14ac:dyDescent="0.25">
      <c r="A33" t="s">
        <v>120</v>
      </c>
      <c r="D33" s="2" t="s">
        <v>77</v>
      </c>
      <c r="E33" t="s">
        <v>43</v>
      </c>
      <c r="F33">
        <v>72.5</v>
      </c>
      <c r="G33">
        <v>3580.4</v>
      </c>
      <c r="H33" s="4">
        <f t="shared" si="8"/>
        <v>3507.9</v>
      </c>
      <c r="I33">
        <f>(H33/3507.9)*100</f>
        <v>100</v>
      </c>
      <c r="P33" s="2"/>
    </row>
    <row r="34" spans="1:16" x14ac:dyDescent="0.25">
      <c r="A34" t="s">
        <v>121</v>
      </c>
      <c r="E34" t="s">
        <v>44</v>
      </c>
      <c r="F34">
        <v>72.5</v>
      </c>
      <c r="G34">
        <v>1805.2</v>
      </c>
      <c r="H34" s="4">
        <f t="shared" si="8"/>
        <v>1732.7</v>
      </c>
      <c r="I34" s="6">
        <f t="shared" ref="I34:I35" si="12">(H34/3507.9)*100</f>
        <v>49.394224464779498</v>
      </c>
      <c r="P34" s="2"/>
    </row>
    <row r="35" spans="1:16" x14ac:dyDescent="0.25">
      <c r="A35" t="s">
        <v>122</v>
      </c>
      <c r="E35" t="s">
        <v>46</v>
      </c>
      <c r="F35">
        <v>72.5</v>
      </c>
      <c r="G35">
        <v>741.7</v>
      </c>
      <c r="H35" s="4">
        <f t="shared" si="8"/>
        <v>669.2</v>
      </c>
      <c r="I35" s="6">
        <f t="shared" si="12"/>
        <v>19.076940619744008</v>
      </c>
      <c r="P35" s="2"/>
    </row>
    <row r="36" spans="1:16" x14ac:dyDescent="0.25">
      <c r="A36" t="s">
        <v>123</v>
      </c>
      <c r="D36" s="2"/>
      <c r="H36" s="4"/>
      <c r="I36" s="6"/>
      <c r="P36" s="2"/>
    </row>
    <row r="37" spans="1:16" x14ac:dyDescent="0.25">
      <c r="A37" t="s">
        <v>124</v>
      </c>
      <c r="D37" s="2"/>
      <c r="H37" s="4"/>
    </row>
    <row r="38" spans="1:16" x14ac:dyDescent="0.25">
      <c r="A38" t="s">
        <v>125</v>
      </c>
      <c r="D38" s="2"/>
      <c r="H38" s="4"/>
      <c r="I38" s="6"/>
      <c r="O38" s="2"/>
      <c r="P38" s="2"/>
    </row>
    <row r="39" spans="1:16" x14ac:dyDescent="0.25">
      <c r="A39" t="s">
        <v>126</v>
      </c>
      <c r="D39" s="2"/>
      <c r="H39" s="4"/>
      <c r="I39" s="6"/>
      <c r="P39" s="2"/>
    </row>
    <row r="40" spans="1:16" x14ac:dyDescent="0.25">
      <c r="A40" t="s">
        <v>127</v>
      </c>
      <c r="P40" s="2"/>
    </row>
    <row r="41" spans="1:16" x14ac:dyDescent="0.25">
      <c r="A41" t="s">
        <v>128</v>
      </c>
      <c r="P41" s="2"/>
    </row>
    <row r="42" spans="1:16" x14ac:dyDescent="0.25">
      <c r="P42" s="2"/>
    </row>
    <row r="43" spans="1:16" x14ac:dyDescent="0.25">
      <c r="P43" s="2"/>
    </row>
    <row r="44" spans="1:16" x14ac:dyDescent="0.25">
      <c r="P44" s="2"/>
    </row>
    <row r="45" spans="1:16" x14ac:dyDescent="0.25">
      <c r="P45" s="2"/>
    </row>
    <row r="46" spans="1:16" x14ac:dyDescent="0.25">
      <c r="P46" s="2"/>
    </row>
    <row r="47" spans="1:16" x14ac:dyDescent="0.25">
      <c r="P47" s="2"/>
    </row>
    <row r="48" spans="1:16" x14ac:dyDescent="0.25">
      <c r="P48" s="2"/>
    </row>
    <row r="49" spans="16:16" x14ac:dyDescent="0.25">
      <c r="P49" s="2"/>
    </row>
    <row r="50" spans="16:16" x14ac:dyDescent="0.25">
      <c r="P5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947C-1F26-42E6-A64C-F21968CA3EB7}">
  <dimension ref="A1:T22"/>
  <sheetViews>
    <sheetView workbookViewId="0">
      <selection activeCell="C1" sqref="C1"/>
    </sheetView>
  </sheetViews>
  <sheetFormatPr defaultRowHeight="15" x14ac:dyDescent="0.25"/>
  <cols>
    <col min="1" max="1" width="47" bestFit="1" customWidth="1"/>
    <col min="4" max="4" width="13.140625" bestFit="1" customWidth="1"/>
    <col min="6" max="6" width="12.42578125" customWidth="1"/>
    <col min="7" max="7" width="11.28515625" customWidth="1"/>
    <col min="8" max="8" width="12.42578125" customWidth="1"/>
    <col min="9" max="9" width="12" bestFit="1" customWidth="1"/>
    <col min="15" max="15" width="13.28515625" bestFit="1" customWidth="1"/>
  </cols>
  <sheetData>
    <row r="1" spans="1:20" x14ac:dyDescent="0.25">
      <c r="A1" s="1" t="s">
        <v>248</v>
      </c>
    </row>
    <row r="3" spans="1:20" x14ac:dyDescent="0.25">
      <c r="A3" t="s">
        <v>0</v>
      </c>
    </row>
    <row r="4" spans="1:20" ht="28.5" x14ac:dyDescent="0.25">
      <c r="D4" s="2"/>
      <c r="F4" s="3" t="s">
        <v>38</v>
      </c>
      <c r="G4" s="3" t="s">
        <v>39</v>
      </c>
      <c r="H4" s="3" t="s">
        <v>40</v>
      </c>
      <c r="I4" s="3" t="s">
        <v>41</v>
      </c>
    </row>
    <row r="5" spans="1:20" x14ac:dyDescent="0.25">
      <c r="A5" t="s">
        <v>1</v>
      </c>
      <c r="C5" t="s">
        <v>250</v>
      </c>
      <c r="D5" s="2" t="s">
        <v>45</v>
      </c>
      <c r="E5" t="s">
        <v>43</v>
      </c>
      <c r="F5">
        <v>93</v>
      </c>
      <c r="G5">
        <v>5328.1</v>
      </c>
      <c r="H5" s="4">
        <f>G5-F5</f>
        <v>5235.1000000000004</v>
      </c>
      <c r="I5">
        <f>(H5/5235.1)*100</f>
        <v>100</v>
      </c>
      <c r="P5" s="5"/>
      <c r="Q5" s="5"/>
      <c r="R5" s="5"/>
      <c r="S5" s="5"/>
      <c r="T5" s="5"/>
    </row>
    <row r="6" spans="1:20" x14ac:dyDescent="0.25">
      <c r="A6" t="s">
        <v>2</v>
      </c>
      <c r="D6" s="2"/>
      <c r="E6" t="s">
        <v>44</v>
      </c>
      <c r="F6">
        <v>93</v>
      </c>
      <c r="G6">
        <v>1220.7</v>
      </c>
      <c r="H6" s="4">
        <f t="shared" ref="H6:H16" si="0">G6-F6</f>
        <v>1127.7</v>
      </c>
      <c r="I6">
        <f t="shared" ref="I6:I7" si="1">(H6/5235.1)*100</f>
        <v>21.541135794922734</v>
      </c>
      <c r="K6" s="2"/>
      <c r="O6" s="2"/>
    </row>
    <row r="7" spans="1:20" x14ac:dyDescent="0.25">
      <c r="A7" t="s">
        <v>129</v>
      </c>
      <c r="D7" s="2"/>
      <c r="E7" t="s">
        <v>46</v>
      </c>
      <c r="F7">
        <v>93</v>
      </c>
      <c r="G7">
        <v>686.2</v>
      </c>
      <c r="H7" s="4">
        <f t="shared" si="0"/>
        <v>593.20000000000005</v>
      </c>
      <c r="I7">
        <f t="shared" si="1"/>
        <v>11.331206662718955</v>
      </c>
      <c r="K7" s="2"/>
      <c r="O7" s="2"/>
    </row>
    <row r="8" spans="1:20" x14ac:dyDescent="0.25">
      <c r="A8" t="s">
        <v>130</v>
      </c>
      <c r="C8" t="s">
        <v>251</v>
      </c>
      <c r="D8" s="2" t="s">
        <v>47</v>
      </c>
      <c r="E8" t="s">
        <v>43</v>
      </c>
      <c r="F8">
        <v>153.30000000000001</v>
      </c>
      <c r="G8">
        <v>8477.2000000000007</v>
      </c>
      <c r="H8" s="4">
        <f t="shared" si="0"/>
        <v>8323.9000000000015</v>
      </c>
      <c r="I8">
        <f>(H8/8323.9)*100</f>
        <v>100.00000000000003</v>
      </c>
      <c r="K8" s="2"/>
      <c r="O8" s="2"/>
    </row>
    <row r="9" spans="1:20" x14ac:dyDescent="0.25">
      <c r="A9" t="s">
        <v>131</v>
      </c>
      <c r="D9" s="2"/>
      <c r="E9" t="s">
        <v>44</v>
      </c>
      <c r="F9">
        <v>153.30000000000001</v>
      </c>
      <c r="G9">
        <v>2240.6999999999998</v>
      </c>
      <c r="H9" s="4">
        <f t="shared" si="0"/>
        <v>2087.3999999999996</v>
      </c>
      <c r="I9">
        <f t="shared" ref="I9:I10" si="2">(H9/8323.9)*100</f>
        <v>25.077187376109755</v>
      </c>
      <c r="K9" s="2"/>
      <c r="O9" s="2"/>
    </row>
    <row r="10" spans="1:20" x14ac:dyDescent="0.25">
      <c r="A10" t="s">
        <v>132</v>
      </c>
      <c r="D10" s="2"/>
      <c r="E10" t="s">
        <v>46</v>
      </c>
      <c r="F10">
        <v>153.30000000000001</v>
      </c>
      <c r="G10">
        <v>1464.8</v>
      </c>
      <c r="H10" s="4">
        <f t="shared" si="0"/>
        <v>1311.5</v>
      </c>
      <c r="I10">
        <f t="shared" si="2"/>
        <v>15.755835605905885</v>
      </c>
    </row>
    <row r="11" spans="1:20" x14ac:dyDescent="0.25">
      <c r="A11" t="s">
        <v>133</v>
      </c>
      <c r="C11" t="s">
        <v>251</v>
      </c>
      <c r="D11" s="2" t="s">
        <v>48</v>
      </c>
      <c r="E11" t="s">
        <v>43</v>
      </c>
      <c r="F11">
        <v>148.6</v>
      </c>
      <c r="G11">
        <v>7572.1</v>
      </c>
      <c r="H11" s="4">
        <f t="shared" si="0"/>
        <v>7423.5</v>
      </c>
      <c r="I11">
        <f>(H11/7423.5)*100</f>
        <v>100</v>
      </c>
      <c r="N11" s="2"/>
      <c r="O11" s="2"/>
      <c r="P11" s="5"/>
      <c r="Q11" s="5"/>
      <c r="R11" s="5"/>
      <c r="S11" s="5"/>
      <c r="T11" s="5"/>
    </row>
    <row r="12" spans="1:20" x14ac:dyDescent="0.25">
      <c r="A12" t="s">
        <v>134</v>
      </c>
      <c r="D12" s="2"/>
      <c r="E12" t="s">
        <v>44</v>
      </c>
      <c r="F12">
        <v>148.6</v>
      </c>
      <c r="G12">
        <v>1557.3</v>
      </c>
      <c r="H12" s="4">
        <f t="shared" si="0"/>
        <v>1408.7</v>
      </c>
      <c r="I12">
        <f t="shared" ref="I12:I13" si="3">(H12/7423.5)*100</f>
        <v>18.976224153027548</v>
      </c>
      <c r="N12" s="2"/>
      <c r="O12" s="2"/>
    </row>
    <row r="13" spans="1:20" x14ac:dyDescent="0.25">
      <c r="A13" t="s">
        <v>135</v>
      </c>
      <c r="D13" s="2"/>
      <c r="E13" t="s">
        <v>46</v>
      </c>
      <c r="F13">
        <v>148.6</v>
      </c>
      <c r="G13">
        <v>953.2</v>
      </c>
      <c r="H13" s="4">
        <f t="shared" si="0"/>
        <v>804.6</v>
      </c>
      <c r="I13">
        <f t="shared" si="3"/>
        <v>10.83855324307941</v>
      </c>
      <c r="N13" s="2"/>
      <c r="O13" s="2"/>
    </row>
    <row r="14" spans="1:20" x14ac:dyDescent="0.25">
      <c r="A14" t="s">
        <v>136</v>
      </c>
      <c r="C14" t="s">
        <v>252</v>
      </c>
      <c r="D14" s="2" t="s">
        <v>49</v>
      </c>
      <c r="E14" t="s">
        <v>43</v>
      </c>
      <c r="F14">
        <v>230.4</v>
      </c>
      <c r="G14">
        <v>7281.8</v>
      </c>
      <c r="H14" s="4">
        <f t="shared" si="0"/>
        <v>7051.4000000000005</v>
      </c>
      <c r="I14">
        <f>(H14/7051.4)*100</f>
        <v>100.00000000000003</v>
      </c>
      <c r="N14" s="2"/>
      <c r="O14" s="2"/>
    </row>
    <row r="15" spans="1:20" x14ac:dyDescent="0.25">
      <c r="A15" t="s">
        <v>137</v>
      </c>
      <c r="D15" s="2"/>
      <c r="E15" t="s">
        <v>44</v>
      </c>
      <c r="F15">
        <v>230.4</v>
      </c>
      <c r="G15">
        <v>5432.4</v>
      </c>
      <c r="H15" s="4">
        <f t="shared" si="0"/>
        <v>5202</v>
      </c>
      <c r="I15" s="6">
        <f t="shared" ref="I15:I16" si="4">(H15/7051.4)*100</f>
        <v>73.772584167683021</v>
      </c>
      <c r="N15" s="2"/>
      <c r="O15" s="2"/>
    </row>
    <row r="16" spans="1:20" x14ac:dyDescent="0.25">
      <c r="A16" t="s">
        <v>138</v>
      </c>
      <c r="D16" s="2"/>
      <c r="E16" t="s">
        <v>46</v>
      </c>
      <c r="F16">
        <v>230.4</v>
      </c>
      <c r="G16">
        <v>3925.9</v>
      </c>
      <c r="H16" s="4">
        <f t="shared" si="0"/>
        <v>3695.5</v>
      </c>
      <c r="I16" s="6">
        <f t="shared" si="4"/>
        <v>52.408032447457245</v>
      </c>
      <c r="N16" s="2"/>
      <c r="O16" s="2"/>
    </row>
    <row r="17" spans="1:15" x14ac:dyDescent="0.25">
      <c r="A17" t="s">
        <v>139</v>
      </c>
      <c r="N17" s="2"/>
      <c r="O17" s="2"/>
    </row>
    <row r="18" spans="1:15" x14ac:dyDescent="0.25">
      <c r="A18" t="s">
        <v>140</v>
      </c>
      <c r="N18" s="2"/>
      <c r="O18" s="2"/>
    </row>
    <row r="19" spans="1:15" x14ac:dyDescent="0.25">
      <c r="A19" t="s">
        <v>141</v>
      </c>
      <c r="N19" s="2"/>
      <c r="O19" s="2"/>
    </row>
    <row r="20" spans="1:15" x14ac:dyDescent="0.25">
      <c r="A20" t="s">
        <v>142</v>
      </c>
      <c r="N20" s="2"/>
      <c r="O20" s="2"/>
    </row>
    <row r="21" spans="1:15" x14ac:dyDescent="0.25">
      <c r="A21" t="s">
        <v>143</v>
      </c>
    </row>
    <row r="22" spans="1:15" x14ac:dyDescent="0.25">
      <c r="A22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D263-C187-405C-B7A1-48F4EAFFF17E}">
  <dimension ref="A1:U49"/>
  <sheetViews>
    <sheetView zoomScaleNormal="100" workbookViewId="0">
      <selection activeCell="M31" sqref="M31"/>
    </sheetView>
  </sheetViews>
  <sheetFormatPr defaultRowHeight="15" x14ac:dyDescent="0.25"/>
  <cols>
    <col min="1" max="1" width="48.5703125" bestFit="1" customWidth="1"/>
    <col min="3" max="3" width="10.5703125" bestFit="1" customWidth="1"/>
    <col min="4" max="4" width="13.140625" bestFit="1" customWidth="1"/>
    <col min="6" max="6" width="12.140625" customWidth="1"/>
    <col min="7" max="7" width="11.42578125" customWidth="1"/>
    <col min="8" max="8" width="12.42578125" customWidth="1"/>
    <col min="9" max="9" width="12" bestFit="1" customWidth="1"/>
    <col min="15" max="15" width="13.28515625" bestFit="1" customWidth="1"/>
  </cols>
  <sheetData>
    <row r="1" spans="1:21" x14ac:dyDescent="0.25">
      <c r="A1" s="1" t="s">
        <v>187</v>
      </c>
    </row>
    <row r="3" spans="1:21" x14ac:dyDescent="0.25">
      <c r="A3" t="s">
        <v>0</v>
      </c>
    </row>
    <row r="4" spans="1:21" ht="42.75" x14ac:dyDescent="0.25">
      <c r="D4" s="2"/>
      <c r="F4" s="3" t="s">
        <v>38</v>
      </c>
      <c r="G4" s="3" t="s">
        <v>39</v>
      </c>
      <c r="H4" s="3" t="s">
        <v>40</v>
      </c>
      <c r="I4" s="3" t="s">
        <v>41</v>
      </c>
    </row>
    <row r="5" spans="1:21" x14ac:dyDescent="0.25">
      <c r="A5" t="s">
        <v>1</v>
      </c>
      <c r="C5" t="s">
        <v>250</v>
      </c>
      <c r="D5" s="2" t="s">
        <v>45</v>
      </c>
      <c r="E5" t="s">
        <v>43</v>
      </c>
      <c r="F5">
        <v>101.3</v>
      </c>
      <c r="G5">
        <v>9164</v>
      </c>
      <c r="H5" s="4">
        <f>G5-F5</f>
        <v>9062.7000000000007</v>
      </c>
      <c r="I5">
        <f>(H5/9062.7)*100</f>
        <v>100</v>
      </c>
      <c r="P5" s="5">
        <v>45448</v>
      </c>
      <c r="Q5" s="5">
        <v>45449</v>
      </c>
      <c r="R5" s="5">
        <v>45457</v>
      </c>
      <c r="S5" s="5">
        <v>45460</v>
      </c>
      <c r="T5" s="5">
        <v>45461</v>
      </c>
      <c r="U5" s="5">
        <v>45463</v>
      </c>
    </row>
    <row r="6" spans="1:21" x14ac:dyDescent="0.25">
      <c r="A6" t="s">
        <v>2</v>
      </c>
      <c r="D6" s="2"/>
      <c r="E6" t="s">
        <v>44</v>
      </c>
      <c r="F6">
        <v>101.3</v>
      </c>
      <c r="G6">
        <v>1724</v>
      </c>
      <c r="H6" s="4">
        <f t="shared" ref="H6:H16" si="0">G6-F6</f>
        <v>1622.7</v>
      </c>
      <c r="I6">
        <f t="shared" ref="I6:I7" si="1">(H6/9062.7)*100</f>
        <v>17.905260021847795</v>
      </c>
      <c r="K6" s="2"/>
      <c r="O6" s="2" t="s">
        <v>45</v>
      </c>
      <c r="P6">
        <v>1.9</v>
      </c>
      <c r="Q6">
        <v>2</v>
      </c>
      <c r="R6">
        <v>1.4</v>
      </c>
      <c r="S6">
        <v>1.23</v>
      </c>
      <c r="T6">
        <v>1.45</v>
      </c>
      <c r="U6">
        <v>1.32</v>
      </c>
    </row>
    <row r="7" spans="1:21" x14ac:dyDescent="0.25">
      <c r="A7" t="s">
        <v>145</v>
      </c>
      <c r="D7" s="2"/>
      <c r="E7" t="s">
        <v>46</v>
      </c>
      <c r="F7">
        <v>101.3</v>
      </c>
      <c r="G7">
        <v>865.7</v>
      </c>
      <c r="H7" s="4">
        <f t="shared" si="0"/>
        <v>764.40000000000009</v>
      </c>
      <c r="I7">
        <f t="shared" si="1"/>
        <v>8.4345724784004776</v>
      </c>
      <c r="K7" s="2"/>
      <c r="O7" s="2" t="s">
        <v>47</v>
      </c>
      <c r="P7">
        <v>0.56999999999999995</v>
      </c>
      <c r="Q7">
        <v>1.06</v>
      </c>
      <c r="R7">
        <v>0.76</v>
      </c>
      <c r="S7">
        <v>0.74</v>
      </c>
      <c r="T7">
        <v>1.04</v>
      </c>
      <c r="U7">
        <v>0.96</v>
      </c>
    </row>
    <row r="8" spans="1:21" x14ac:dyDescent="0.25">
      <c r="A8" t="s">
        <v>146</v>
      </c>
      <c r="C8" t="s">
        <v>251</v>
      </c>
      <c r="D8" s="2" t="s">
        <v>47</v>
      </c>
      <c r="E8" t="s">
        <v>43</v>
      </c>
      <c r="F8">
        <v>158.4</v>
      </c>
      <c r="G8">
        <v>12113.6</v>
      </c>
      <c r="H8" s="4">
        <f t="shared" si="0"/>
        <v>11955.2</v>
      </c>
      <c r="I8">
        <f>(H8/11955.2)*100</f>
        <v>100</v>
      </c>
      <c r="K8" s="2"/>
      <c r="O8" s="2" t="s">
        <v>48</v>
      </c>
      <c r="P8">
        <v>0.59</v>
      </c>
      <c r="Q8">
        <v>0.8</v>
      </c>
      <c r="R8">
        <v>0.28999999999999998</v>
      </c>
      <c r="S8">
        <v>0.5</v>
      </c>
      <c r="T8">
        <v>0.88</v>
      </c>
      <c r="U8">
        <v>0.42</v>
      </c>
    </row>
    <row r="9" spans="1:21" x14ac:dyDescent="0.25">
      <c r="A9" t="s">
        <v>147</v>
      </c>
      <c r="D9" s="2"/>
      <c r="E9" t="s">
        <v>44</v>
      </c>
      <c r="F9">
        <v>158.4</v>
      </c>
      <c r="G9">
        <v>2723.1</v>
      </c>
      <c r="H9" s="4">
        <f t="shared" si="0"/>
        <v>2564.6999999999998</v>
      </c>
      <c r="I9">
        <f t="shared" ref="I9:I10" si="2">(H9/11955.2)*100</f>
        <v>21.452589668094216</v>
      </c>
      <c r="K9" s="2"/>
      <c r="O9" s="2" t="s">
        <v>49</v>
      </c>
      <c r="P9">
        <v>0.6</v>
      </c>
      <c r="Q9">
        <v>0.6</v>
      </c>
      <c r="R9">
        <v>0.77</v>
      </c>
      <c r="S9">
        <v>0.48</v>
      </c>
      <c r="T9">
        <v>0.74</v>
      </c>
      <c r="U9">
        <v>0.81</v>
      </c>
    </row>
    <row r="10" spans="1:21" x14ac:dyDescent="0.25">
      <c r="A10" t="s">
        <v>148</v>
      </c>
      <c r="D10" s="2"/>
      <c r="E10" t="s">
        <v>46</v>
      </c>
      <c r="F10">
        <v>158.4</v>
      </c>
      <c r="G10">
        <v>1537.9</v>
      </c>
      <c r="H10" s="4">
        <f t="shared" si="0"/>
        <v>1379.5</v>
      </c>
      <c r="I10">
        <f t="shared" si="2"/>
        <v>11.538911937901499</v>
      </c>
    </row>
    <row r="11" spans="1:21" x14ac:dyDescent="0.25">
      <c r="A11" t="s">
        <v>149</v>
      </c>
      <c r="C11" t="s">
        <v>251</v>
      </c>
      <c r="D11" s="2" t="s">
        <v>48</v>
      </c>
      <c r="E11" t="s">
        <v>43</v>
      </c>
      <c r="F11">
        <v>239.3</v>
      </c>
      <c r="G11">
        <v>14398.3</v>
      </c>
      <c r="H11" s="4">
        <f t="shared" si="0"/>
        <v>14159</v>
      </c>
      <c r="I11">
        <f>(H11/14159)*100</f>
        <v>100</v>
      </c>
      <c r="N11" s="2" t="s">
        <v>44</v>
      </c>
      <c r="O11" s="2"/>
      <c r="P11" s="5">
        <v>45448</v>
      </c>
      <c r="Q11" s="5">
        <v>45449</v>
      </c>
      <c r="R11" s="5">
        <v>45457</v>
      </c>
      <c r="S11" s="5">
        <v>45460</v>
      </c>
      <c r="T11" s="5">
        <v>45461</v>
      </c>
      <c r="U11" s="5">
        <v>45462</v>
      </c>
    </row>
    <row r="12" spans="1:21" x14ac:dyDescent="0.25">
      <c r="A12" t="s">
        <v>150</v>
      </c>
      <c r="D12" s="2"/>
      <c r="E12" t="s">
        <v>44</v>
      </c>
      <c r="F12">
        <v>239.3</v>
      </c>
      <c r="G12">
        <v>3081.5</v>
      </c>
      <c r="H12" s="4">
        <f t="shared" si="0"/>
        <v>2842.2</v>
      </c>
      <c r="I12">
        <f t="shared" ref="I12:I13" si="3">(H12/14159)*100</f>
        <v>20.073451514937492</v>
      </c>
      <c r="N12" s="2"/>
      <c r="O12" s="2" t="s">
        <v>45</v>
      </c>
      <c r="P12">
        <v>25.07</v>
      </c>
      <c r="Q12">
        <v>18.63</v>
      </c>
      <c r="R12">
        <v>14.81</v>
      </c>
      <c r="S12">
        <v>19.52</v>
      </c>
      <c r="T12">
        <v>21.54</v>
      </c>
      <c r="U12">
        <v>17.91</v>
      </c>
    </row>
    <row r="13" spans="1:21" x14ac:dyDescent="0.25">
      <c r="A13" t="s">
        <v>151</v>
      </c>
      <c r="D13" s="2"/>
      <c r="E13" t="s">
        <v>46</v>
      </c>
      <c r="F13">
        <v>239.3</v>
      </c>
      <c r="G13">
        <v>1719.6</v>
      </c>
      <c r="H13" s="4">
        <f t="shared" si="0"/>
        <v>1480.3</v>
      </c>
      <c r="I13">
        <f t="shared" si="3"/>
        <v>10.454834380959106</v>
      </c>
      <c r="N13" s="2"/>
      <c r="O13" s="2" t="s">
        <v>47</v>
      </c>
      <c r="P13">
        <v>23.98</v>
      </c>
      <c r="Q13">
        <v>21.73</v>
      </c>
      <c r="R13">
        <v>23.95</v>
      </c>
      <c r="S13">
        <v>28.09</v>
      </c>
      <c r="T13">
        <v>25.08</v>
      </c>
      <c r="U13">
        <v>21.45</v>
      </c>
    </row>
    <row r="14" spans="1:21" x14ac:dyDescent="0.25">
      <c r="A14" t="s">
        <v>152</v>
      </c>
      <c r="C14" t="s">
        <v>252</v>
      </c>
      <c r="D14" s="2" t="s">
        <v>49</v>
      </c>
      <c r="E14" t="s">
        <v>43</v>
      </c>
      <c r="F14">
        <v>139.6</v>
      </c>
      <c r="G14">
        <v>13010.3</v>
      </c>
      <c r="H14" s="4">
        <f t="shared" si="0"/>
        <v>12870.699999999999</v>
      </c>
      <c r="I14">
        <f>(H14/12870.7)*100</f>
        <v>99.999999999999986</v>
      </c>
      <c r="N14" s="2"/>
      <c r="O14" s="2" t="s">
        <v>48</v>
      </c>
      <c r="P14">
        <v>21.49</v>
      </c>
      <c r="Q14">
        <v>16.579999999999998</v>
      </c>
      <c r="R14">
        <v>18.52</v>
      </c>
      <c r="S14">
        <v>17.84</v>
      </c>
      <c r="T14">
        <v>18.98</v>
      </c>
      <c r="U14">
        <v>20.07</v>
      </c>
    </row>
    <row r="15" spans="1:21" x14ac:dyDescent="0.25">
      <c r="A15" t="s">
        <v>153</v>
      </c>
      <c r="D15" s="2"/>
      <c r="E15" t="s">
        <v>44</v>
      </c>
      <c r="F15">
        <v>139.6</v>
      </c>
      <c r="G15">
        <v>7387.4</v>
      </c>
      <c r="H15" s="4">
        <f t="shared" si="0"/>
        <v>7247.7999999999993</v>
      </c>
      <c r="I15" s="6">
        <f t="shared" ref="I15:I16" si="4">(H15/12870.7)*100</f>
        <v>56.312399480991701</v>
      </c>
      <c r="N15" s="2"/>
      <c r="O15" s="2" t="s">
        <v>49</v>
      </c>
      <c r="P15">
        <v>71.260000000000005</v>
      </c>
      <c r="Q15">
        <v>45.8</v>
      </c>
      <c r="R15">
        <v>62.66</v>
      </c>
      <c r="S15">
        <v>59.99</v>
      </c>
      <c r="T15">
        <v>73.77</v>
      </c>
      <c r="U15">
        <v>56.31</v>
      </c>
    </row>
    <row r="16" spans="1:21" x14ac:dyDescent="0.25">
      <c r="A16" t="s">
        <v>154</v>
      </c>
      <c r="D16" s="2"/>
      <c r="E16" t="s">
        <v>46</v>
      </c>
      <c r="F16">
        <v>139.6</v>
      </c>
      <c r="G16">
        <v>5422.2</v>
      </c>
      <c r="H16" s="4">
        <f t="shared" si="0"/>
        <v>5282.5999999999995</v>
      </c>
      <c r="I16" s="6">
        <f t="shared" si="4"/>
        <v>41.043610681625701</v>
      </c>
      <c r="N16" s="2"/>
      <c r="O16" s="2"/>
    </row>
    <row r="17" spans="1:21" x14ac:dyDescent="0.25">
      <c r="A17" t="s">
        <v>155</v>
      </c>
      <c r="H17" s="4"/>
      <c r="N17" s="2" t="s">
        <v>46</v>
      </c>
      <c r="O17" s="2" t="s">
        <v>45</v>
      </c>
      <c r="P17">
        <v>11.44</v>
      </c>
      <c r="Q17">
        <v>8.94</v>
      </c>
      <c r="R17">
        <v>8.14</v>
      </c>
      <c r="S17">
        <v>9.7799999999999994</v>
      </c>
      <c r="T17">
        <v>11.33</v>
      </c>
      <c r="U17">
        <v>8.43</v>
      </c>
    </row>
    <row r="18" spans="1:21" ht="28.5" x14ac:dyDescent="0.25">
      <c r="A18" t="s">
        <v>156</v>
      </c>
      <c r="C18" t="s">
        <v>253</v>
      </c>
      <c r="D18" s="2" t="s">
        <v>70</v>
      </c>
      <c r="F18" s="3"/>
      <c r="G18" s="3"/>
      <c r="H18" s="3" t="s">
        <v>40</v>
      </c>
      <c r="I18" s="3" t="s">
        <v>41</v>
      </c>
      <c r="N18" s="2"/>
      <c r="O18" s="2" t="s">
        <v>47</v>
      </c>
      <c r="P18">
        <v>13.87</v>
      </c>
      <c r="Q18">
        <v>12.18</v>
      </c>
      <c r="R18">
        <v>14.02</v>
      </c>
      <c r="S18">
        <v>15.03</v>
      </c>
      <c r="T18">
        <v>15.76</v>
      </c>
      <c r="U18">
        <v>11.54</v>
      </c>
    </row>
    <row r="19" spans="1:21" x14ac:dyDescent="0.25">
      <c r="A19" t="s">
        <v>157</v>
      </c>
      <c r="D19" s="2" t="s">
        <v>75</v>
      </c>
      <c r="E19" t="s">
        <v>43</v>
      </c>
      <c r="F19">
        <v>64.3</v>
      </c>
      <c r="G19">
        <v>4434.8</v>
      </c>
      <c r="H19" s="4">
        <f>G19-F19</f>
        <v>4370.5</v>
      </c>
      <c r="I19">
        <f>(H19/4370.5)*100</f>
        <v>100</v>
      </c>
      <c r="N19" s="2"/>
      <c r="O19" s="2" t="s">
        <v>48</v>
      </c>
      <c r="P19">
        <v>10.97</v>
      </c>
      <c r="Q19">
        <v>8</v>
      </c>
      <c r="R19">
        <v>8.35</v>
      </c>
      <c r="S19">
        <v>9.65</v>
      </c>
      <c r="T19">
        <v>10.84</v>
      </c>
      <c r="U19">
        <v>10.45</v>
      </c>
    </row>
    <row r="20" spans="1:21" x14ac:dyDescent="0.25">
      <c r="A20" t="s">
        <v>158</v>
      </c>
      <c r="D20" s="2"/>
      <c r="E20" t="s">
        <v>44</v>
      </c>
      <c r="F20">
        <v>64.3</v>
      </c>
      <c r="G20">
        <v>787.8</v>
      </c>
      <c r="H20" s="4">
        <f t="shared" ref="H20:H51" si="5">G20-F20</f>
        <v>723.5</v>
      </c>
      <c r="I20">
        <f t="shared" ref="I20:I21" si="6">(H20/4370.5)*100</f>
        <v>16.554170003432102</v>
      </c>
      <c r="N20" s="2"/>
      <c r="O20" s="2" t="s">
        <v>49</v>
      </c>
      <c r="P20">
        <v>55.89</v>
      </c>
      <c r="Q20">
        <v>34.340000000000003</v>
      </c>
      <c r="R20">
        <v>52.46</v>
      </c>
      <c r="S20">
        <v>37.58</v>
      </c>
      <c r="T20">
        <v>52.41</v>
      </c>
      <c r="U20">
        <v>41.04</v>
      </c>
    </row>
    <row r="21" spans="1:21" x14ac:dyDescent="0.25">
      <c r="A21" t="s">
        <v>159</v>
      </c>
      <c r="D21" s="2"/>
      <c r="E21" t="s">
        <v>46</v>
      </c>
      <c r="F21">
        <v>64.3</v>
      </c>
      <c r="G21">
        <v>453.5</v>
      </c>
      <c r="H21" s="4">
        <f t="shared" si="5"/>
        <v>389.2</v>
      </c>
      <c r="I21">
        <f t="shared" si="6"/>
        <v>8.9051595927239457</v>
      </c>
    </row>
    <row r="22" spans="1:21" x14ac:dyDescent="0.25">
      <c r="A22" t="s">
        <v>160</v>
      </c>
      <c r="D22" s="2" t="s">
        <v>71</v>
      </c>
      <c r="E22" t="s">
        <v>43</v>
      </c>
      <c r="F22">
        <v>64.3</v>
      </c>
      <c r="G22">
        <v>4544.8999999999996</v>
      </c>
      <c r="H22" s="4">
        <f t="shared" si="5"/>
        <v>4480.5999999999995</v>
      </c>
      <c r="I22">
        <f>(H22/4480.6)*100</f>
        <v>99.999999999999972</v>
      </c>
      <c r="P22" s="5"/>
      <c r="Q22" s="5"/>
      <c r="R22" s="5"/>
      <c r="S22" s="5"/>
      <c r="T22" s="5"/>
    </row>
    <row r="23" spans="1:21" x14ac:dyDescent="0.25">
      <c r="A23" t="s">
        <v>161</v>
      </c>
      <c r="D23" s="2"/>
      <c r="E23" t="s">
        <v>44</v>
      </c>
      <c r="F23">
        <v>64.3</v>
      </c>
      <c r="G23">
        <v>1101.2</v>
      </c>
      <c r="H23" s="4">
        <f t="shared" si="5"/>
        <v>1036.9000000000001</v>
      </c>
      <c r="I23" s="6">
        <f t="shared" ref="I23:I24" si="7">(H23/4480.6)*100</f>
        <v>23.141989912065348</v>
      </c>
      <c r="N23" s="2"/>
      <c r="O23" s="2"/>
    </row>
    <row r="24" spans="1:21" x14ac:dyDescent="0.25">
      <c r="A24" t="s">
        <v>162</v>
      </c>
      <c r="D24" s="2" t="s">
        <v>72</v>
      </c>
      <c r="E24" t="s">
        <v>43</v>
      </c>
      <c r="F24">
        <v>64.3</v>
      </c>
      <c r="G24">
        <v>4523.3999999999996</v>
      </c>
      <c r="H24" s="4">
        <f>G24-F24</f>
        <v>4459.0999999999995</v>
      </c>
      <c r="I24">
        <f>(H24/4459.1)*100</f>
        <v>99.999999999999972</v>
      </c>
      <c r="O24" s="2"/>
    </row>
    <row r="25" spans="1:21" x14ac:dyDescent="0.25">
      <c r="A25" t="s">
        <v>163</v>
      </c>
      <c r="D25" s="2"/>
      <c r="E25" t="s">
        <v>44</v>
      </c>
      <c r="F25">
        <v>64.3</v>
      </c>
      <c r="G25">
        <v>1448</v>
      </c>
      <c r="H25" s="4">
        <f>G25-F25</f>
        <v>1383.7</v>
      </c>
      <c r="I25" s="6">
        <f t="shared" ref="I25:I26" si="8">(H25/4459.1)*100</f>
        <v>31.030925523087618</v>
      </c>
      <c r="O25" s="2"/>
    </row>
    <row r="26" spans="1:21" x14ac:dyDescent="0.25">
      <c r="A26" t="s">
        <v>164</v>
      </c>
      <c r="D26" s="2" t="s">
        <v>73</v>
      </c>
      <c r="E26" t="s">
        <v>43</v>
      </c>
      <c r="F26">
        <v>64.3</v>
      </c>
      <c r="G26">
        <v>4947.6000000000004</v>
      </c>
      <c r="H26" s="4">
        <f>G26-F26</f>
        <v>4883.3</v>
      </c>
      <c r="I26">
        <f>(H26/4883.3)*100</f>
        <v>100</v>
      </c>
      <c r="O26" s="2"/>
    </row>
    <row r="27" spans="1:21" x14ac:dyDescent="0.25">
      <c r="A27" t="s">
        <v>165</v>
      </c>
      <c r="D27" s="2"/>
      <c r="E27" t="s">
        <v>44</v>
      </c>
      <c r="F27">
        <v>64.3</v>
      </c>
      <c r="G27">
        <v>2267.9</v>
      </c>
      <c r="H27" s="4">
        <f>G27-F27</f>
        <v>2203.6</v>
      </c>
      <c r="I27" s="6">
        <f t="shared" ref="I27:I28" si="9">(H27/4883.3)*100</f>
        <v>45.125222697765849</v>
      </c>
      <c r="O27" s="2"/>
    </row>
    <row r="28" spans="1:21" x14ac:dyDescent="0.25">
      <c r="A28" t="s">
        <v>166</v>
      </c>
      <c r="D28" s="2" t="s">
        <v>74</v>
      </c>
      <c r="E28" t="s">
        <v>43</v>
      </c>
      <c r="F28">
        <v>64.3</v>
      </c>
      <c r="G28">
        <v>4976.3</v>
      </c>
      <c r="H28" s="4">
        <f>G28-F28</f>
        <v>4912</v>
      </c>
      <c r="I28">
        <f>(H28/4912)*100</f>
        <v>100</v>
      </c>
      <c r="O28" s="2"/>
    </row>
    <row r="29" spans="1:21" x14ac:dyDescent="0.25">
      <c r="A29" t="s">
        <v>167</v>
      </c>
      <c r="E29" t="s">
        <v>44</v>
      </c>
      <c r="F29">
        <v>64.3</v>
      </c>
      <c r="G29">
        <v>3576.7</v>
      </c>
      <c r="H29" s="4">
        <f>G29-F29</f>
        <v>3512.3999999999996</v>
      </c>
      <c r="I29" s="6">
        <f t="shared" ref="I29:I30" si="10">(H29/4912)*100</f>
        <v>71.506514657980446</v>
      </c>
      <c r="O29" s="2"/>
    </row>
    <row r="30" spans="1:21" x14ac:dyDescent="0.25">
      <c r="A30" t="s">
        <v>168</v>
      </c>
      <c r="D30" s="2" t="s">
        <v>76</v>
      </c>
      <c r="E30" t="s">
        <v>43</v>
      </c>
      <c r="F30">
        <v>64.3</v>
      </c>
      <c r="G30">
        <v>5237.5</v>
      </c>
      <c r="H30" s="4">
        <f>G30-F30</f>
        <v>5173.2</v>
      </c>
      <c r="I30">
        <f>(H30/5173.2)*100</f>
        <v>100</v>
      </c>
      <c r="O30" s="2"/>
    </row>
    <row r="31" spans="1:21" x14ac:dyDescent="0.25">
      <c r="A31" t="s">
        <v>169</v>
      </c>
      <c r="D31" s="2"/>
      <c r="E31" t="s">
        <v>44</v>
      </c>
      <c r="F31">
        <v>64.3</v>
      </c>
      <c r="G31">
        <v>2171.3000000000002</v>
      </c>
      <c r="H31" s="4">
        <f>G31-F31</f>
        <v>2107</v>
      </c>
      <c r="I31" s="6">
        <f t="shared" ref="I31:I32" si="11">(H31/5173.2)*100</f>
        <v>40.729142503672776</v>
      </c>
      <c r="O31" s="2"/>
    </row>
    <row r="32" spans="1:21" x14ac:dyDescent="0.25">
      <c r="A32" t="s">
        <v>170</v>
      </c>
      <c r="D32" s="2"/>
      <c r="E32" t="s">
        <v>46</v>
      </c>
      <c r="F32">
        <v>64.3</v>
      </c>
      <c r="G32">
        <v>727.2</v>
      </c>
      <c r="H32" s="4">
        <f>G32-F32</f>
        <v>662.90000000000009</v>
      </c>
      <c r="I32" s="6">
        <f t="shared" si="11"/>
        <v>12.814118920590738</v>
      </c>
      <c r="O32" s="2"/>
    </row>
    <row r="33" spans="1:15" x14ac:dyDescent="0.25">
      <c r="A33" t="s">
        <v>171</v>
      </c>
      <c r="D33" s="2" t="s">
        <v>77</v>
      </c>
      <c r="E33" t="s">
        <v>43</v>
      </c>
      <c r="F33">
        <v>64.3</v>
      </c>
      <c r="G33">
        <v>4584.8</v>
      </c>
      <c r="H33" s="4">
        <f>G33-F33</f>
        <v>4520.5</v>
      </c>
      <c r="I33" s="4">
        <f>(H33/4520.5)*100</f>
        <v>100</v>
      </c>
      <c r="O33" s="2"/>
    </row>
    <row r="34" spans="1:15" x14ac:dyDescent="0.25">
      <c r="A34" t="s">
        <v>172</v>
      </c>
      <c r="E34" t="s">
        <v>44</v>
      </c>
      <c r="F34">
        <v>64.3</v>
      </c>
      <c r="G34">
        <v>2583</v>
      </c>
      <c r="H34" s="4">
        <f>G34-F34</f>
        <v>2518.6999999999998</v>
      </c>
      <c r="I34" s="6">
        <f t="shared" ref="I34:I35" si="12">(H34/4520.5)*100</f>
        <v>55.717287910629352</v>
      </c>
      <c r="O34" s="2"/>
    </row>
    <row r="35" spans="1:15" x14ac:dyDescent="0.25">
      <c r="A35" t="s">
        <v>173</v>
      </c>
      <c r="E35" t="s">
        <v>46</v>
      </c>
      <c r="F35">
        <v>64.3</v>
      </c>
      <c r="G35">
        <v>1034.3</v>
      </c>
      <c r="H35" s="4">
        <f>G35-F35</f>
        <v>970</v>
      </c>
      <c r="I35" s="6">
        <f t="shared" si="12"/>
        <v>21.457803340338458</v>
      </c>
      <c r="O35" s="2"/>
    </row>
    <row r="36" spans="1:15" x14ac:dyDescent="0.25">
      <c r="A36" t="s">
        <v>174</v>
      </c>
      <c r="D36" s="2" t="s">
        <v>188</v>
      </c>
      <c r="E36" t="s">
        <v>43</v>
      </c>
      <c r="F36">
        <v>64.3</v>
      </c>
      <c r="G36">
        <v>5499.7</v>
      </c>
      <c r="H36" s="4">
        <f>G36-F36</f>
        <v>5435.4</v>
      </c>
      <c r="I36" s="4">
        <f>(H36/5435.4)*100</f>
        <v>100</v>
      </c>
    </row>
    <row r="37" spans="1:15" x14ac:dyDescent="0.25">
      <c r="A37" t="s">
        <v>175</v>
      </c>
      <c r="E37" t="s">
        <v>44</v>
      </c>
      <c r="F37">
        <v>64.3</v>
      </c>
      <c r="G37">
        <v>2706.8</v>
      </c>
      <c r="H37" s="4">
        <f>G37-F37</f>
        <v>2642.5</v>
      </c>
      <c r="I37" s="6">
        <f t="shared" ref="I37:I38" si="13">(H37/5435.4)*100</f>
        <v>48.616477168193697</v>
      </c>
      <c r="N37" s="2"/>
      <c r="O37" s="2"/>
    </row>
    <row r="38" spans="1:15" x14ac:dyDescent="0.25">
      <c r="A38" t="s">
        <v>176</v>
      </c>
      <c r="E38" t="s">
        <v>46</v>
      </c>
      <c r="F38">
        <v>64.3</v>
      </c>
      <c r="G38">
        <v>1143</v>
      </c>
      <c r="H38" s="4">
        <f>G38-F38</f>
        <v>1078.7</v>
      </c>
      <c r="I38" s="6">
        <f t="shared" si="13"/>
        <v>19.845825514221588</v>
      </c>
      <c r="O38" s="2"/>
    </row>
    <row r="39" spans="1:15" x14ac:dyDescent="0.25">
      <c r="A39" t="s">
        <v>177</v>
      </c>
      <c r="O39" s="2"/>
    </row>
    <row r="40" spans="1:15" x14ac:dyDescent="0.25">
      <c r="A40" t="s">
        <v>178</v>
      </c>
      <c r="O40" s="2"/>
    </row>
    <row r="41" spans="1:15" x14ac:dyDescent="0.25">
      <c r="A41" t="s">
        <v>179</v>
      </c>
      <c r="O41" s="2"/>
    </row>
    <row r="42" spans="1:15" x14ac:dyDescent="0.25">
      <c r="A42" t="s">
        <v>180</v>
      </c>
      <c r="O42" s="2"/>
    </row>
    <row r="43" spans="1:15" x14ac:dyDescent="0.25">
      <c r="A43" t="s">
        <v>181</v>
      </c>
      <c r="O43" s="2"/>
    </row>
    <row r="44" spans="1:15" x14ac:dyDescent="0.25">
      <c r="A44" t="s">
        <v>182</v>
      </c>
      <c r="O44" s="2"/>
    </row>
    <row r="45" spans="1:15" x14ac:dyDescent="0.25">
      <c r="A45" t="s">
        <v>183</v>
      </c>
      <c r="O45" s="2"/>
    </row>
    <row r="46" spans="1:15" x14ac:dyDescent="0.25">
      <c r="A46" t="s">
        <v>184</v>
      </c>
      <c r="O46" s="2"/>
    </row>
    <row r="47" spans="1:15" x14ac:dyDescent="0.25">
      <c r="A47" t="s">
        <v>185</v>
      </c>
      <c r="O47" s="2"/>
    </row>
    <row r="48" spans="1:15" x14ac:dyDescent="0.25">
      <c r="A48" t="s">
        <v>186</v>
      </c>
      <c r="O48" s="2"/>
    </row>
    <row r="49" spans="15:15" x14ac:dyDescent="0.25">
      <c r="O49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272E-FF29-45D5-81E3-131EC6228F03}">
  <dimension ref="A1:U35"/>
  <sheetViews>
    <sheetView workbookViewId="0">
      <selection activeCell="C12" sqref="C12"/>
    </sheetView>
  </sheetViews>
  <sheetFormatPr defaultRowHeight="15" x14ac:dyDescent="0.25"/>
  <cols>
    <col min="1" max="1" width="48.5703125" bestFit="1" customWidth="1"/>
    <col min="3" max="3" width="10.5703125" bestFit="1" customWidth="1"/>
    <col min="4" max="4" width="12.140625" bestFit="1" customWidth="1"/>
    <col min="6" max="6" width="12.42578125" customWidth="1"/>
    <col min="8" max="8" width="13.42578125" customWidth="1"/>
    <col min="9" max="9" width="12.28515625" customWidth="1"/>
    <col min="15" max="15" width="12.140625" bestFit="1" customWidth="1"/>
  </cols>
  <sheetData>
    <row r="1" spans="1:21" x14ac:dyDescent="0.25">
      <c r="A1" s="1" t="s">
        <v>215</v>
      </c>
    </row>
    <row r="3" spans="1:21" x14ac:dyDescent="0.25">
      <c r="A3" t="s">
        <v>0</v>
      </c>
    </row>
    <row r="5" spans="1:21" ht="28.5" x14ac:dyDescent="0.25">
      <c r="A5" t="s">
        <v>1</v>
      </c>
      <c r="C5" t="s">
        <v>253</v>
      </c>
      <c r="D5" s="2" t="s">
        <v>70</v>
      </c>
      <c r="F5" s="3" t="s">
        <v>38</v>
      </c>
      <c r="G5" s="3"/>
      <c r="H5" s="3" t="s">
        <v>40</v>
      </c>
      <c r="I5" s="3" t="s">
        <v>41</v>
      </c>
    </row>
    <row r="6" spans="1:21" x14ac:dyDescent="0.25">
      <c r="A6" t="s">
        <v>2</v>
      </c>
      <c r="D6" s="2" t="s">
        <v>75</v>
      </c>
      <c r="E6" t="s">
        <v>43</v>
      </c>
      <c r="F6">
        <v>85.4</v>
      </c>
      <c r="G6">
        <v>6029.9</v>
      </c>
      <c r="H6" s="4">
        <f>G6-F6</f>
        <v>5944.5</v>
      </c>
      <c r="I6">
        <f>(H6/5944.5)*100</f>
        <v>100</v>
      </c>
      <c r="P6" s="5"/>
      <c r="Q6" s="5"/>
      <c r="R6" s="5"/>
      <c r="S6" s="5"/>
      <c r="T6" s="5"/>
      <c r="U6" s="5"/>
    </row>
    <row r="7" spans="1:21" x14ac:dyDescent="0.25">
      <c r="A7" t="s">
        <v>191</v>
      </c>
      <c r="D7" s="2"/>
      <c r="E7" t="s">
        <v>44</v>
      </c>
      <c r="F7">
        <v>85.4</v>
      </c>
      <c r="G7">
        <v>939</v>
      </c>
      <c r="H7" s="4">
        <f t="shared" ref="H7:H20" si="0">G7-F7</f>
        <v>853.6</v>
      </c>
      <c r="I7">
        <f t="shared" ref="I7:I8" si="1">(H7/5944.5)*100</f>
        <v>14.359491967364789</v>
      </c>
      <c r="N7" s="2"/>
      <c r="O7" s="2"/>
    </row>
    <row r="8" spans="1:21" x14ac:dyDescent="0.25">
      <c r="A8" t="s">
        <v>192</v>
      </c>
      <c r="D8" s="2"/>
      <c r="E8" t="s">
        <v>46</v>
      </c>
      <c r="F8">
        <v>85.4</v>
      </c>
      <c r="G8">
        <v>551.1</v>
      </c>
      <c r="H8" s="4">
        <f t="shared" si="0"/>
        <v>465.70000000000005</v>
      </c>
      <c r="I8">
        <f t="shared" si="1"/>
        <v>7.8341323912860634</v>
      </c>
      <c r="O8" s="2"/>
    </row>
    <row r="9" spans="1:21" x14ac:dyDescent="0.25">
      <c r="A9" t="s">
        <v>193</v>
      </c>
      <c r="D9" s="2" t="s">
        <v>71</v>
      </c>
      <c r="E9" t="s">
        <v>43</v>
      </c>
      <c r="F9">
        <v>85.4</v>
      </c>
      <c r="G9">
        <v>6305.9</v>
      </c>
      <c r="H9" s="4">
        <f t="shared" si="0"/>
        <v>6220.5</v>
      </c>
      <c r="I9">
        <f>(H9/6220.5)*100</f>
        <v>100</v>
      </c>
      <c r="O9" s="2"/>
    </row>
    <row r="10" spans="1:21" x14ac:dyDescent="0.25">
      <c r="A10" t="s">
        <v>194</v>
      </c>
      <c r="D10" s="2"/>
      <c r="E10" t="s">
        <v>44</v>
      </c>
      <c r="F10">
        <v>85.4</v>
      </c>
      <c r="G10">
        <v>1256.7</v>
      </c>
      <c r="H10" s="4">
        <f t="shared" si="0"/>
        <v>1171.3</v>
      </c>
      <c r="I10">
        <f t="shared" ref="I10:I11" si="2">(H10/6220.5)*100</f>
        <v>18.829676071055381</v>
      </c>
      <c r="O10" s="2"/>
    </row>
    <row r="11" spans="1:21" x14ac:dyDescent="0.25">
      <c r="A11" t="s">
        <v>195</v>
      </c>
      <c r="D11" s="2" t="s">
        <v>72</v>
      </c>
      <c r="E11" t="s">
        <v>43</v>
      </c>
      <c r="F11">
        <v>85.4</v>
      </c>
      <c r="G11">
        <v>6301.2</v>
      </c>
      <c r="H11" s="4">
        <f>G11-F11</f>
        <v>6215.8</v>
      </c>
      <c r="I11">
        <f>(H11/6215.8)*100</f>
        <v>100</v>
      </c>
      <c r="O11" s="2"/>
    </row>
    <row r="12" spans="1:21" x14ac:dyDescent="0.25">
      <c r="A12" t="s">
        <v>196</v>
      </c>
      <c r="D12" s="2"/>
      <c r="E12" t="s">
        <v>44</v>
      </c>
      <c r="F12">
        <v>85.4</v>
      </c>
      <c r="G12">
        <v>1652.5</v>
      </c>
      <c r="H12" s="4">
        <f>G12-F12</f>
        <v>1567.1</v>
      </c>
      <c r="I12">
        <f t="shared" ref="I12:I13" si="3">(H12/6215.8)*100</f>
        <v>25.211557643424818</v>
      </c>
      <c r="O12" s="2"/>
    </row>
    <row r="13" spans="1:21" x14ac:dyDescent="0.25">
      <c r="A13" t="s">
        <v>197</v>
      </c>
      <c r="D13" s="2" t="s">
        <v>73</v>
      </c>
      <c r="E13" t="s">
        <v>43</v>
      </c>
      <c r="F13">
        <v>85.4</v>
      </c>
      <c r="G13">
        <v>6554</v>
      </c>
      <c r="H13" s="4">
        <f>G13-F13</f>
        <v>6468.6</v>
      </c>
      <c r="I13">
        <f>(H13/6468.6)*100</f>
        <v>100</v>
      </c>
      <c r="O13" s="2"/>
    </row>
    <row r="14" spans="1:21" x14ac:dyDescent="0.25">
      <c r="A14" t="s">
        <v>198</v>
      </c>
      <c r="D14" s="2"/>
      <c r="E14" t="s">
        <v>44</v>
      </c>
      <c r="F14">
        <v>85.4</v>
      </c>
      <c r="G14">
        <v>2859.3</v>
      </c>
      <c r="H14" s="4">
        <f>G14-F14</f>
        <v>2773.9</v>
      </c>
      <c r="I14" s="6">
        <f t="shared" ref="I14:I15" si="4">(H14/6468.6)*100</f>
        <v>42.882540271465231</v>
      </c>
      <c r="O14" s="2"/>
    </row>
    <row r="15" spans="1:21" x14ac:dyDescent="0.25">
      <c r="A15" t="s">
        <v>199</v>
      </c>
      <c r="D15" s="2" t="s">
        <v>74</v>
      </c>
      <c r="E15" t="s">
        <v>43</v>
      </c>
      <c r="F15">
        <v>85.4</v>
      </c>
      <c r="G15">
        <v>6330</v>
      </c>
      <c r="H15" s="4">
        <f>G15-F15</f>
        <v>6244.6</v>
      </c>
      <c r="I15">
        <f>(H15/6244.6)*100</f>
        <v>100</v>
      </c>
      <c r="O15" s="2"/>
    </row>
    <row r="16" spans="1:21" x14ac:dyDescent="0.25">
      <c r="A16" t="s">
        <v>200</v>
      </c>
      <c r="E16" t="s">
        <v>44</v>
      </c>
      <c r="F16">
        <v>85.4</v>
      </c>
      <c r="G16">
        <v>4381.3</v>
      </c>
      <c r="H16" s="4">
        <f>G16-F16</f>
        <v>4295.9000000000005</v>
      </c>
      <c r="I16" s="6">
        <f t="shared" ref="I16:I17" si="5">(H16/6244.6)*100</f>
        <v>68.793837875924808</v>
      </c>
      <c r="O16" s="2"/>
    </row>
    <row r="17" spans="1:20" x14ac:dyDescent="0.25">
      <c r="A17" t="s">
        <v>201</v>
      </c>
      <c r="D17" s="2" t="s">
        <v>189</v>
      </c>
      <c r="E17" t="s">
        <v>43</v>
      </c>
      <c r="F17">
        <v>85.4</v>
      </c>
      <c r="G17">
        <v>5492.4</v>
      </c>
      <c r="H17" s="4">
        <f t="shared" ref="H17:H20" si="6">G17-F17</f>
        <v>5407</v>
      </c>
      <c r="I17" s="4">
        <f>(H17/5407)*100</f>
        <v>100</v>
      </c>
      <c r="O17" s="2"/>
    </row>
    <row r="18" spans="1:20" x14ac:dyDescent="0.25">
      <c r="A18" t="s">
        <v>202</v>
      </c>
      <c r="D18" s="2"/>
      <c r="E18" t="s">
        <v>44</v>
      </c>
      <c r="F18">
        <v>85.4</v>
      </c>
      <c r="G18">
        <v>1907.5</v>
      </c>
      <c r="H18" s="4">
        <f t="shared" si="6"/>
        <v>1822.1</v>
      </c>
      <c r="I18" s="6">
        <f t="shared" ref="I18:I19" si="7">(H18/5407)*100</f>
        <v>33.69890882189754</v>
      </c>
      <c r="O18" s="2"/>
    </row>
    <row r="19" spans="1:20" x14ac:dyDescent="0.25">
      <c r="A19" t="s">
        <v>203</v>
      </c>
      <c r="D19" s="2"/>
      <c r="E19" t="s">
        <v>46</v>
      </c>
      <c r="F19">
        <v>85.4</v>
      </c>
      <c r="G19">
        <v>672.6</v>
      </c>
      <c r="H19" s="4">
        <f t="shared" si="6"/>
        <v>587.20000000000005</v>
      </c>
      <c r="I19" s="4">
        <f t="shared" si="7"/>
        <v>10.859996301091179</v>
      </c>
      <c r="O19" s="2"/>
    </row>
    <row r="20" spans="1:20" x14ac:dyDescent="0.25">
      <c r="A20" t="s">
        <v>204</v>
      </c>
      <c r="D20" s="2" t="s">
        <v>76</v>
      </c>
      <c r="E20" t="s">
        <v>43</v>
      </c>
      <c r="F20">
        <v>85.4</v>
      </c>
      <c r="G20" s="7">
        <v>5591</v>
      </c>
      <c r="H20" s="4">
        <f t="shared" si="6"/>
        <v>5505.6</v>
      </c>
      <c r="I20">
        <f>(H20/5505.6)*100</f>
        <v>100</v>
      </c>
    </row>
    <row r="21" spans="1:20" x14ac:dyDescent="0.25">
      <c r="A21" t="s">
        <v>205</v>
      </c>
      <c r="D21" s="2"/>
      <c r="E21" t="s">
        <v>44</v>
      </c>
      <c r="F21">
        <v>85.4</v>
      </c>
      <c r="G21">
        <v>2013.1</v>
      </c>
      <c r="H21" s="4">
        <f t="shared" ref="H21:H28" si="8">G21-F21</f>
        <v>1927.6999999999998</v>
      </c>
      <c r="I21" s="6">
        <f t="shared" ref="I21:I22" si="9">(H21/5505.6)*100</f>
        <v>35.013440860215049</v>
      </c>
      <c r="N21" s="2"/>
      <c r="O21" s="2"/>
    </row>
    <row r="22" spans="1:20" x14ac:dyDescent="0.25">
      <c r="A22" t="s">
        <v>206</v>
      </c>
      <c r="D22" s="2"/>
      <c r="E22" t="s">
        <v>46</v>
      </c>
      <c r="F22">
        <v>85.4</v>
      </c>
      <c r="G22">
        <v>926.2</v>
      </c>
      <c r="H22" s="4">
        <f t="shared" si="8"/>
        <v>840.80000000000007</v>
      </c>
      <c r="I22">
        <f t="shared" si="9"/>
        <v>15.271723336239464</v>
      </c>
      <c r="O22" s="2"/>
    </row>
    <row r="23" spans="1:20" x14ac:dyDescent="0.25">
      <c r="A23" t="s">
        <v>207</v>
      </c>
      <c r="D23" s="2" t="s">
        <v>77</v>
      </c>
      <c r="E23" t="s">
        <v>43</v>
      </c>
      <c r="F23">
        <v>85.4</v>
      </c>
      <c r="G23">
        <v>5488.4</v>
      </c>
      <c r="H23" s="4">
        <f t="shared" si="8"/>
        <v>5403</v>
      </c>
      <c r="I23" s="4">
        <f>(H23/5403)*100</f>
        <v>100</v>
      </c>
      <c r="O23" s="2"/>
    </row>
    <row r="24" spans="1:20" x14ac:dyDescent="0.25">
      <c r="A24" t="s">
        <v>208</v>
      </c>
      <c r="E24" t="s">
        <v>44</v>
      </c>
      <c r="F24">
        <v>85.4</v>
      </c>
      <c r="G24">
        <v>2433.1</v>
      </c>
      <c r="H24" s="4">
        <f t="shared" si="8"/>
        <v>2347.6999999999998</v>
      </c>
      <c r="I24" s="6">
        <f t="shared" ref="I24:I25" si="10">(H24/5403)*100</f>
        <v>43.451786044789934</v>
      </c>
      <c r="O24" s="2"/>
    </row>
    <row r="25" spans="1:20" x14ac:dyDescent="0.25">
      <c r="A25" t="s">
        <v>209</v>
      </c>
      <c r="E25" t="s">
        <v>46</v>
      </c>
      <c r="F25">
        <v>85.4</v>
      </c>
      <c r="G25">
        <v>943.8</v>
      </c>
      <c r="H25" s="4">
        <f t="shared" si="8"/>
        <v>858.4</v>
      </c>
      <c r="I25" s="4">
        <f t="shared" si="10"/>
        <v>15.887469924116232</v>
      </c>
      <c r="O25" s="2"/>
      <c r="T25" s="6"/>
    </row>
    <row r="26" spans="1:20" x14ac:dyDescent="0.25">
      <c r="A26" t="s">
        <v>210</v>
      </c>
      <c r="D26" s="2" t="s">
        <v>188</v>
      </c>
      <c r="E26" t="s">
        <v>43</v>
      </c>
      <c r="F26">
        <v>85.4</v>
      </c>
      <c r="G26">
        <v>5127.1000000000004</v>
      </c>
      <c r="H26" s="4">
        <f t="shared" si="8"/>
        <v>5041.7000000000007</v>
      </c>
      <c r="I26" s="4">
        <f>(H26/5041.7)*100</f>
        <v>100.00000000000003</v>
      </c>
      <c r="O26" s="2"/>
      <c r="T26" s="6"/>
    </row>
    <row r="27" spans="1:20" x14ac:dyDescent="0.25">
      <c r="A27" t="s">
        <v>211</v>
      </c>
      <c r="E27" t="s">
        <v>44</v>
      </c>
      <c r="F27">
        <v>85.4</v>
      </c>
      <c r="G27">
        <v>2379.1</v>
      </c>
      <c r="H27" s="4">
        <f t="shared" si="8"/>
        <v>2293.6999999999998</v>
      </c>
      <c r="I27" s="6">
        <f t="shared" ref="I27:I28" si="11">(H27/5041.7)*100</f>
        <v>45.494575242477737</v>
      </c>
      <c r="O27" s="2"/>
      <c r="T27" s="6"/>
    </row>
    <row r="28" spans="1:20" x14ac:dyDescent="0.25">
      <c r="A28" t="s">
        <v>212</v>
      </c>
      <c r="E28" t="s">
        <v>46</v>
      </c>
      <c r="F28">
        <v>85.4</v>
      </c>
      <c r="G28">
        <v>935.5</v>
      </c>
      <c r="H28" s="4">
        <f t="shared" si="8"/>
        <v>850.1</v>
      </c>
      <c r="I28" s="6">
        <f t="shared" si="11"/>
        <v>16.86137612313307</v>
      </c>
      <c r="O28" s="2"/>
      <c r="T28" s="6"/>
    </row>
    <row r="29" spans="1:20" x14ac:dyDescent="0.25">
      <c r="A29" t="s">
        <v>213</v>
      </c>
      <c r="O29" s="2"/>
      <c r="T29" s="6"/>
    </row>
    <row r="30" spans="1:20" x14ac:dyDescent="0.25">
      <c r="A30" t="s">
        <v>214</v>
      </c>
      <c r="O30" s="2"/>
      <c r="T30" s="4"/>
    </row>
    <row r="31" spans="1:20" x14ac:dyDescent="0.25">
      <c r="O31" s="2"/>
    </row>
    <row r="32" spans="1:20" x14ac:dyDescent="0.25">
      <c r="O32" s="2"/>
      <c r="T32" s="4"/>
    </row>
    <row r="33" spans="8:20" x14ac:dyDescent="0.25">
      <c r="H33" s="4"/>
      <c r="I33" s="4"/>
      <c r="O33" s="2"/>
      <c r="T33" s="6"/>
    </row>
    <row r="34" spans="8:20" x14ac:dyDescent="0.25">
      <c r="H34" s="4"/>
      <c r="I34" s="4"/>
    </row>
    <row r="35" spans="8:20" x14ac:dyDescent="0.25">
      <c r="H35" s="4"/>
      <c r="I3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1472-77AE-4796-A9F2-3359733E4E0C}">
  <dimension ref="A1:V36"/>
  <sheetViews>
    <sheetView tabSelected="1" topLeftCell="A4" workbookViewId="0">
      <selection activeCell="F35" sqref="F35"/>
    </sheetView>
  </sheetViews>
  <sheetFormatPr defaultRowHeight="15" x14ac:dyDescent="0.25"/>
  <cols>
    <col min="1" max="1" width="48.5703125" bestFit="1" customWidth="1"/>
    <col min="3" max="3" width="10.5703125" bestFit="1" customWidth="1"/>
    <col min="4" max="4" width="12" bestFit="1" customWidth="1"/>
    <col min="6" max="6" width="11.85546875" customWidth="1"/>
    <col min="8" max="8" width="12.140625" customWidth="1"/>
    <col min="9" max="9" width="12" customWidth="1"/>
    <col min="14" max="14" width="7.140625" bestFit="1" customWidth="1"/>
    <col min="15" max="15" width="12" bestFit="1" customWidth="1"/>
    <col min="22" max="22" width="12" bestFit="1" customWidth="1"/>
  </cols>
  <sheetData>
    <row r="1" spans="1:22" x14ac:dyDescent="0.25">
      <c r="A1" s="1" t="s">
        <v>247</v>
      </c>
    </row>
    <row r="3" spans="1:22" x14ac:dyDescent="0.25">
      <c r="A3" t="s">
        <v>0</v>
      </c>
    </row>
    <row r="5" spans="1:22" x14ac:dyDescent="0.25">
      <c r="A5" t="s">
        <v>1</v>
      </c>
      <c r="P5" s="5">
        <v>45449</v>
      </c>
      <c r="Q5" s="5">
        <v>45455</v>
      </c>
      <c r="R5" s="5">
        <v>45460</v>
      </c>
      <c r="S5" s="5">
        <v>45463</v>
      </c>
      <c r="T5" s="5">
        <v>45464</v>
      </c>
      <c r="U5" s="5">
        <v>45467</v>
      </c>
      <c r="V5" t="s">
        <v>243</v>
      </c>
    </row>
    <row r="6" spans="1:22" ht="42.75" x14ac:dyDescent="0.25">
      <c r="A6" t="s">
        <v>2</v>
      </c>
      <c r="C6" t="s">
        <v>253</v>
      </c>
      <c r="D6" s="2" t="s">
        <v>70</v>
      </c>
      <c r="F6" s="3" t="s">
        <v>38</v>
      </c>
      <c r="G6" s="3" t="s">
        <v>190</v>
      </c>
      <c r="H6" s="3" t="s">
        <v>40</v>
      </c>
      <c r="I6" s="3" t="s">
        <v>41</v>
      </c>
      <c r="N6" s="2" t="s">
        <v>44</v>
      </c>
      <c r="O6" s="2" t="s">
        <v>75</v>
      </c>
      <c r="P6">
        <v>15.99</v>
      </c>
      <c r="Q6">
        <v>19.21</v>
      </c>
      <c r="R6">
        <v>18.420000000000002</v>
      </c>
      <c r="S6">
        <v>16.55</v>
      </c>
      <c r="T6">
        <v>14.36</v>
      </c>
      <c r="U6">
        <v>15.52</v>
      </c>
      <c r="V6">
        <f>AVERAGE(P6:U6)</f>
        <v>16.675000000000001</v>
      </c>
    </row>
    <row r="7" spans="1:22" x14ac:dyDescent="0.25">
      <c r="A7" t="s">
        <v>216</v>
      </c>
      <c r="D7" s="2" t="s">
        <v>75</v>
      </c>
      <c r="E7" t="s">
        <v>43</v>
      </c>
      <c r="F7">
        <v>76.900000000000006</v>
      </c>
      <c r="G7">
        <v>5039.3999999999996</v>
      </c>
      <c r="H7" s="4">
        <f>G7-F7</f>
        <v>4962.5</v>
      </c>
      <c r="I7">
        <f>(H7/4962.5)*100</f>
        <v>100</v>
      </c>
      <c r="O7" s="2" t="s">
        <v>71</v>
      </c>
      <c r="P7">
        <v>19.739999999999998</v>
      </c>
      <c r="Q7">
        <v>25.16</v>
      </c>
      <c r="R7">
        <v>24.35</v>
      </c>
      <c r="S7">
        <v>23.14</v>
      </c>
      <c r="T7">
        <v>18.829999999999998</v>
      </c>
      <c r="U7">
        <v>21.73</v>
      </c>
      <c r="V7">
        <f t="shared" ref="V7:V10" si="0">AVERAGE(P7:U7)</f>
        <v>22.158333333333331</v>
      </c>
    </row>
    <row r="8" spans="1:22" x14ac:dyDescent="0.25">
      <c r="A8" t="s">
        <v>217</v>
      </c>
      <c r="D8" s="2"/>
      <c r="E8" t="s">
        <v>44</v>
      </c>
      <c r="F8">
        <v>76.900000000000006</v>
      </c>
      <c r="G8">
        <v>847</v>
      </c>
      <c r="H8" s="4">
        <f t="shared" ref="H8:H21" si="1">G8-F8</f>
        <v>770.1</v>
      </c>
      <c r="I8">
        <f t="shared" ref="I8:I9" si="2">(H8/4962.5)*100</f>
        <v>15.5183879093199</v>
      </c>
      <c r="O8" s="2" t="s">
        <v>72</v>
      </c>
      <c r="P8">
        <v>34.54</v>
      </c>
      <c r="Q8">
        <v>33.54</v>
      </c>
      <c r="R8">
        <v>27.34</v>
      </c>
      <c r="S8">
        <v>31.03</v>
      </c>
      <c r="T8">
        <v>25.21</v>
      </c>
      <c r="U8">
        <v>30.82</v>
      </c>
      <c r="V8">
        <f t="shared" si="0"/>
        <v>30.41333333333333</v>
      </c>
    </row>
    <row r="9" spans="1:22" x14ac:dyDescent="0.25">
      <c r="A9" t="s">
        <v>218</v>
      </c>
      <c r="D9" s="2"/>
      <c r="E9" t="s">
        <v>46</v>
      </c>
      <c r="F9">
        <v>76.900000000000006</v>
      </c>
      <c r="G9">
        <v>455.8</v>
      </c>
      <c r="H9" s="4">
        <f t="shared" si="1"/>
        <v>378.9</v>
      </c>
      <c r="I9">
        <f t="shared" si="2"/>
        <v>7.6352644836272034</v>
      </c>
      <c r="O9" s="2" t="s">
        <v>73</v>
      </c>
      <c r="P9">
        <v>55.9</v>
      </c>
      <c r="Q9">
        <v>58.49</v>
      </c>
      <c r="R9">
        <v>48.81</v>
      </c>
      <c r="S9">
        <v>45.13</v>
      </c>
      <c r="T9">
        <v>42.88</v>
      </c>
      <c r="U9" s="6">
        <v>53.09</v>
      </c>
      <c r="V9">
        <f t="shared" si="0"/>
        <v>50.716666666666661</v>
      </c>
    </row>
    <row r="10" spans="1:22" x14ac:dyDescent="0.25">
      <c r="A10" t="s">
        <v>219</v>
      </c>
      <c r="D10" s="2" t="s">
        <v>71</v>
      </c>
      <c r="E10" t="s">
        <v>43</v>
      </c>
      <c r="F10">
        <v>76.900000000000006</v>
      </c>
      <c r="G10">
        <v>4332.7</v>
      </c>
      <c r="H10" s="4">
        <f t="shared" si="1"/>
        <v>4255.8</v>
      </c>
      <c r="I10">
        <f>(H10/4255.8)*100</f>
        <v>100</v>
      </c>
      <c r="O10" s="2" t="s">
        <v>74</v>
      </c>
      <c r="P10">
        <v>70.53</v>
      </c>
      <c r="Q10">
        <v>74.569999999999993</v>
      </c>
      <c r="R10">
        <v>70.83</v>
      </c>
      <c r="S10">
        <v>71.510000000000005</v>
      </c>
      <c r="T10">
        <v>68.790000000000006</v>
      </c>
      <c r="U10" s="6">
        <v>67.38</v>
      </c>
      <c r="V10">
        <f t="shared" si="0"/>
        <v>70.601666666666674</v>
      </c>
    </row>
    <row r="11" spans="1:22" x14ac:dyDescent="0.25">
      <c r="A11" t="s">
        <v>220</v>
      </c>
      <c r="D11" s="2"/>
      <c r="E11" t="s">
        <v>44</v>
      </c>
      <c r="F11">
        <v>76.900000000000006</v>
      </c>
      <c r="G11">
        <v>1001.7</v>
      </c>
      <c r="H11" s="4">
        <f t="shared" si="1"/>
        <v>924.80000000000007</v>
      </c>
      <c r="I11">
        <f t="shared" ref="I11:I12" si="3">(H11/4255.8)*100</f>
        <v>21.730344471074769</v>
      </c>
      <c r="O11" s="2" t="s">
        <v>189</v>
      </c>
      <c r="Q11">
        <v>35.840000000000003</v>
      </c>
      <c r="T11">
        <v>33.700000000000003</v>
      </c>
      <c r="U11" s="6">
        <v>35.159999999999997</v>
      </c>
      <c r="V11">
        <f t="shared" ref="V11:V23" si="4">AVERAGE(P11:U11)</f>
        <v>34.9</v>
      </c>
    </row>
    <row r="12" spans="1:22" x14ac:dyDescent="0.25">
      <c r="A12" t="s">
        <v>221</v>
      </c>
      <c r="D12" s="2" t="s">
        <v>72</v>
      </c>
      <c r="E12" t="s">
        <v>43</v>
      </c>
      <c r="F12">
        <v>76.900000000000006</v>
      </c>
      <c r="G12">
        <v>4629.1000000000004</v>
      </c>
      <c r="H12" s="4">
        <f>G12-F12</f>
        <v>4552.2000000000007</v>
      </c>
      <c r="I12">
        <f>(H12/4552.2)*100</f>
        <v>100.00000000000003</v>
      </c>
      <c r="O12" s="2" t="s">
        <v>76</v>
      </c>
      <c r="P12">
        <v>45.97</v>
      </c>
      <c r="Q12">
        <v>41.21</v>
      </c>
      <c r="R12">
        <v>61.91</v>
      </c>
      <c r="S12">
        <v>40.729999999999997</v>
      </c>
      <c r="T12">
        <v>35.01</v>
      </c>
      <c r="U12" s="6">
        <v>42.92</v>
      </c>
      <c r="V12">
        <f t="shared" si="4"/>
        <v>44.625</v>
      </c>
    </row>
    <row r="13" spans="1:22" x14ac:dyDescent="0.25">
      <c r="A13" t="s">
        <v>222</v>
      </c>
      <c r="D13" s="2"/>
      <c r="E13" t="s">
        <v>44</v>
      </c>
      <c r="F13">
        <v>76.900000000000006</v>
      </c>
      <c r="G13">
        <v>1480</v>
      </c>
      <c r="H13" s="4">
        <f>G13-F13</f>
        <v>1403.1</v>
      </c>
      <c r="I13">
        <f t="shared" ref="I13:I14" si="5">(H13/4552.2)*100</f>
        <v>30.822459470146303</v>
      </c>
      <c r="O13" s="2" t="s">
        <v>77</v>
      </c>
      <c r="P13">
        <v>40.46</v>
      </c>
      <c r="Q13">
        <v>47.68</v>
      </c>
      <c r="R13">
        <v>49.39</v>
      </c>
      <c r="S13">
        <v>55.72</v>
      </c>
      <c r="T13">
        <v>43.45</v>
      </c>
      <c r="U13" s="6">
        <v>46.44</v>
      </c>
      <c r="V13">
        <f t="shared" si="4"/>
        <v>47.19</v>
      </c>
    </row>
    <row r="14" spans="1:22" x14ac:dyDescent="0.25">
      <c r="A14" t="s">
        <v>223</v>
      </c>
      <c r="D14" s="2" t="s">
        <v>73</v>
      </c>
      <c r="E14" t="s">
        <v>43</v>
      </c>
      <c r="F14">
        <v>76.900000000000006</v>
      </c>
      <c r="G14">
        <v>4179.3999999999996</v>
      </c>
      <c r="H14" s="4">
        <f>G14-F14</f>
        <v>4102.5</v>
      </c>
      <c r="I14">
        <f>(H14/4102.5)*100</f>
        <v>100</v>
      </c>
      <c r="O14" s="2" t="s">
        <v>188</v>
      </c>
      <c r="S14">
        <v>48.62</v>
      </c>
      <c r="T14">
        <v>45.49</v>
      </c>
      <c r="U14" s="6">
        <v>47.61</v>
      </c>
      <c r="V14">
        <f t="shared" si="4"/>
        <v>47.24</v>
      </c>
    </row>
    <row r="15" spans="1:22" x14ac:dyDescent="0.25">
      <c r="A15" t="s">
        <v>224</v>
      </c>
      <c r="D15" s="2"/>
      <c r="E15" t="s">
        <v>44</v>
      </c>
      <c r="F15">
        <v>76.900000000000006</v>
      </c>
      <c r="G15">
        <v>2254.9</v>
      </c>
      <c r="H15" s="4">
        <f>G15-F15</f>
        <v>2178</v>
      </c>
      <c r="I15" s="6">
        <f t="shared" ref="I15:I16" si="6">(H15/4102.5)*100</f>
        <v>53.089579524680076</v>
      </c>
      <c r="N15" s="2" t="s">
        <v>46</v>
      </c>
      <c r="O15" s="2" t="s">
        <v>75</v>
      </c>
      <c r="P15">
        <v>8.3000000000000007</v>
      </c>
      <c r="Q15">
        <v>12.37</v>
      </c>
      <c r="R15">
        <v>9.56</v>
      </c>
      <c r="S15">
        <v>8.91</v>
      </c>
      <c r="T15">
        <v>7.83</v>
      </c>
      <c r="U15">
        <v>7.64</v>
      </c>
      <c r="V15">
        <f t="shared" si="4"/>
        <v>9.1016666666666666</v>
      </c>
    </row>
    <row r="16" spans="1:22" x14ac:dyDescent="0.25">
      <c r="A16" t="s">
        <v>225</v>
      </c>
      <c r="D16" s="2" t="s">
        <v>74</v>
      </c>
      <c r="E16" t="s">
        <v>43</v>
      </c>
      <c r="F16">
        <v>76.900000000000006</v>
      </c>
      <c r="G16">
        <v>4977.7</v>
      </c>
      <c r="H16" s="4">
        <f>G16-F16</f>
        <v>4900.8</v>
      </c>
      <c r="I16">
        <f>(H16/4900.8)*100</f>
        <v>100</v>
      </c>
      <c r="O16" s="2" t="s">
        <v>71</v>
      </c>
      <c r="P16">
        <v>6.61</v>
      </c>
      <c r="Q16">
        <v>12.41</v>
      </c>
      <c r="R16">
        <v>12.11</v>
      </c>
      <c r="S16">
        <v>9.23</v>
      </c>
      <c r="T16">
        <v>8.9600000000000009</v>
      </c>
      <c r="U16">
        <v>10.37</v>
      </c>
      <c r="V16">
        <f t="shared" si="4"/>
        <v>9.9483333333333324</v>
      </c>
    </row>
    <row r="17" spans="1:22" x14ac:dyDescent="0.25">
      <c r="A17" t="s">
        <v>226</v>
      </c>
      <c r="E17" t="s">
        <v>44</v>
      </c>
      <c r="F17">
        <v>76.900000000000006</v>
      </c>
      <c r="G17">
        <v>3379.2</v>
      </c>
      <c r="H17" s="4">
        <f>G17-F17</f>
        <v>3302.2999999999997</v>
      </c>
      <c r="I17" s="6">
        <f t="shared" ref="I17:I18" si="7">(H17/4900.8)*100</f>
        <v>67.382876265099569</v>
      </c>
      <c r="O17" s="2" t="s">
        <v>72</v>
      </c>
      <c r="P17">
        <v>8.0500000000000007</v>
      </c>
      <c r="Q17">
        <v>13.56</v>
      </c>
      <c r="R17">
        <v>12.58</v>
      </c>
      <c r="S17">
        <v>9.0500000000000007</v>
      </c>
      <c r="T17">
        <v>10.33</v>
      </c>
      <c r="U17">
        <v>10.92</v>
      </c>
      <c r="V17">
        <f t="shared" si="4"/>
        <v>10.748333333333333</v>
      </c>
    </row>
    <row r="18" spans="1:22" x14ac:dyDescent="0.25">
      <c r="A18" t="s">
        <v>227</v>
      </c>
      <c r="D18" s="2" t="s">
        <v>189</v>
      </c>
      <c r="E18" t="s">
        <v>43</v>
      </c>
      <c r="F18">
        <v>76.900000000000006</v>
      </c>
      <c r="G18">
        <v>5073.3999999999996</v>
      </c>
      <c r="H18" s="4">
        <f t="shared" ref="H18:H21" si="8">G18-F18</f>
        <v>4996.5</v>
      </c>
      <c r="I18" s="4">
        <f>(H18/4996.5)*100</f>
        <v>100</v>
      </c>
      <c r="O18" s="2" t="s">
        <v>73</v>
      </c>
      <c r="P18">
        <v>11.62</v>
      </c>
      <c r="Q18">
        <v>17.38</v>
      </c>
      <c r="R18">
        <v>15.59</v>
      </c>
      <c r="S18">
        <v>10.72</v>
      </c>
      <c r="T18">
        <v>11.49</v>
      </c>
      <c r="U18">
        <v>13.53</v>
      </c>
      <c r="V18">
        <f t="shared" si="4"/>
        <v>13.388333333333334</v>
      </c>
    </row>
    <row r="19" spans="1:22" x14ac:dyDescent="0.25">
      <c r="A19" t="s">
        <v>228</v>
      </c>
      <c r="D19" s="2"/>
      <c r="E19" t="s">
        <v>44</v>
      </c>
      <c r="F19">
        <v>76.900000000000006</v>
      </c>
      <c r="G19">
        <v>1833.9</v>
      </c>
      <c r="H19" s="4">
        <f t="shared" si="8"/>
        <v>1757</v>
      </c>
      <c r="I19" s="6">
        <f t="shared" ref="I19:I20" si="9">(H19/4996.5)*100</f>
        <v>35.164615230661461</v>
      </c>
      <c r="O19" s="2" t="s">
        <v>74</v>
      </c>
      <c r="P19">
        <v>22.94</v>
      </c>
      <c r="Q19">
        <v>30.37</v>
      </c>
      <c r="R19">
        <v>24.46</v>
      </c>
      <c r="S19">
        <v>19.91</v>
      </c>
      <c r="T19" s="6">
        <v>20.25</v>
      </c>
      <c r="U19" s="6">
        <v>17.72</v>
      </c>
      <c r="V19">
        <f t="shared" si="4"/>
        <v>22.608333333333334</v>
      </c>
    </row>
    <row r="20" spans="1:22" x14ac:dyDescent="0.25">
      <c r="A20" t="s">
        <v>229</v>
      </c>
      <c r="D20" s="2"/>
      <c r="E20" t="s">
        <v>46</v>
      </c>
      <c r="F20">
        <v>76.900000000000006</v>
      </c>
      <c r="G20">
        <v>678.9</v>
      </c>
      <c r="H20" s="4">
        <f t="shared" si="8"/>
        <v>602</v>
      </c>
      <c r="I20" s="4">
        <f t="shared" si="9"/>
        <v>12.048433903732612</v>
      </c>
      <c r="O20" s="2" t="s">
        <v>189</v>
      </c>
      <c r="Q20">
        <v>12.15</v>
      </c>
      <c r="T20" s="4">
        <v>10.859996301091179</v>
      </c>
      <c r="U20" s="4">
        <v>12.05</v>
      </c>
      <c r="V20">
        <f t="shared" si="4"/>
        <v>11.686665433697058</v>
      </c>
    </row>
    <row r="21" spans="1:22" x14ac:dyDescent="0.25">
      <c r="A21" t="s">
        <v>230</v>
      </c>
      <c r="D21" s="2" t="s">
        <v>76</v>
      </c>
      <c r="E21" t="s">
        <v>43</v>
      </c>
      <c r="F21">
        <v>76.900000000000006</v>
      </c>
      <c r="G21" s="7">
        <v>4926</v>
      </c>
      <c r="H21" s="4">
        <f t="shared" si="8"/>
        <v>4849.1000000000004</v>
      </c>
      <c r="I21">
        <f>(H21/4849.1)*100</f>
        <v>100</v>
      </c>
      <c r="O21" s="2" t="s">
        <v>76</v>
      </c>
      <c r="P21">
        <v>13.84</v>
      </c>
      <c r="Q21">
        <v>18.440000000000001</v>
      </c>
      <c r="R21">
        <v>21.63</v>
      </c>
      <c r="S21">
        <v>12.81</v>
      </c>
      <c r="T21">
        <v>15.27</v>
      </c>
      <c r="U21">
        <v>15.2</v>
      </c>
      <c r="V21">
        <f t="shared" si="4"/>
        <v>16.198333333333334</v>
      </c>
    </row>
    <row r="22" spans="1:22" x14ac:dyDescent="0.25">
      <c r="A22" t="s">
        <v>231</v>
      </c>
      <c r="D22" s="2"/>
      <c r="E22" t="s">
        <v>44</v>
      </c>
      <c r="F22">
        <v>76.900000000000006</v>
      </c>
      <c r="G22">
        <v>2158.1</v>
      </c>
      <c r="H22" s="4">
        <f t="shared" ref="H22:H29" si="10">G22-F22</f>
        <v>2081.1999999999998</v>
      </c>
      <c r="I22" s="6">
        <f t="shared" ref="I22:I23" si="11">(H22/4849.1)*100</f>
        <v>42.91930461322719</v>
      </c>
      <c r="O22" s="2" t="s">
        <v>77</v>
      </c>
      <c r="P22">
        <v>9.83</v>
      </c>
      <c r="Q22">
        <v>21.02</v>
      </c>
      <c r="R22">
        <v>19.079999999999998</v>
      </c>
      <c r="S22">
        <v>21.46</v>
      </c>
      <c r="T22" s="4">
        <v>15.89</v>
      </c>
      <c r="U22" s="6">
        <v>18.37</v>
      </c>
      <c r="V22">
        <f t="shared" si="4"/>
        <v>17.608333333333334</v>
      </c>
    </row>
    <row r="23" spans="1:22" x14ac:dyDescent="0.25">
      <c r="A23" t="s">
        <v>232</v>
      </c>
      <c r="D23" s="2"/>
      <c r="E23" t="s">
        <v>46</v>
      </c>
      <c r="F23">
        <v>76.900000000000006</v>
      </c>
      <c r="G23">
        <v>814.2</v>
      </c>
      <c r="H23" s="4">
        <f t="shared" si="10"/>
        <v>737.30000000000007</v>
      </c>
      <c r="I23">
        <f t="shared" si="11"/>
        <v>15.204883380421109</v>
      </c>
      <c r="O23" s="2" t="s">
        <v>188</v>
      </c>
      <c r="R23">
        <v>19.850000000000001</v>
      </c>
      <c r="T23" s="6">
        <v>16.86</v>
      </c>
      <c r="U23" s="6">
        <v>17.96</v>
      </c>
      <c r="V23">
        <f t="shared" si="4"/>
        <v>18.223333333333333</v>
      </c>
    </row>
    <row r="24" spans="1:22" x14ac:dyDescent="0.25">
      <c r="A24" t="s">
        <v>233</v>
      </c>
      <c r="D24" s="2" t="s">
        <v>77</v>
      </c>
      <c r="E24" t="s">
        <v>43</v>
      </c>
      <c r="F24">
        <v>76.900000000000006</v>
      </c>
      <c r="G24">
        <v>4837.3999999999996</v>
      </c>
      <c r="H24" s="4">
        <f t="shared" si="10"/>
        <v>4760.5</v>
      </c>
      <c r="I24" s="4">
        <f>(H24/4760.5)*100</f>
        <v>100</v>
      </c>
    </row>
    <row r="25" spans="1:22" x14ac:dyDescent="0.25">
      <c r="A25" t="s">
        <v>234</v>
      </c>
      <c r="E25" t="s">
        <v>44</v>
      </c>
      <c r="F25">
        <v>76.900000000000006</v>
      </c>
      <c r="G25">
        <v>2287.6999999999998</v>
      </c>
      <c r="H25" s="4">
        <f t="shared" si="10"/>
        <v>2210.7999999999997</v>
      </c>
      <c r="I25" s="6">
        <f t="shared" ref="I25:I26" si="12">(H25/4760.5)*100</f>
        <v>46.440499947484504</v>
      </c>
    </row>
    <row r="26" spans="1:22" x14ac:dyDescent="0.25">
      <c r="A26" t="s">
        <v>235</v>
      </c>
      <c r="E26" t="s">
        <v>46</v>
      </c>
      <c r="F26">
        <v>76.900000000000006</v>
      </c>
      <c r="G26">
        <v>951.6</v>
      </c>
      <c r="H26" s="4">
        <f t="shared" si="10"/>
        <v>874.7</v>
      </c>
      <c r="I26" s="6">
        <f t="shared" si="12"/>
        <v>18.374120365507824</v>
      </c>
    </row>
    <row r="27" spans="1:22" x14ac:dyDescent="0.25">
      <c r="A27" t="s">
        <v>236</v>
      </c>
      <c r="D27" s="2" t="s">
        <v>188</v>
      </c>
      <c r="E27" t="s">
        <v>43</v>
      </c>
      <c r="F27">
        <v>76.900000000000006</v>
      </c>
      <c r="G27">
        <v>4552.8</v>
      </c>
      <c r="H27" s="4">
        <f t="shared" si="10"/>
        <v>4475.9000000000005</v>
      </c>
      <c r="I27" s="4">
        <f>(H27/4475.9)*100</f>
        <v>100.00000000000003</v>
      </c>
    </row>
    <row r="28" spans="1:22" x14ac:dyDescent="0.25">
      <c r="A28" t="s">
        <v>237</v>
      </c>
      <c r="E28" t="s">
        <v>44</v>
      </c>
      <c r="F28">
        <v>76.900000000000006</v>
      </c>
      <c r="G28">
        <v>2207.8000000000002</v>
      </c>
      <c r="H28" s="4">
        <f t="shared" si="10"/>
        <v>2130.9</v>
      </c>
      <c r="I28" s="6">
        <f t="shared" ref="I28:I29" si="13">(H28/4475.9)*100</f>
        <v>47.608302240890104</v>
      </c>
    </row>
    <row r="29" spans="1:22" x14ac:dyDescent="0.25">
      <c r="A29" t="s">
        <v>238</v>
      </c>
      <c r="E29" t="s">
        <v>46</v>
      </c>
      <c r="F29">
        <v>76.900000000000006</v>
      </c>
      <c r="G29">
        <v>880.9</v>
      </c>
      <c r="H29" s="4">
        <f t="shared" si="10"/>
        <v>804</v>
      </c>
      <c r="I29" s="6">
        <f t="shared" si="13"/>
        <v>17.962867803123395</v>
      </c>
    </row>
    <row r="30" spans="1:22" x14ac:dyDescent="0.25">
      <c r="A30" t="s">
        <v>239</v>
      </c>
    </row>
    <row r="31" spans="1:22" x14ac:dyDescent="0.25">
      <c r="A31" t="s">
        <v>240</v>
      </c>
    </row>
    <row r="32" spans="1:22" x14ac:dyDescent="0.25">
      <c r="A32" t="s">
        <v>241</v>
      </c>
    </row>
    <row r="33" spans="1:9" x14ac:dyDescent="0.25">
      <c r="A33" t="s">
        <v>242</v>
      </c>
    </row>
    <row r="34" spans="1:9" x14ac:dyDescent="0.25">
      <c r="H34" s="4"/>
      <c r="I34" s="4"/>
    </row>
    <row r="35" spans="1:9" x14ac:dyDescent="0.25">
      <c r="H35" s="4"/>
      <c r="I35" s="4"/>
    </row>
    <row r="36" spans="1:9" x14ac:dyDescent="0.25">
      <c r="H36" s="4"/>
      <c r="I3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6-5-24</vt:lpstr>
      <vt:lpstr>6-6-24</vt:lpstr>
      <vt:lpstr>6-14-24</vt:lpstr>
      <vt:lpstr>6-17-24</vt:lpstr>
      <vt:lpstr>6-18-24</vt:lpstr>
      <vt:lpstr>6-20-24</vt:lpstr>
      <vt:lpstr>6-21-24</vt:lpstr>
      <vt:lpstr>6-24-24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 AKDOGAN</dc:creator>
  <cp:lastModifiedBy>EMEL AKDOGAN</cp:lastModifiedBy>
  <dcterms:created xsi:type="dcterms:W3CDTF">2024-06-07T21:31:19Z</dcterms:created>
  <dcterms:modified xsi:type="dcterms:W3CDTF">2025-04-09T18:53:56Z</dcterms:modified>
</cp:coreProperties>
</file>