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\Downloads\"/>
    </mc:Choice>
  </mc:AlternateContent>
  <xr:revisionPtr revIDLastSave="0" documentId="13_ncr:1_{F530C890-B1F6-44D7-AEE1-E0CFB0AC2E8F}" xr6:coauthVersionLast="47" xr6:coauthVersionMax="47" xr10:uidLastSave="{00000000-0000-0000-0000-000000000000}"/>
  <bookViews>
    <workbookView xWindow="-120" yWindow="-120" windowWidth="29040" windowHeight="15840" activeTab="5" xr2:uid="{190E1475-0CD4-40D7-BAC8-7325D88A6BE3}"/>
  </bookViews>
  <sheets>
    <sheet name="F11-21-23" sheetId="1" r:id="rId1"/>
    <sheet name="F11-22-23" sheetId="2" r:id="rId2"/>
    <sheet name="F_LSR01-09-24" sheetId="4" r:id="rId3"/>
    <sheet name="LSR01-14-24" sheetId="6" r:id="rId4"/>
    <sheet name="LSR01-16-24" sheetId="7" r:id="rId5"/>
    <sheet name="LSR01-24-24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8" l="1"/>
  <c r="J34" i="8"/>
  <c r="J32" i="8"/>
  <c r="J30" i="8"/>
  <c r="J31" i="8"/>
  <c r="J29" i="8"/>
  <c r="J27" i="8"/>
  <c r="J28" i="8"/>
  <c r="J26" i="8"/>
  <c r="J24" i="8"/>
  <c r="J25" i="8"/>
  <c r="J23" i="8"/>
  <c r="J21" i="8"/>
  <c r="J22" i="8"/>
  <c r="J20" i="8"/>
  <c r="J18" i="8"/>
  <c r="J19" i="8"/>
  <c r="J17" i="8"/>
  <c r="J15" i="8"/>
  <c r="J16" i="8"/>
  <c r="J14" i="8"/>
  <c r="J12" i="8"/>
  <c r="J13" i="8"/>
  <c r="J11" i="8"/>
  <c r="J9" i="8"/>
  <c r="J10" i="8"/>
  <c r="J8" i="8"/>
  <c r="J6" i="8"/>
  <c r="J7" i="8"/>
  <c r="J5" i="8"/>
  <c r="J65" i="8"/>
  <c r="J66" i="8"/>
  <c r="J64" i="8"/>
  <c r="J62" i="8"/>
  <c r="J63" i="8"/>
  <c r="J61" i="8"/>
  <c r="J59" i="8"/>
  <c r="J60" i="8"/>
  <c r="J58" i="8"/>
  <c r="J56" i="8"/>
  <c r="J57" i="8"/>
  <c r="J55" i="8"/>
  <c r="J53" i="8"/>
  <c r="J54" i="8"/>
  <c r="J52" i="8"/>
  <c r="J50" i="8"/>
  <c r="J51" i="8"/>
  <c r="J49" i="8"/>
  <c r="J47" i="8"/>
  <c r="J48" i="8"/>
  <c r="J46" i="8"/>
  <c r="J44" i="8"/>
  <c r="J45" i="8"/>
  <c r="J43" i="8"/>
  <c r="J41" i="8"/>
  <c r="J42" i="8"/>
  <c r="J40" i="8"/>
  <c r="J38" i="8"/>
  <c r="J39" i="8"/>
  <c r="J3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J33" i="7"/>
  <c r="J34" i="7"/>
  <c r="J32" i="7"/>
  <c r="J30" i="7"/>
  <c r="J31" i="7"/>
  <c r="J29" i="7"/>
  <c r="J27" i="7"/>
  <c r="J28" i="7"/>
  <c r="J26" i="7"/>
  <c r="J24" i="7"/>
  <c r="J25" i="7"/>
  <c r="J23" i="7"/>
  <c r="J21" i="7"/>
  <c r="J22" i="7"/>
  <c r="J20" i="7"/>
  <c r="J18" i="7"/>
  <c r="J19" i="7"/>
  <c r="J17" i="7"/>
  <c r="J15" i="7"/>
  <c r="J16" i="7"/>
  <c r="J14" i="7"/>
  <c r="J12" i="7"/>
  <c r="J13" i="7"/>
  <c r="J11" i="7"/>
  <c r="J9" i="7"/>
  <c r="J10" i="7"/>
  <c r="J8" i="7"/>
  <c r="J6" i="7"/>
  <c r="J7" i="7"/>
  <c r="J5" i="7"/>
  <c r="J65" i="7"/>
  <c r="J66" i="7"/>
  <c r="J64" i="7"/>
  <c r="J62" i="7"/>
  <c r="J61" i="7"/>
  <c r="J59" i="7"/>
  <c r="J60" i="7"/>
  <c r="J58" i="7"/>
  <c r="J56" i="7"/>
  <c r="J57" i="7"/>
  <c r="J55" i="7"/>
  <c r="J53" i="7"/>
  <c r="J54" i="7"/>
  <c r="J44" i="7"/>
  <c r="J43" i="7"/>
  <c r="J42" i="7"/>
  <c r="J66" i="6"/>
  <c r="J67" i="6"/>
  <c r="J65" i="6"/>
  <c r="J63" i="6"/>
  <c r="J64" i="6"/>
  <c r="J62" i="6"/>
  <c r="J60" i="6"/>
  <c r="J61" i="6"/>
  <c r="J59" i="6"/>
  <c r="J57" i="6"/>
  <c r="J58" i="6"/>
  <c r="J56" i="6"/>
  <c r="J54" i="6"/>
  <c r="J55" i="6"/>
  <c r="J53" i="6"/>
  <c r="J51" i="6"/>
  <c r="J52" i="6"/>
  <c r="J50" i="6"/>
  <c r="J48" i="6"/>
  <c r="J49" i="6"/>
  <c r="J47" i="6"/>
  <c r="J45" i="6"/>
  <c r="J46" i="6"/>
  <c r="J44" i="6"/>
  <c r="J42" i="6"/>
  <c r="J43" i="6"/>
  <c r="J41" i="6"/>
  <c r="J39" i="6"/>
  <c r="J40" i="6"/>
  <c r="J38" i="6"/>
  <c r="J34" i="6"/>
  <c r="J35" i="6"/>
  <c r="J33" i="6"/>
  <c r="J31" i="6"/>
  <c r="J32" i="6"/>
  <c r="J30" i="6"/>
  <c r="J28" i="6"/>
  <c r="J29" i="6"/>
  <c r="J27" i="6"/>
  <c r="J25" i="6"/>
  <c r="J26" i="6"/>
  <c r="J24" i="6"/>
  <c r="J22" i="6"/>
  <c r="J23" i="6"/>
  <c r="J21" i="6"/>
  <c r="J19" i="6"/>
  <c r="J20" i="6"/>
  <c r="J18" i="6"/>
  <c r="J16" i="6"/>
  <c r="J17" i="6"/>
  <c r="J15" i="6"/>
  <c r="J13" i="6"/>
  <c r="J14" i="6"/>
  <c r="J12" i="6"/>
  <c r="J10" i="6"/>
  <c r="J11" i="6"/>
  <c r="J9" i="6"/>
  <c r="J8" i="6"/>
  <c r="J7" i="6"/>
  <c r="J6" i="6"/>
  <c r="I66" i="7"/>
  <c r="I65" i="7"/>
  <c r="I64" i="7"/>
  <c r="I63" i="7"/>
  <c r="J63" i="7" s="1"/>
  <c r="I62" i="7"/>
  <c r="I61" i="7"/>
  <c r="I60" i="7"/>
  <c r="I59" i="7"/>
  <c r="I58" i="7"/>
  <c r="I57" i="7"/>
  <c r="I56" i="7"/>
  <c r="I55" i="7"/>
  <c r="I54" i="7"/>
  <c r="I53" i="7"/>
  <c r="I52" i="7"/>
  <c r="J52" i="7" s="1"/>
  <c r="I51" i="7"/>
  <c r="J51" i="7" s="1"/>
  <c r="I50" i="7"/>
  <c r="J50" i="7" s="1"/>
  <c r="I49" i="7"/>
  <c r="J49" i="7" s="1"/>
  <c r="I48" i="7"/>
  <c r="J48" i="7" s="1"/>
  <c r="I47" i="7"/>
  <c r="J47" i="7" s="1"/>
  <c r="I46" i="7"/>
  <c r="J46" i="7" s="1"/>
  <c r="I45" i="7"/>
  <c r="J45" i="7" s="1"/>
  <c r="I44" i="7"/>
  <c r="I43" i="7"/>
  <c r="I42" i="7"/>
  <c r="I41" i="7"/>
  <c r="J41" i="7" s="1"/>
  <c r="I40" i="7"/>
  <c r="J40" i="7" s="1"/>
  <c r="I39" i="7"/>
  <c r="J39" i="7" s="1"/>
  <c r="I38" i="7"/>
  <c r="J38" i="7" s="1"/>
  <c r="I37" i="7"/>
  <c r="J37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J66" i="4"/>
  <c r="J67" i="4"/>
  <c r="J65" i="4"/>
  <c r="J63" i="4"/>
  <c r="J64" i="4"/>
  <c r="J62" i="4"/>
  <c r="J60" i="4"/>
  <c r="J61" i="4"/>
  <c r="J59" i="4"/>
  <c r="J57" i="4"/>
  <c r="J58" i="4"/>
  <c r="J56" i="4"/>
  <c r="J54" i="4"/>
  <c r="J55" i="4"/>
  <c r="J53" i="4"/>
  <c r="J51" i="4"/>
  <c r="J52" i="4"/>
  <c r="J50" i="4"/>
  <c r="J48" i="4"/>
  <c r="J49" i="4"/>
  <c r="J47" i="4"/>
  <c r="J45" i="4"/>
  <c r="J46" i="4"/>
  <c r="J44" i="4"/>
  <c r="J42" i="4"/>
  <c r="J43" i="4"/>
  <c r="J41" i="4"/>
  <c r="J39" i="4"/>
  <c r="J40" i="4"/>
  <c r="J38" i="4"/>
  <c r="J34" i="4"/>
  <c r="J35" i="4"/>
  <c r="J33" i="4"/>
  <c r="J31" i="4"/>
  <c r="J32" i="4"/>
  <c r="J30" i="4"/>
  <c r="J28" i="4"/>
  <c r="J29" i="4"/>
  <c r="J27" i="4"/>
  <c r="J25" i="4"/>
  <c r="J26" i="4"/>
  <c r="J24" i="4"/>
  <c r="J22" i="4"/>
  <c r="J23" i="4"/>
  <c r="J21" i="4"/>
  <c r="J19" i="4"/>
  <c r="J20" i="4"/>
  <c r="J18" i="4"/>
  <c r="J16" i="4"/>
  <c r="J17" i="4"/>
  <c r="J15" i="4"/>
  <c r="J13" i="4"/>
  <c r="J14" i="4"/>
  <c r="J12" i="4"/>
  <c r="J10" i="4"/>
  <c r="J11" i="4"/>
  <c r="J9" i="4"/>
  <c r="J7" i="4"/>
  <c r="J8" i="4"/>
  <c r="J6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J34" i="2"/>
  <c r="J35" i="2"/>
  <c r="J33" i="2"/>
  <c r="J31" i="2"/>
  <c r="J32" i="2"/>
  <c r="J30" i="2"/>
  <c r="J28" i="2"/>
  <c r="J29" i="2"/>
  <c r="J27" i="2"/>
  <c r="J25" i="2"/>
  <c r="J26" i="2"/>
  <c r="J24" i="2"/>
  <c r="J22" i="2"/>
  <c r="J23" i="2"/>
  <c r="J21" i="2"/>
  <c r="J19" i="2"/>
  <c r="J20" i="2"/>
  <c r="J18" i="2"/>
  <c r="J16" i="2"/>
  <c r="J17" i="2"/>
  <c r="J15" i="2"/>
  <c r="J13" i="2"/>
  <c r="J14" i="2"/>
  <c r="J12" i="2"/>
  <c r="J10" i="2"/>
  <c r="J11" i="2"/>
  <c r="J9" i="2"/>
  <c r="J7" i="2"/>
  <c r="J8" i="2"/>
  <c r="J6" i="2"/>
  <c r="J66" i="2"/>
  <c r="J67" i="2"/>
  <c r="J65" i="2"/>
  <c r="J63" i="2"/>
  <c r="J64" i="2"/>
  <c r="J62" i="2"/>
  <c r="J60" i="2"/>
  <c r="J61" i="2"/>
  <c r="J59" i="2"/>
  <c r="J57" i="2"/>
  <c r="J58" i="2"/>
  <c r="J56" i="2"/>
  <c r="J54" i="2"/>
  <c r="J55" i="2"/>
  <c r="J53" i="2"/>
  <c r="J51" i="2"/>
  <c r="J52" i="2"/>
  <c r="J50" i="2"/>
  <c r="J48" i="2"/>
  <c r="J49" i="2"/>
  <c r="J47" i="2"/>
  <c r="J45" i="2"/>
  <c r="J46" i="2"/>
  <c r="J44" i="2"/>
  <c r="J42" i="2"/>
  <c r="J43" i="2"/>
  <c r="J41" i="2"/>
  <c r="J39" i="2"/>
  <c r="J40" i="2"/>
  <c r="J3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J66" i="1" l="1"/>
  <c r="J67" i="1"/>
  <c r="J65" i="1"/>
  <c r="J63" i="1"/>
  <c r="J64" i="1"/>
  <c r="J62" i="1"/>
  <c r="J60" i="1"/>
  <c r="J61" i="1"/>
  <c r="J59" i="1"/>
  <c r="J57" i="1"/>
  <c r="J58" i="1"/>
  <c r="J56" i="1"/>
  <c r="J54" i="1"/>
  <c r="J55" i="1"/>
  <c r="J53" i="1"/>
  <c r="J51" i="1"/>
  <c r="J52" i="1"/>
  <c r="J50" i="1"/>
  <c r="J48" i="1"/>
  <c r="J49" i="1"/>
  <c r="J47" i="1"/>
  <c r="J45" i="1"/>
  <c r="J46" i="1"/>
  <c r="J44" i="1"/>
  <c r="J42" i="1"/>
  <c r="J43" i="1"/>
  <c r="J41" i="1"/>
  <c r="J39" i="1"/>
  <c r="J40" i="1"/>
  <c r="J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38" i="1"/>
  <c r="J34" i="1"/>
  <c r="J35" i="1"/>
  <c r="J33" i="1"/>
  <c r="J31" i="1"/>
  <c r="J32" i="1"/>
  <c r="J30" i="1"/>
  <c r="J28" i="1"/>
  <c r="J29" i="1"/>
  <c r="J27" i="1"/>
  <c r="J25" i="1"/>
  <c r="J26" i="1"/>
  <c r="J24" i="1"/>
  <c r="J22" i="1"/>
  <c r="J23" i="1"/>
  <c r="J21" i="1"/>
  <c r="J19" i="1"/>
  <c r="J20" i="1"/>
  <c r="J18" i="1"/>
  <c r="J16" i="1"/>
  <c r="J17" i="1"/>
  <c r="J15" i="1"/>
  <c r="J13" i="1"/>
  <c r="J14" i="1"/>
  <c r="J12" i="1"/>
  <c r="J10" i="1"/>
  <c r="J11" i="1"/>
  <c r="J9" i="1"/>
  <c r="J7" i="1"/>
  <c r="J8" i="1"/>
  <c r="J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6" i="1"/>
</calcChain>
</file>

<file path=xl/sharedStrings.xml><?xml version="1.0" encoding="utf-8"?>
<sst xmlns="http://schemas.openxmlformats.org/spreadsheetml/2006/main" count="1126" uniqueCount="460">
  <si>
    <t>Applying gate R1</t>
  </si>
  <si>
    <t>SUMMARY TABLE:</t>
  </si>
  <si>
    <t>Sample                        Gated   APC-A-med  APC-A-frac</t>
  </si>
  <si>
    <t>100nM_101_SC577.fcs            0.76       738.6       0.480</t>
  </si>
  <si>
    <t>100nM_101_SC730.fcs            0.77       617.0       0.417</t>
  </si>
  <si>
    <t>100nM_101_SC731.fcs            0.77       916.5       0.538</t>
  </si>
  <si>
    <t>100nM_101_SC732.fcs            0.69      1642.2       0.649</t>
  </si>
  <si>
    <t>100nM_101_SC733.fcs            0.77      2795.5       0.736</t>
  </si>
  <si>
    <t>100nM_101_SC745.fcs            0.81       974.1       0.551</t>
  </si>
  <si>
    <t>100nM_101_SC750.fcs            0.80       974.1       0.551</t>
  </si>
  <si>
    <t>100nM_101_SC751.fcs            0.81       718.1       0.471</t>
  </si>
  <si>
    <t>100nM_101_SC752.fcs            0.80      1287.7       0.642</t>
  </si>
  <si>
    <t>100nM_101_SC753.fcs            0.81       995.8       0.564</t>
  </si>
  <si>
    <t>100nM_SC577.fcs                0.80       463.4       0.304</t>
  </si>
  <si>
    <t>100nM_SC730.fcs                0.76       620.8       0.421</t>
  </si>
  <si>
    <t>100nM_SC731.fcs                0.78       606.7       0.412</t>
  </si>
  <si>
    <t>100nM_SC732.fcs                0.69       442.9       0.315</t>
  </si>
  <si>
    <t>100nM_SC733.fcs                0.79       719.4       0.464</t>
  </si>
  <si>
    <t>100nM_SC745.fcs                0.78       615.7       0.407</t>
  </si>
  <si>
    <t>100nM_SC750.fcs                0.82       501.8       0.364</t>
  </si>
  <si>
    <t>100nM_SC751.fcs                0.79       372.5       0.264</t>
  </si>
  <si>
    <t>100nM_SC752.fcs                0.76       588.2       0.393</t>
  </si>
  <si>
    <t>100nM_SC753.fcs                0.86       468.5       0.328</t>
  </si>
  <si>
    <t>1uM_101_SC577.fcs              0.75       276.5       0.169</t>
  </si>
  <si>
    <t>1uM_101_SC730.fcs              0.74       334.1       0.255</t>
  </si>
  <si>
    <t>1uM_101_SC731.fcs              0.76       384.0       0.288</t>
  </si>
  <si>
    <t>1uM_101_SC732.fcs              0.69      1326.1       0.604</t>
  </si>
  <si>
    <t>1uM_101_SC733.fcs              0.76      2028.8       0.679</t>
  </si>
  <si>
    <t>1uM_101_SC745.fcs              0.79       407.0       0.303</t>
  </si>
  <si>
    <t>1uM_101_SC750.fcs              0.81       372.5       0.300</t>
  </si>
  <si>
    <t>1uM_101_SC751.fcs              0.81       307.2       0.244</t>
  </si>
  <si>
    <t>1uM_101_SC752.fcs              0.80       485.1       0.339</t>
  </si>
  <si>
    <t>1uM_101_SC753.fcs              0.82       378.9       0.263</t>
  </si>
  <si>
    <t>1uM_SC577.fcs                  0.80       225.3       0.178</t>
  </si>
  <si>
    <t>1uM_SC730.fcs                  0.76       234.2       0.191</t>
  </si>
  <si>
    <t>1uM_SC731.fcs                  0.79       259.8       0.254</t>
  </si>
  <si>
    <t>1uM_SC732.fcs                  0.70       207.4       0.222</t>
  </si>
  <si>
    <t>1uM_SC733.fcs                  0.80       314.9       0.290</t>
  </si>
  <si>
    <t>1uM_SC745.fcs                  0.84       298.2       0.251</t>
  </si>
  <si>
    <t>1uM_SC750.fcs                  0.79       244.5       0.256</t>
  </si>
  <si>
    <t>1uM_SC751.fcs                  0.80       189.4       0.168</t>
  </si>
  <si>
    <t>1uM_SC752.fcs                  0.78       294.4       0.263</t>
  </si>
  <si>
    <t>1uM_SC753.fcs                  0.81       247.0       0.215</t>
  </si>
  <si>
    <t>medium_101_SC577.fcs           0.71      2864.6       0.746</t>
  </si>
  <si>
    <t>medium_101_SC730.fcs           0.70      3227.5       0.697</t>
  </si>
  <si>
    <t>medium_101_SC731.fcs           0.77      3274.2       0.751</t>
  </si>
  <si>
    <t>medium_101_SC732.fcs           0.65      2193.9       0.700</t>
  </si>
  <si>
    <t>medium_101_SC733.fcs           0.74      4211.2       0.777</t>
  </si>
  <si>
    <t>medium_101_SC745.fcs           0.73      4363.5       0.785</t>
  </si>
  <si>
    <t>medium_101_SC750.fcs           0.80      3163.5       0.758</t>
  </si>
  <si>
    <t>medium_101_SC751.fcs           0.73      2097.3       0.637</t>
  </si>
  <si>
    <t>medium_101_SC752.fcs           0.73      4046.1       0.859</t>
  </si>
  <si>
    <t>medium_101_SC753.fcs           0.78      3397.1       0.775</t>
  </si>
  <si>
    <t>medium_SC577.fcs               0.77      2909.4       0.746</t>
  </si>
  <si>
    <t>medium_SC730.fcs               0.76      3177.0       0.701</t>
  </si>
  <si>
    <t>medium_SC731.fcs               0.79      3283.2       0.760</t>
  </si>
  <si>
    <t>medium_SC732.fcs               0.70      1852.8       0.671</t>
  </si>
  <si>
    <t>medium_SC733.fcs               0.79      3911.7       0.767</t>
  </si>
  <si>
    <t>medium_SC745.fcs               0.81      4386.6       0.800</t>
  </si>
  <si>
    <t>medium_SC750.fcs               0.77      2663.7       0.741</t>
  </si>
  <si>
    <t>medium_SC751.fcs               0.78      2113.3       0.630</t>
  </si>
  <si>
    <t>medium_SC752.fcs               0.76      3925.1       0.856</t>
  </si>
  <si>
    <t>medium_SC753.fcs               0.79      3593.0       0.785</t>
  </si>
  <si>
    <t>unst_SC577.fcs                 0.70        55.0       0.001</t>
  </si>
  <si>
    <t>unst_SC730.fcs                 0.74        56.3       0.001</t>
  </si>
  <si>
    <t>unst_SC731.fcs                 0.77        56.3       0.001</t>
  </si>
  <si>
    <t>unst_SC732.fcs                 0.69        49.9       0.001</t>
  </si>
  <si>
    <t>unst_SC733.fcs                 0.76        60.2       0.001</t>
  </si>
  <si>
    <t>unst_SC745.fcs                 0.71        64.0       0.002</t>
  </si>
  <si>
    <t>unst_SC750.fcs                 0.77        57.6       0.001</t>
  </si>
  <si>
    <t>unst_SC751.fcs                 0.77        64.0       0.001</t>
  </si>
  <si>
    <t>unst_SC752.fcs                 0.77        64.0       0.002</t>
  </si>
  <si>
    <t>unst_SC753.fcs                 0.78        61.4       0.001</t>
  </si>
  <si>
    <t>EA20231121_GRKs_CRISPRi_Cmpd101</t>
  </si>
  <si>
    <t>Differentiated PLBs</t>
  </si>
  <si>
    <t>Background</t>
  </si>
  <si>
    <t>APC (APC-antiFPR1)</t>
  </si>
  <si>
    <t>Background Substracted</t>
  </si>
  <si>
    <t>% FPR1 on Surface</t>
  </si>
  <si>
    <t>SC495 SC577</t>
  </si>
  <si>
    <t>WT +HA-FPR1+ dCas9</t>
  </si>
  <si>
    <t>medium</t>
  </si>
  <si>
    <t>100nM</t>
  </si>
  <si>
    <t>SC495 SC577 SC745</t>
  </si>
  <si>
    <t>NT</t>
  </si>
  <si>
    <t>SC495 SC577 SC731</t>
  </si>
  <si>
    <t>GRK2-g2</t>
  </si>
  <si>
    <t>SC495 SC577 SC732</t>
  </si>
  <si>
    <t>GRK6-g1</t>
  </si>
  <si>
    <t>1 uM</t>
  </si>
  <si>
    <t>SC495 SC577 SC730</t>
  </si>
  <si>
    <t>GRK2-g1</t>
  </si>
  <si>
    <t>SC495 SC577 SC733</t>
  </si>
  <si>
    <t>GRK6-g2</t>
  </si>
  <si>
    <t>SC495 SC577 SC750</t>
  </si>
  <si>
    <t>GRK3-g1</t>
  </si>
  <si>
    <t>GRK3-g2</t>
  </si>
  <si>
    <t>SC495 SC577 SC751</t>
  </si>
  <si>
    <t>SC495 SC577 SC752</t>
  </si>
  <si>
    <t>GRK5-g1</t>
  </si>
  <si>
    <t>SC495 SC577 SC753</t>
  </si>
  <si>
    <t>GRK5-g2</t>
  </si>
  <si>
    <t xml:space="preserve"> +Cmpd101</t>
  </si>
  <si>
    <t>100nM_101_SC577.fcs            0.77       375.0       0.255</t>
  </si>
  <si>
    <t>100nM_101_SC730.fcs            0.73       363.5       0.294</t>
  </si>
  <si>
    <t>100nM_101_SC731.fcs            0.79       294.4       0.221</t>
  </si>
  <si>
    <t>100nM_101_SC732.fcs            0.64       561.9       0.415</t>
  </si>
  <si>
    <t>100nM_101_SC733.fcs            0.75      1155.8       0.597</t>
  </si>
  <si>
    <t>100nM_101_SC745.fcs            0.79       384.0       0.293</t>
  </si>
  <si>
    <t>100nM_101_SC750.fcs            0.78       336.6       0.250</t>
  </si>
  <si>
    <t>100nM_101_SC751.fcs            0.80       261.1       0.191</t>
  </si>
  <si>
    <t>100nM_101_SC752.fcs            0.79       512.0       0.359</t>
  </si>
  <si>
    <t>100nM_101_SC753.fcs            0.75       286.7       0.191</t>
  </si>
  <si>
    <t>100nM_SC577.fcs                0.75       248.3       0.135</t>
  </si>
  <si>
    <t>100nM_SC730.fcs                0.70       346.9       0.243</t>
  </si>
  <si>
    <t>100nM_SC731.fcs                0.76       300.8       0.215</t>
  </si>
  <si>
    <t>100nM_SC732.fcs                0.70       204.8       0.132</t>
  </si>
  <si>
    <t>100nM_SC733.fcs                0.71       364.8       0.256</t>
  </si>
  <si>
    <t>100nM_SC745.fcs                0.80       259.8       0.166</t>
  </si>
  <si>
    <t>100nM_SC750.fcs                0.74       245.8       0.188</t>
  </si>
  <si>
    <t>100nM_SC751.fcs                0.79       208.6       0.119</t>
  </si>
  <si>
    <t>100nM_SC752.fcs                0.78       304.6       0.201</t>
  </si>
  <si>
    <t>100nM_SC753.fcs                0.72       186.9       0.095</t>
  </si>
  <si>
    <t>1uM_101_SC577.fcs              0.77       151.0       0.049</t>
  </si>
  <si>
    <t>1uM_101_SC730.fcs              0.71       180.5       0.087</t>
  </si>
  <si>
    <t>1uM_101_SC731.fcs              0.77       184.3       0.101</t>
  </si>
  <si>
    <t>1uM_101_SC732.fcs              0.63       410.9       0.343</t>
  </si>
  <si>
    <t>1uM_101_SC733.fcs              0.87       820.5       0.506</t>
  </si>
  <si>
    <t>1uM_101_SC745.fcs              0.78       176.6       0.082</t>
  </si>
  <si>
    <t>1uM_101_SC750.fcs              0.77       162.6       0.090</t>
  </si>
  <si>
    <t>1uM_101_SC751.fcs              0.78       143.4       0.060</t>
  </si>
  <si>
    <t>1uM_101_SC752.fcs              0.79       207.4       0.097</t>
  </si>
  <si>
    <t>1uM_101_SC753.fcs              0.73       161.3       0.054</t>
  </si>
  <si>
    <t>1uM_SC577.fcs                  0.75       138.2       0.089</t>
  </si>
  <si>
    <t>1uM_SC730.fcs                  0.73       154.9       0.094</t>
  </si>
  <si>
    <t>1uM_SC731.fcs                  0.79       131.8       0.092</t>
  </si>
  <si>
    <t>1uM_SC732.fcs                  0.63       125.4       0.095</t>
  </si>
  <si>
    <t>1uM_SC733.fcs                  0.73       167.7       0.168</t>
  </si>
  <si>
    <t>1uM_SC745.fcs                  0.80       147.2       0.109</t>
  </si>
  <si>
    <t>1uM_SC750.fcs                  0.78       147.2       0.136</t>
  </si>
  <si>
    <t>1uM_SC751.fcs                  0.79       120.3       0.072</t>
  </si>
  <si>
    <t>1uM_SC752.fcs                  0.78       175.4       0.130</t>
  </si>
  <si>
    <t>1uM_SC753.fcs                  0.71       117.8       0.057</t>
  </si>
  <si>
    <t>medium_101_SC577.fcs           0.75      1666.6       0.655</t>
  </si>
  <si>
    <t>medium_101_SC730.fcs           0.73      1585.9       0.604</t>
  </si>
  <si>
    <t>medium_101_SC731.fcs           0.75      1502.7       0.615</t>
  </si>
  <si>
    <t>medium_101_SC732.fcs           0.62       888.3       0.524</t>
  </si>
  <si>
    <t>medium_101_SC733.fcs           0.73      2026.2       0.708</t>
  </si>
  <si>
    <t>medium_101_SC745.fcs           0.77      1797.1       0.642</t>
  </si>
  <si>
    <t>medium_101_SC750.fcs           0.78      1390.1       0.626</t>
  </si>
  <si>
    <t>medium_101_SC751.fcs           0.78       693.8       0.477</t>
  </si>
  <si>
    <t>medium_101_SC752.fcs           0.81      2140.8       0.729</t>
  </si>
  <si>
    <t>medium_101_SC753.fcs           0.85      1113.6       0.577</t>
  </si>
  <si>
    <t>medium_SC577.fcs               0.75      1830.4       0.678</t>
  </si>
  <si>
    <t>medium_SC730.fcs               0.78      1757.4       0.624</t>
  </si>
  <si>
    <t>medium_SC731.fcs               0.82      1475.8       0.611</t>
  </si>
  <si>
    <t>medium_SC732.fcs               0.62       924.2       0.531</t>
  </si>
  <si>
    <t>medium_SC733.fcs               0.70      1853.4       0.693</t>
  </si>
  <si>
    <t>medium_SC745.fcs               0.79      1911.0       0.656</t>
  </si>
  <si>
    <t>medium_SC750.fcs               0.78      1417.0       0.628</t>
  </si>
  <si>
    <t>medium_SC751.fcs               0.79       655.4       0.470</t>
  </si>
  <si>
    <t>medium_SC752.fcs               0.78      2215.7       0.745</t>
  </si>
  <si>
    <t>medium_SC753.fcs               0.71       954.9       0.542</t>
  </si>
  <si>
    <t>unst_SC577.fcs                 0.74        58.9       0.001</t>
  </si>
  <si>
    <t>unst_SC730.fcs                 0.86        56.3       0.001</t>
  </si>
  <si>
    <t>unst_SC731.fcs                 0.79        61.4       0.001</t>
  </si>
  <si>
    <t>unst_SC732.fcs                 0.65        56.3       0.001</t>
  </si>
  <si>
    <t>unst_SC733.fcs                 0.73        61.4       0.002</t>
  </si>
  <si>
    <t>unst_SC745.fcs                 0.93        71.7       0.001</t>
  </si>
  <si>
    <t>unst_SC750.fcs                 0.77        64.0       0.001</t>
  </si>
  <si>
    <t>unst_SC751.fcs                 0.80        64.0       0.001</t>
  </si>
  <si>
    <t>unst_SC752.fcs                 0.71        67.8       0.002</t>
  </si>
  <si>
    <t>unst_SC753.fcs                 0.67        67.8       0.001</t>
  </si>
  <si>
    <t>100 nM</t>
  </si>
  <si>
    <t>dCas9</t>
  </si>
  <si>
    <t>NT sgRNA</t>
  </si>
  <si>
    <t>w Cmpd101</t>
  </si>
  <si>
    <t>Sample                        Gated  APC-A-mean  APC-A-frac</t>
  </si>
  <si>
    <t>100nM_101_SC577.fcs            0.64      2364.8       0.655</t>
  </si>
  <si>
    <t>100nM_101_SC730.fcs            0.63      3251.0       0.633</t>
  </si>
  <si>
    <t>100nM_101_SC731.fcs            0.62      4022.5       0.793</t>
  </si>
  <si>
    <t>100nM_101_SC732.fcs            0.54      3562.9       0.652</t>
  </si>
  <si>
    <t>100nM_101_SC733.fcs            0.73      3098.4       0.605</t>
  </si>
  <si>
    <t>100nM_101_SC745.fcs            0.70      1924.8       0.550</t>
  </si>
  <si>
    <t>100nM_101_SC750.fcs            0.65      1464.8       0.435</t>
  </si>
  <si>
    <t>100nM_101_SC751.fcs            0.61      1240.7       0.384</t>
  </si>
  <si>
    <t>100nM_101_SC752.fcs            0.51      2749.0       0.659</t>
  </si>
  <si>
    <t>100nM_101_SC753.fcs            0.57      2398.8       0.664</t>
  </si>
  <si>
    <t>100nM_SC577.fcs                0.65      1151.0       0.387</t>
  </si>
  <si>
    <t>100nM_SC730.fcs                0.68      1963.2       0.519</t>
  </si>
  <si>
    <t>100nM_SC731.fcs                0.63      2415.6       0.661</t>
  </si>
  <si>
    <t>100nM_SC732.fcs                0.51      1211.8       0.384</t>
  </si>
  <si>
    <t>100nM_SC733.fcs                0.74      1338.3       0.406</t>
  </si>
  <si>
    <t>100nM_SC745.fcs                0.69      1098.0       0.320</t>
  </si>
  <si>
    <t>100nM_SC750.fcs                0.71      1094.6       0.305</t>
  </si>
  <si>
    <t>100nM_SC751.fcs                0.67       952.0       0.279</t>
  </si>
  <si>
    <t>100nM_SC752.fcs                0.55      1916.2       0.522</t>
  </si>
  <si>
    <t>100nM_SC753.fcs                0.61      1472.3       0.471</t>
  </si>
  <si>
    <t>1uM_101_SC577.fcs              0.64      1050.6       0.336</t>
  </si>
  <si>
    <t>1uM_101_SC730.fcs              0.69      1707.2       0.445</t>
  </si>
  <si>
    <t>1uM_101_SC731.fcs              0.67      2151.6       0.552</t>
  </si>
  <si>
    <t>1uM_101_SC732.fcs              0.59      2964.2       0.589</t>
  </si>
  <si>
    <t>1uM_101_SC733.fcs              0.71      2565.4       0.522</t>
  </si>
  <si>
    <t>1uM_101_SC745.fcs              0.74      1083.8       0.321</t>
  </si>
  <si>
    <t>1uM_101_SC750.fcs              0.65       886.7       0.267</t>
  </si>
  <si>
    <t>1uM_101_SC751.fcs              0.69       729.6       0.211</t>
  </si>
  <si>
    <t>1uM_101_SC752.fcs              0.51      1429.0       0.415</t>
  </si>
  <si>
    <t>1uM_101_SC753.fcs              0.52      1106.8       0.363</t>
  </si>
  <si>
    <t>1uM_SC577.fcs                  0.63       864.9       0.205</t>
  </si>
  <si>
    <t>1uM_SC730.fcs                  0.71      1177.0       0.283</t>
  </si>
  <si>
    <t>1uM_SC731.fcs                  0.69      1556.2       0.358</t>
  </si>
  <si>
    <t>1uM_SC732.fcs                  0.61       887.6       0.224</t>
  </si>
  <si>
    <t>1uM_SC733.fcs                  0.74       669.3       0.162</t>
  </si>
  <si>
    <t>1uM_SC745.fcs                  0.71       760.4       0.190</t>
  </si>
  <si>
    <t>1uM_SC750.fcs                  0.67       711.5       0.177</t>
  </si>
  <si>
    <t>1uM_SC751.fcs                  0.68       527.5       0.136</t>
  </si>
  <si>
    <t>1uM_SC752.fcs                  0.45      1029.2       0.250</t>
  </si>
  <si>
    <t>1uM_SC753.fcs                  0.53       682.7       0.178</t>
  </si>
  <si>
    <t>medium_101_SC577.fcs           0.67      6577.0       0.865</t>
  </si>
  <si>
    <t>medium_101_SC730.fcs           0.70      7920.9       0.788</t>
  </si>
  <si>
    <t>medium_101_SC731.fcs           0.66      9383.3       0.890</t>
  </si>
  <si>
    <t>medium_101_SC732.fcs           0.57      4970.5       0.705</t>
  </si>
  <si>
    <t>medium_101_SC733.fcs           0.72      4318.7       0.647</t>
  </si>
  <si>
    <t>medium_101_SC745.fcs           0.68      5162.5       0.767</t>
  </si>
  <si>
    <t>medium_101_SC750.fcs           0.65      3584.1       0.632</t>
  </si>
  <si>
    <t>medium_101_SC751.fcs           0.63      3592.9       0.640</t>
  </si>
  <si>
    <t>medium_101_SC752.fcs           0.56      7305.9       0.866</t>
  </si>
  <si>
    <t>medium_101_SC753.fcs           0.60      7155.5       0.876</t>
  </si>
  <si>
    <t>medium_745-BFP.fcs             0.53      4416.4       0.707</t>
  </si>
  <si>
    <t>medium_SC577.fcs               0.66      5720.7       0.836</t>
  </si>
  <si>
    <t>medium_SC730.fcs               0.72      6845.5       0.759</t>
  </si>
  <si>
    <t>medium_SC731.fcs               0.70      6725.5       0.820</t>
  </si>
  <si>
    <t>medium_SC732.fcs               0.65      4462.7       0.672</t>
  </si>
  <si>
    <t>medium_SC733.fcs               0.79      4191.7       0.638</t>
  </si>
  <si>
    <t>medium_SC745.fcs               0.76      4697.8       0.723</t>
  </si>
  <si>
    <t>medium_SC750.fcs               0.70      3336.5       0.616</t>
  </si>
  <si>
    <t>medium_SC751.fcs               0.69      3227.3       0.604</t>
  </si>
  <si>
    <t>medium_SC752.fcs               0.61      6872.2       0.856</t>
  </si>
  <si>
    <t>medium_SC753.fcs               0.66      6258.2       0.856</t>
  </si>
  <si>
    <t>unst_SC577.fcs                 0.69       101.2       0.004</t>
  </si>
  <si>
    <t>unst_SC730.fcs                 0.60        94.7       0.008</t>
  </si>
  <si>
    <t>unst_SC731.fcs                 0.62       102.3       0.008</t>
  </si>
  <si>
    <t>unst_SC732.fcs                 0.54       102.6       0.009</t>
  </si>
  <si>
    <t>unst_SC733.fcs                 0.65       116.4       0.004</t>
  </si>
  <si>
    <t>unst_SC745.fcs                 0.66       163.6       0.019</t>
  </si>
  <si>
    <t>unst_SC750.fcs                 0.66       117.7       0.007</t>
  </si>
  <si>
    <t>unst_SC751.fcs                 0.70       107.5       0.006</t>
  </si>
  <si>
    <t>unst_SC752.fcs                 0.59       108.9       0.011</t>
  </si>
  <si>
    <t>unst_SC753.fcs                 0.63       125.4       0.011</t>
  </si>
  <si>
    <t>100nM_101_SC577.fcs            0.59      4917.3       0.835</t>
  </si>
  <si>
    <t>100nM_101_SC730.fcs            0.70      3642.2       0.616</t>
  </si>
  <si>
    <t>100nM_101_SC731.fcs            0.70      3691.0       0.684</t>
  </si>
  <si>
    <t>100nM_101_SC732.fcs            0.52      5062.4       0.699</t>
  </si>
  <si>
    <t>100nM_101_SC733.fcs            0.63      6584.2       0.783</t>
  </si>
  <si>
    <t>100nM_101_SC745.fcs            0.68      3783.1       0.721</t>
  </si>
  <si>
    <t>100nM_101_SC750.fcs            0.63      3269.7       0.688</t>
  </si>
  <si>
    <t>100nM_101_SC751.fcs            0.71      2710.9       0.598</t>
  </si>
  <si>
    <t>100nM_101_SC752.fcs            0.68      3962.6       0.697</t>
  </si>
  <si>
    <t>100nM_101_SC753.fcs            0.74      3670.0       0.734</t>
  </si>
  <si>
    <t>100nM_SC577.fcs                0.58      2512.1       0.672</t>
  </si>
  <si>
    <t>100nM_SC730.fcs                0.69      2045.5       0.504</t>
  </si>
  <si>
    <t>100nM_SC731.fcs                0.66      2212.3       0.571</t>
  </si>
  <si>
    <t>100nM_SC732.fcs                0.64      1685.8       0.468</t>
  </si>
  <si>
    <t>100nM_SC733.fcs                0.66      2135.8       0.575</t>
  </si>
  <si>
    <t>100nM_SC745.fcs                0.68      1924.2       0.544</t>
  </si>
  <si>
    <t>100nM_SC750.fcs                0.68      1674.0       0.490</t>
  </si>
  <si>
    <t>100nM_SC751.fcs                0.67      1397.3       0.382</t>
  </si>
  <si>
    <t>100nM_SC752.fcs                0.65      1970.5       0.543</t>
  </si>
  <si>
    <t>100nM_SC753.fcs                0.72      1730.8       0.507</t>
  </si>
  <si>
    <t>1uM_101_SC577.fcs              0.57      2153.8       0.600</t>
  </si>
  <si>
    <t>1uM_101_SC730.fcs              0.65      1644.4       0.454</t>
  </si>
  <si>
    <t>1uM_101_SC731.fcs              0.69      1911.2       0.498</t>
  </si>
  <si>
    <t>1uM_101_SC732.fcs              0.52      3969.3       0.637</t>
  </si>
  <si>
    <t>1uM_101_SC733.fcs              0.65      4792.8       0.703</t>
  </si>
  <si>
    <t>1uM_101_SC745.fcs              0.68      1824.4       0.506</t>
  </si>
  <si>
    <t>1uM_101_SC750.fcs              0.67      1532.5       0.450</t>
  </si>
  <si>
    <t>1uM_101_SC751.fcs              0.65      1284.3       0.338</t>
  </si>
  <si>
    <t>1uM_101_SC752.fcs              0.61      1947.5       0.529</t>
  </si>
  <si>
    <t>1uM_101_SC753.fcs              0.66      1706.6       0.496</t>
  </si>
  <si>
    <t>1uM_SC577.fcs                  0.58      1722.8       0.390</t>
  </si>
  <si>
    <t>1uM_SC730.fcs                  0.62      1241.1       0.299</t>
  </si>
  <si>
    <t>1uM_SC731.fcs                  0.60      1323.0       0.320</t>
  </si>
  <si>
    <t>1uM_SC732.fcs                  0.53      1204.3       0.286</t>
  </si>
  <si>
    <t>1uM_SC733.fcs                  0.62      1419.6       0.344</t>
  </si>
  <si>
    <t>1uM_SC745.fcs                  0.63      1489.9       0.328</t>
  </si>
  <si>
    <t>1uM_SC750.fcs                  0.66      1299.0       0.317</t>
  </si>
  <si>
    <t>1uM_SC751.fcs                  0.63       997.9       0.208</t>
  </si>
  <si>
    <t>1uM_SC752.fcs                  0.62      1400.0       0.313</t>
  </si>
  <si>
    <t>1uM_SC753.fcs                  0.66      1331.7       0.298</t>
  </si>
  <si>
    <t>medium_101_SC577.fcs           0.56     10849.0       0.909</t>
  </si>
  <si>
    <t>medium_101_SC730.fcs           0.69      7795.6       0.700</t>
  </si>
  <si>
    <t>medium_101_SC731.fcs           0.62      7678.7       0.747</t>
  </si>
  <si>
    <t>medium_101_SC732.fcs           0.58      6646.1       0.714</t>
  </si>
  <si>
    <t>medium_101_SC733.fcs           0.62      8662.8       0.807</t>
  </si>
  <si>
    <t>medium_101_SC745.fcs           0.65      8427.2       0.838</t>
  </si>
  <si>
    <t>medium_101_SC750.fcs           0.63      7947.1       0.806</t>
  </si>
  <si>
    <t>medium_101_SC751.fcs           0.59      6815.9       0.740</t>
  </si>
  <si>
    <t>medium_101_SC752.fcs           0.62     10009.6       0.826</t>
  </si>
  <si>
    <t>medium_101_SC753.fcs           0.64      9225.1       0.847</t>
  </si>
  <si>
    <t>medium_SC577.fcs               0.69     10717.8       0.912</t>
  </si>
  <si>
    <t>medium_SC730.fcs               0.73      7245.9       0.682</t>
  </si>
  <si>
    <t>medium_SC731.fcs               0.69      7945.7       0.761</t>
  </si>
  <si>
    <t>medium_SC732.fcs               0.53      6970.1       0.727</t>
  </si>
  <si>
    <t>medium_SC733.fcs               0.69      7070.0       0.779</t>
  </si>
  <si>
    <t>medium_SC745.fcs               0.72      8105.8       0.836</t>
  </si>
  <si>
    <t>medium_SC750.fcs               0.69      6468.6       0.774</t>
  </si>
  <si>
    <t>medium_SC751.fcs               0.69      6179.6       0.695</t>
  </si>
  <si>
    <t>medium_SC752.fcs               0.69      8297.4       0.802</t>
  </si>
  <si>
    <t>medium_SC753.fcs               0.67      8398.6       0.820</t>
  </si>
  <si>
    <t>unst_SC577.fcs                 0.60       198.5       0.026</t>
  </si>
  <si>
    <t>unst_SC730.fcs                 0.66       158.6       0.021</t>
  </si>
  <si>
    <t>unst_SC731.fcs                 0.64       190.3       0.026</t>
  </si>
  <si>
    <t>unst_SC732.fcs                 0.57       147.3       0.025</t>
  </si>
  <si>
    <t>unst_SC733.fcs                 0.64       158.6       0.021</t>
  </si>
  <si>
    <t>unst_SC745.fcs                 0.65       181.7       0.021</t>
  </si>
  <si>
    <t>unst_SC750.fcs                 0.67       197.3       0.021</t>
  </si>
  <si>
    <t>unst_SC751.fcs                 0.60       215.4       0.021</t>
  </si>
  <si>
    <t>unst_SC752.fcs                 0.59       177.2       0.019</t>
  </si>
  <si>
    <t>unst_SC753.fcs                 0.64       205.0       0.018</t>
  </si>
  <si>
    <t>100nM_101_SC577.fcs            0.63      7209.2       0.847</t>
  </si>
  <si>
    <t>100nM_101_SC730.fcs            0.64      6017.6       0.673</t>
  </si>
  <si>
    <t>100nM_101_SC731.fcs            0.67      6044.7       0.772</t>
  </si>
  <si>
    <t>100nM_101_SC732.fcs            0.58      7683.8       0.729</t>
  </si>
  <si>
    <t>100nM_101_SC733.fcs            0.68     10465.7       0.803</t>
  </si>
  <si>
    <t>100nM_101_SC745.fcs            0.63      7003.5       0.841</t>
  </si>
  <si>
    <t>100nM_101_SC750.fcs            0.55      5172.8       0.807</t>
  </si>
  <si>
    <t>100nM_101_SC751.fcs            0.54      4521.3       0.809</t>
  </si>
  <si>
    <t>100nM_101_SC752.fcs            0.57      5870.5       0.776</t>
  </si>
  <si>
    <t>100nM_101_SC753.fcs            0.68      5215.6       0.873</t>
  </si>
  <si>
    <t>100nM_SC577.fcs                0.68      4058.8       0.740</t>
  </si>
  <si>
    <t>100nM_SC730.fcs                0.70      4942.7       0.625</t>
  </si>
  <si>
    <t>100nM_SC731.fcs                0.73      4976.0       0.730</t>
  </si>
  <si>
    <t>100nM_SC732.fcs                0.66      3049.9       0.508</t>
  </si>
  <si>
    <t>100nM_SC733.fcs                0.74      4325.3       0.623</t>
  </si>
  <si>
    <t>100nM_SC745.fcs                0.71      4276.2       0.764</t>
  </si>
  <si>
    <t>100nM_SC750.fcs                0.61      3880.9       0.718</t>
  </si>
  <si>
    <t>100nM_SC751.fcs                0.64      3349.8       0.706</t>
  </si>
  <si>
    <t>100nM_SC752.fcs                0.68      4086.0       0.687</t>
  </si>
  <si>
    <t>100nM_SC753.fcs                0.69      3747.4       0.798</t>
  </si>
  <si>
    <t>1uM_101_SC577.fcs              0.61      3167.6       0.662</t>
  </si>
  <si>
    <t>1uM_101_SC730.fcs              0.65      3588.2       0.641</t>
  </si>
  <si>
    <t>1uM_101_SC731.fcs              0.63      3660.9       0.645</t>
  </si>
  <si>
    <t>1uM_101_SC732.fcs              0.55      5719.5       0.639</t>
  </si>
  <si>
    <t>1uM_101_SC733.fcs              0.69      7666.2       0.706</t>
  </si>
  <si>
    <t>1uM_101_SC745.fcs              0.63      3555.9       0.689</t>
  </si>
  <si>
    <t>1uM_101_SC750.fcs              0.57      3295.0       0.669</t>
  </si>
  <si>
    <t>1uM_101_SC751.fcs              0.54      2655.1       0.568</t>
  </si>
  <si>
    <t>1uM_101_SC752.fcs              0.55      2888.6       0.592</t>
  </si>
  <si>
    <t>1uM_101_SC753.fcs              0.67      2890.8       0.695</t>
  </si>
  <si>
    <t>1uM_SC577.fcs                  0.60      2589.8       0.496</t>
  </si>
  <si>
    <t>1uM_SC730.fcs                  0.65      2920.6       0.456</t>
  </si>
  <si>
    <t>1uM_SC731.fcs                  0.68      3363.3       0.538</t>
  </si>
  <si>
    <t>1uM_SC732.fcs                  0.58      2235.4       0.368</t>
  </si>
  <si>
    <t>1uM_SC733.fcs                  0.72      2981.2       0.440</t>
  </si>
  <si>
    <t>1uM_SC745.fcs                  0.66      3025.7       0.537</t>
  </si>
  <si>
    <t>1uM_SC750.fcs                  0.57      2937.0       0.509</t>
  </si>
  <si>
    <t>1uM_SC751.fcs                  0.62      2390.7       0.443</t>
  </si>
  <si>
    <t>1uM_SC752.fcs                  0.60      2764.2       0.489</t>
  </si>
  <si>
    <t>1uM_SC753.fcs                  0.70      2631.8       0.530</t>
  </si>
  <si>
    <t>medium_101_SC577.fcs           0.63     15106.8       0.899</t>
  </si>
  <si>
    <t>medium_101_SC730.fcs           0.64     12650.5       0.756</t>
  </si>
  <si>
    <t>medium_101_SC731.fcs           0.73     11914.0       0.817</t>
  </si>
  <si>
    <t>medium_101_SC732.fcs           0.64      9147.5       0.726</t>
  </si>
  <si>
    <t>medium_101_SC733.fcs           0.69     13001.3       0.786</t>
  </si>
  <si>
    <t>medium_101_SC745.fcs           0.68     15846.7       0.931</t>
  </si>
  <si>
    <t>medium_101_SC750.fcs           0.58     11562.3       0.905</t>
  </si>
  <si>
    <t>medium_101_SC751.fcs           0.65     11505.5       0.918</t>
  </si>
  <si>
    <t>medium_101_SC752.fcs           0.67     13486.8       0.891</t>
  </si>
  <si>
    <t>medium_101_SC753.fcs           0.67     15748.8       0.959</t>
  </si>
  <si>
    <t>medium_SC577.fcs               0.73     18994.5       0.900</t>
  </si>
  <si>
    <t>medium_SC730.fcs               0.73     16023.6       0.765</t>
  </si>
  <si>
    <t>medium_SC731.fcs               0.76     15631.8       0.849</t>
  </si>
  <si>
    <t>medium_SC732.fcs               0.72      9506.2       0.726</t>
  </si>
  <si>
    <t>medium_SC733.fcs               0.78     13842.0       0.796</t>
  </si>
  <si>
    <t>medium_SC745.fcs               0.74     18084.3       0.936</t>
  </si>
  <si>
    <t>medium_SC750.fcs               0.67     11999.3       0.898</t>
  </si>
  <si>
    <t>medium_SC751.fcs               0.72     11037.8       0.902</t>
  </si>
  <si>
    <t>medium_SC752.fcs               0.71     14772.7       0.893</t>
  </si>
  <si>
    <t>medium_SC753.fcs               0.72     15197.8       0.955</t>
  </si>
  <si>
    <t>unst_SC577.fcs                 0.62       162.0       0.017</t>
  </si>
  <si>
    <t>unst_SC730.fcs                 0.63        98.1       0.006</t>
  </si>
  <si>
    <t>unst_SC731.fcs                 0.70        93.8       0.004</t>
  </si>
  <si>
    <t>unst_SC732.fcs                 0.65        85.3       0.007</t>
  </si>
  <si>
    <t>unst_SC733.fcs                 0.69        90.9       0.005</t>
  </si>
  <si>
    <t>unst_SC745.fcs                 0.63       103.1       0.007</t>
  </si>
  <si>
    <t>unst_SC750.fcs                 0.58       120.8       0.010</t>
  </si>
  <si>
    <t>unst_SC751.fcs                 0.66       108.2       0.006</t>
  </si>
  <si>
    <t>unst_SC752.fcs                 0.68       110.1       0.007</t>
  </si>
  <si>
    <t>unst_SC753.fcs                 0.62       111.3       0.006</t>
  </si>
  <si>
    <t>.</t>
  </si>
  <si>
    <t>100nM_101_SC577.fcs            0.47      3597.1       0.646</t>
  </si>
  <si>
    <t>100nM_101_SC730.fcs            0.56      3159.7       0.456</t>
  </si>
  <si>
    <t>100nM_101_SC731.fcs            0.51      5342.5       0.681</t>
  </si>
  <si>
    <t>100nM_101_SC732.fcs            0.40      4647.5       0.711</t>
  </si>
  <si>
    <t>100nM_101_SC733.fcs            0.49      7765.6       0.791</t>
  </si>
  <si>
    <t>100nM_101_SC745.fcs            0.57      2724.4       0.466</t>
  </si>
  <si>
    <t>100nM_101_SC750.fcs            0.51      3815.0       0.622</t>
  </si>
  <si>
    <t>100nM_101_SC751.fcs            0.43      2388.7       0.607</t>
  </si>
  <si>
    <t>100nM_101_SC752.fcs            0.49      2212.4       0.384</t>
  </si>
  <si>
    <t>100nM_101_SC753.fcs            0.48      3280.7       0.709</t>
  </si>
  <si>
    <t>100nM_SC577.fcs                0.53      2000.2       0.532</t>
  </si>
  <si>
    <t>100nM_SC730.fcs                0.55      2224.7       0.397</t>
  </si>
  <si>
    <t>100nM_SC731.fcs                0.55      3065.7       0.588</t>
  </si>
  <si>
    <t>100nM_SC732.fcs                0.45      1707.1       0.411</t>
  </si>
  <si>
    <t>100nM_SC733.fcs                0.61      2743.8       0.565</t>
  </si>
  <si>
    <t>100nM_SC745.fcs                0.60      1505.4       0.357</t>
  </si>
  <si>
    <t>100nM_SC750.fcs                0.50      2216.0       0.516</t>
  </si>
  <si>
    <t>100nM_SC751.fcs                0.48      1561.6       0.465</t>
  </si>
  <si>
    <t>100nM_SC752.fcs                0.50      1382.0       0.319</t>
  </si>
  <si>
    <t>100nM_SC753.fcs                0.49      2239.5       0.615</t>
  </si>
  <si>
    <t>1uM_101_SC577.fcs              0.48      1428.2       0.410</t>
  </si>
  <si>
    <t>1uM_101_SC730.fcs              0.54      1412.4       0.313</t>
  </si>
  <si>
    <t>1uM_101_SC731.fcs              0.50      2061.1       0.485</t>
  </si>
  <si>
    <t>1uM_101_SC732.fcs              0.36      3346.0       0.624</t>
  </si>
  <si>
    <t>1uM_101_SC733.fcs              0.50      5540.7       0.717</t>
  </si>
  <si>
    <t>1uM_101_SC745.fcs              0.62      1057.7       0.272</t>
  </si>
  <si>
    <t>1uM_101_SC750.fcs              0.51      1781.0       0.458</t>
  </si>
  <si>
    <t>1uM_101_SC751.fcs              0.48      1108.1       0.279</t>
  </si>
  <si>
    <t>1uM_101_SC752.fcs              0.48      1184.1       0.357</t>
  </si>
  <si>
    <t>1uM_101_SC753.fcs              0.51      1558.1       0.516</t>
  </si>
  <si>
    <t>1uM_SC577.fcs                  0.52      1343.2       0.294</t>
  </si>
  <si>
    <t>1uM_SC730.fcs                  0.56      1299.5       0.243</t>
  </si>
  <si>
    <t>1uM_SC731.fcs                  0.52      1381.6       0.330</t>
  </si>
  <si>
    <t>1uM_SC732.fcs                  0.47       811.6       0.162</t>
  </si>
  <si>
    <t>1uM_SC733.fcs                  0.57      1236.8       0.285</t>
  </si>
  <si>
    <t>1uM_SC745.fcs                  0.65       903.3       0.191</t>
  </si>
  <si>
    <t>1uM_SC750.fcs                  0.52      1406.0       0.314</t>
  </si>
  <si>
    <t>1uM_SC751.fcs                  0.52      1054.3       0.225</t>
  </si>
  <si>
    <t>1uM_SC752.fcs                  0.53       805.6       0.168</t>
  </si>
  <si>
    <t>1uM_SC753.fcs                  0.57      1331.5       0.326</t>
  </si>
  <si>
    <t>medium_101_SC577.fcs           0.56      9618.4       0.819</t>
  </si>
  <si>
    <t>medium_101_SC730.fcs           0.61      7569.5       0.610</t>
  </si>
  <si>
    <t>medium_101_SC731.fcs           0.67     12419.5       0.873</t>
  </si>
  <si>
    <t>medium_101_SC732.fcs           0.55      7164.8       0.812</t>
  </si>
  <si>
    <t>medium_101_SC733.fcs           0.64     11651.6       0.836</t>
  </si>
  <si>
    <t>medium_101_SC745.fcs           0.71      7447.4       0.660</t>
  </si>
  <si>
    <t>medium_101_SC750.fcs           0.67     10453.7       0.843</t>
  </si>
  <si>
    <t>medium_101_SC751.fcs           0.62      7826.1       0.845</t>
  </si>
  <si>
    <t>medium_101_SC752.fcs           0.60      7087.7       0.775</t>
  </si>
  <si>
    <t>medium_101_SC753.fcs           0.61     10553.4       0.903</t>
  </si>
  <si>
    <t>medium_SC577.fcs               0.60     10766.1       0.836</t>
  </si>
  <si>
    <t>medium_SC730.fcs               0.69      9694.2       0.650</t>
  </si>
  <si>
    <t>medium_SC731.fcs               0.70     11818.8       0.866</t>
  </si>
  <si>
    <t>medium_SC732.fcs               0.60      6620.4       0.794</t>
  </si>
  <si>
    <t>medium_SC733.fcs               0.70     10393.8       0.818</t>
  </si>
  <si>
    <t>medium_SC745.fcs               0.74      8157.0       0.679</t>
  </si>
  <si>
    <t>medium_SC750.fcs               0.67     10011.0       0.837</t>
  </si>
  <si>
    <t>medium_SC751.fcs               0.61      7798.6       0.836</t>
  </si>
  <si>
    <t>medium_SC752.fcs               0.63      6681.0       0.766</t>
  </si>
  <si>
    <t>medium_SC753.fcs               0.63     10983.1       0.905</t>
  </si>
  <si>
    <t>unst_SC577.fcs                 0.69       112.8       0.000</t>
  </si>
  <si>
    <t>unst_SC730.fcs                 0.55        89.6       0.001</t>
  </si>
  <si>
    <t>unst_SC731.fcs                 0.55        83.1       0.001</t>
  </si>
  <si>
    <t>unst_SC732.fcs                 0.43        66.8       0.002</t>
  </si>
  <si>
    <t>unst_SC733.fcs                 0.55        77.0       0.001</t>
  </si>
  <si>
    <t>unst_SC745.fcs                 0.60        83.1       0.001</t>
  </si>
  <si>
    <t>unst_SC750.fcs                 0.54        88.2       0.001</t>
  </si>
  <si>
    <t>unst_SC751.fcs                 0.47       109.4       0.000</t>
  </si>
  <si>
    <t>unst_SC752.fcs                 0.47        79.7       0.001</t>
  </si>
  <si>
    <t>unst_SC753.fcs                 0.49       102.7      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</si>
</sst>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A709F5"/>
      <name val="Consolas"/>
      <family val="3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vertical="center"/>
    </xf>
    <xf numFmtId="1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A182-7731-470D-A6A7-343B1FF303DB}">
  <dimension ref="A1:R77"/>
  <sheetViews>
    <sheetView workbookViewId="0">
      <selection activeCell="M2" sqref="M2:R58"/>
    </sheetView>
  </sheetViews>
  <sheetFormatPr defaultRowHeight="15" x14ac:dyDescent="0.25"/>
  <cols>
    <col min="1" max="1" width="46.85546875" bestFit="1" customWidth="1"/>
    <col min="4" max="4" width="29" bestFit="1" customWidth="1"/>
    <col min="5" max="5" width="23.5703125" bestFit="1" customWidth="1"/>
    <col min="7" max="7" width="12" customWidth="1"/>
    <col min="8" max="8" width="11.5703125" customWidth="1"/>
    <col min="9" max="9" width="12.5703125" customWidth="1"/>
    <col min="10" max="10" width="9.140625" customWidth="1"/>
    <col min="14" max="14" width="10.85546875" bestFit="1" customWidth="1"/>
  </cols>
  <sheetData>
    <row r="1" spans="1:18" x14ac:dyDescent="0.25">
      <c r="A1" s="1" t="s">
        <v>73</v>
      </c>
    </row>
    <row r="4" spans="1:18" x14ac:dyDescent="0.25">
      <c r="A4" t="s">
        <v>0</v>
      </c>
      <c r="N4" s="9"/>
      <c r="O4" s="8"/>
      <c r="P4" s="8"/>
      <c r="Q4" s="8"/>
      <c r="R4" s="8"/>
    </row>
    <row r="5" spans="1:18" ht="42.75" x14ac:dyDescent="0.25">
      <c r="D5" s="2" t="s">
        <v>74</v>
      </c>
      <c r="G5" s="3" t="s">
        <v>75</v>
      </c>
      <c r="H5" s="4" t="s">
        <v>76</v>
      </c>
      <c r="I5" s="3" t="s">
        <v>77</v>
      </c>
      <c r="J5" s="3" t="s">
        <v>78</v>
      </c>
      <c r="N5" s="9"/>
    </row>
    <row r="6" spans="1:18" x14ac:dyDescent="0.25">
      <c r="A6" t="s">
        <v>1</v>
      </c>
      <c r="D6" s="5" t="s">
        <v>79</v>
      </c>
      <c r="E6" s="6" t="s">
        <v>80</v>
      </c>
      <c r="F6" t="s">
        <v>81</v>
      </c>
      <c r="G6">
        <v>55</v>
      </c>
      <c r="H6">
        <v>2909.4</v>
      </c>
      <c r="I6">
        <f>H6-G6</f>
        <v>2854.4</v>
      </c>
      <c r="J6">
        <f>(I6/2854.4)*100</f>
        <v>100</v>
      </c>
      <c r="N6" s="9"/>
    </row>
    <row r="7" spans="1:18" x14ac:dyDescent="0.25">
      <c r="A7" t="s">
        <v>2</v>
      </c>
      <c r="F7" t="s">
        <v>82</v>
      </c>
      <c r="G7">
        <v>55</v>
      </c>
      <c r="H7">
        <v>463.4</v>
      </c>
      <c r="I7">
        <f t="shared" ref="I7:I35" si="0">H7-G7</f>
        <v>408.4</v>
      </c>
      <c r="J7">
        <f t="shared" ref="J7:J8" si="1">(I7/2854.4)*100</f>
        <v>14.307735426008966</v>
      </c>
      <c r="N7" s="6"/>
    </row>
    <row r="8" spans="1:18" x14ac:dyDescent="0.25">
      <c r="A8" t="s">
        <v>3</v>
      </c>
      <c r="F8" t="s">
        <v>89</v>
      </c>
      <c r="G8">
        <v>55</v>
      </c>
      <c r="H8">
        <v>225.3</v>
      </c>
      <c r="I8">
        <f t="shared" si="0"/>
        <v>170.3</v>
      </c>
      <c r="J8">
        <f t="shared" si="1"/>
        <v>5.9662275784753369</v>
      </c>
      <c r="N8" s="6"/>
    </row>
    <row r="9" spans="1:18" x14ac:dyDescent="0.25">
      <c r="A9" t="s">
        <v>4</v>
      </c>
      <c r="D9" s="5" t="s">
        <v>83</v>
      </c>
      <c r="E9" s="6" t="s">
        <v>84</v>
      </c>
      <c r="F9" t="s">
        <v>81</v>
      </c>
      <c r="G9">
        <v>64</v>
      </c>
      <c r="H9">
        <v>4386.6000000000004</v>
      </c>
      <c r="I9">
        <f t="shared" si="0"/>
        <v>4322.6000000000004</v>
      </c>
      <c r="J9">
        <f>(I9/4322.6)*100</f>
        <v>100</v>
      </c>
      <c r="N9" s="6"/>
    </row>
    <row r="10" spans="1:18" x14ac:dyDescent="0.25">
      <c r="A10" t="s">
        <v>5</v>
      </c>
      <c r="F10" t="s">
        <v>82</v>
      </c>
      <c r="G10">
        <v>64</v>
      </c>
      <c r="H10">
        <v>615.70000000000005</v>
      </c>
      <c r="I10">
        <f t="shared" si="0"/>
        <v>551.70000000000005</v>
      </c>
      <c r="J10">
        <f t="shared" ref="J10:J11" si="2">(I10/4322.6)*100</f>
        <v>12.763151806782954</v>
      </c>
      <c r="N10" s="6"/>
    </row>
    <row r="11" spans="1:18" x14ac:dyDescent="0.25">
      <c r="A11" t="s">
        <v>6</v>
      </c>
      <c r="F11" t="s">
        <v>89</v>
      </c>
      <c r="G11">
        <v>64</v>
      </c>
      <c r="H11">
        <v>298.2</v>
      </c>
      <c r="I11">
        <f t="shared" si="0"/>
        <v>234.2</v>
      </c>
      <c r="J11">
        <f t="shared" si="2"/>
        <v>5.41803544163235</v>
      </c>
      <c r="N11" s="6"/>
    </row>
    <row r="12" spans="1:18" x14ac:dyDescent="0.25">
      <c r="A12" t="s">
        <v>7</v>
      </c>
      <c r="D12" s="5" t="s">
        <v>90</v>
      </c>
      <c r="E12" s="6" t="s">
        <v>91</v>
      </c>
      <c r="F12" t="s">
        <v>81</v>
      </c>
      <c r="G12">
        <v>56.3</v>
      </c>
      <c r="H12">
        <v>3177</v>
      </c>
      <c r="I12">
        <f t="shared" si="0"/>
        <v>3120.7</v>
      </c>
      <c r="J12">
        <f>(I12/3120.7)*100</f>
        <v>100</v>
      </c>
      <c r="N12" s="6"/>
    </row>
    <row r="13" spans="1:18" x14ac:dyDescent="0.25">
      <c r="A13" t="s">
        <v>8</v>
      </c>
      <c r="F13" t="s">
        <v>82</v>
      </c>
      <c r="G13">
        <v>56.3</v>
      </c>
      <c r="H13">
        <v>620.79999999999995</v>
      </c>
      <c r="I13">
        <f t="shared" si="0"/>
        <v>564.5</v>
      </c>
      <c r="J13">
        <f t="shared" ref="J13:J14" si="3">(I13/3120.7)*100</f>
        <v>18.088890313070785</v>
      </c>
      <c r="N13" s="6"/>
    </row>
    <row r="14" spans="1:18" x14ac:dyDescent="0.25">
      <c r="A14" t="s">
        <v>9</v>
      </c>
      <c r="F14" t="s">
        <v>89</v>
      </c>
      <c r="G14">
        <v>56.3</v>
      </c>
      <c r="H14">
        <v>234.2</v>
      </c>
      <c r="I14">
        <f t="shared" si="0"/>
        <v>177.89999999999998</v>
      </c>
      <c r="J14">
        <f t="shared" si="3"/>
        <v>5.700644086262697</v>
      </c>
      <c r="N14" s="6"/>
    </row>
    <row r="15" spans="1:18" x14ac:dyDescent="0.25">
      <c r="A15" t="s">
        <v>10</v>
      </c>
      <c r="D15" s="5" t="s">
        <v>85</v>
      </c>
      <c r="E15" s="6" t="s">
        <v>86</v>
      </c>
      <c r="F15" t="s">
        <v>81</v>
      </c>
      <c r="G15">
        <v>56.3</v>
      </c>
      <c r="H15">
        <v>3283.2</v>
      </c>
      <c r="I15">
        <f t="shared" si="0"/>
        <v>3226.8999999999996</v>
      </c>
      <c r="J15">
        <f>(I15/3226.9)*100</f>
        <v>99.999999999999986</v>
      </c>
      <c r="N15" s="9"/>
    </row>
    <row r="16" spans="1:18" x14ac:dyDescent="0.25">
      <c r="A16" t="s">
        <v>11</v>
      </c>
      <c r="F16" t="s">
        <v>82</v>
      </c>
      <c r="G16">
        <v>56.3</v>
      </c>
      <c r="H16">
        <v>606.70000000000005</v>
      </c>
      <c r="I16">
        <f t="shared" si="0"/>
        <v>550.40000000000009</v>
      </c>
      <c r="J16">
        <f t="shared" ref="J16:J17" si="4">(I16/3226.9)*100</f>
        <v>17.056617806563576</v>
      </c>
      <c r="N16" s="9"/>
    </row>
    <row r="17" spans="1:14" x14ac:dyDescent="0.25">
      <c r="A17" t="s">
        <v>12</v>
      </c>
      <c r="F17" t="s">
        <v>89</v>
      </c>
      <c r="G17">
        <v>56.3</v>
      </c>
      <c r="H17">
        <v>259.8</v>
      </c>
      <c r="I17">
        <f t="shared" si="0"/>
        <v>203.5</v>
      </c>
      <c r="J17">
        <f t="shared" si="4"/>
        <v>6.3063621432334429</v>
      </c>
      <c r="N17" s="6"/>
    </row>
    <row r="18" spans="1:14" x14ac:dyDescent="0.25">
      <c r="A18" t="s">
        <v>13</v>
      </c>
      <c r="D18" s="5" t="s">
        <v>87</v>
      </c>
      <c r="E18" s="6" t="s">
        <v>88</v>
      </c>
      <c r="F18" t="s">
        <v>81</v>
      </c>
      <c r="G18">
        <v>49.9</v>
      </c>
      <c r="H18">
        <v>1852.8</v>
      </c>
      <c r="I18">
        <f t="shared" si="0"/>
        <v>1802.8999999999999</v>
      </c>
      <c r="J18">
        <f>(I18/1802.9)*100</f>
        <v>99.999999999999986</v>
      </c>
      <c r="N18" s="6"/>
    </row>
    <row r="19" spans="1:14" x14ac:dyDescent="0.25">
      <c r="A19" t="s">
        <v>14</v>
      </c>
      <c r="F19" t="s">
        <v>82</v>
      </c>
      <c r="G19">
        <v>49.9</v>
      </c>
      <c r="H19">
        <v>442.9</v>
      </c>
      <c r="I19">
        <f t="shared" si="0"/>
        <v>393</v>
      </c>
      <c r="J19">
        <f t="shared" ref="J19:J20" si="5">(I19/1802.9)*100</f>
        <v>21.798213988573963</v>
      </c>
      <c r="N19" s="6"/>
    </row>
    <row r="20" spans="1:14" x14ac:dyDescent="0.25">
      <c r="A20" t="s">
        <v>15</v>
      </c>
      <c r="F20" t="s">
        <v>89</v>
      </c>
      <c r="G20">
        <v>49.9</v>
      </c>
      <c r="H20">
        <v>207.4</v>
      </c>
      <c r="I20">
        <f t="shared" si="0"/>
        <v>157.5</v>
      </c>
      <c r="J20">
        <f t="shared" si="5"/>
        <v>8.7359254534361295</v>
      </c>
      <c r="N20" s="6"/>
    </row>
    <row r="21" spans="1:14" x14ac:dyDescent="0.25">
      <c r="A21" t="s">
        <v>16</v>
      </c>
      <c r="D21" s="5" t="s">
        <v>92</v>
      </c>
      <c r="E21" s="6" t="s">
        <v>93</v>
      </c>
      <c r="F21" t="s">
        <v>81</v>
      </c>
      <c r="G21">
        <v>60.2</v>
      </c>
      <c r="H21">
        <v>3911.7</v>
      </c>
      <c r="I21">
        <f t="shared" si="0"/>
        <v>3851.5</v>
      </c>
      <c r="J21">
        <f>(I21/3851.5)*100</f>
        <v>100</v>
      </c>
      <c r="N21" s="6"/>
    </row>
    <row r="22" spans="1:14" x14ac:dyDescent="0.25">
      <c r="A22" t="s">
        <v>17</v>
      </c>
      <c r="F22" t="s">
        <v>82</v>
      </c>
      <c r="G22">
        <v>60.2</v>
      </c>
      <c r="H22">
        <v>719.4</v>
      </c>
      <c r="I22">
        <f t="shared" si="0"/>
        <v>659.19999999999993</v>
      </c>
      <c r="J22">
        <f t="shared" ref="J22:J23" si="6">(I22/3851.5)*100</f>
        <v>17.115409580682851</v>
      </c>
      <c r="N22" s="6"/>
    </row>
    <row r="23" spans="1:14" x14ac:dyDescent="0.25">
      <c r="A23" t="s">
        <v>18</v>
      </c>
      <c r="F23" t="s">
        <v>89</v>
      </c>
      <c r="G23">
        <v>60.2</v>
      </c>
      <c r="H23">
        <v>314.89999999999998</v>
      </c>
      <c r="I23">
        <f t="shared" si="0"/>
        <v>254.7</v>
      </c>
      <c r="J23">
        <f t="shared" si="6"/>
        <v>6.6130079189925999</v>
      </c>
      <c r="N23" s="6"/>
    </row>
    <row r="24" spans="1:14" x14ac:dyDescent="0.25">
      <c r="A24" t="s">
        <v>19</v>
      </c>
      <c r="D24" s="5" t="s">
        <v>94</v>
      </c>
      <c r="E24" s="6" t="s">
        <v>95</v>
      </c>
      <c r="F24" t="s">
        <v>81</v>
      </c>
      <c r="G24">
        <v>57.6</v>
      </c>
      <c r="H24">
        <v>2663.7</v>
      </c>
      <c r="I24">
        <f t="shared" si="0"/>
        <v>2606.1</v>
      </c>
      <c r="J24">
        <f>(I24/2606.1)*100</f>
        <v>100</v>
      </c>
      <c r="N24" s="6"/>
    </row>
    <row r="25" spans="1:14" x14ac:dyDescent="0.25">
      <c r="A25" t="s">
        <v>20</v>
      </c>
      <c r="F25" t="s">
        <v>82</v>
      </c>
      <c r="G25">
        <v>57.6</v>
      </c>
      <c r="H25">
        <v>501.8</v>
      </c>
      <c r="I25">
        <f t="shared" si="0"/>
        <v>444.2</v>
      </c>
      <c r="J25">
        <f t="shared" ref="J25:J26" si="7">(I25/2606.1)*100</f>
        <v>17.044626069605926</v>
      </c>
      <c r="N25" s="9"/>
    </row>
    <row r="26" spans="1:14" x14ac:dyDescent="0.25">
      <c r="A26" t="s">
        <v>21</v>
      </c>
      <c r="F26" t="s">
        <v>89</v>
      </c>
      <c r="G26">
        <v>57.6</v>
      </c>
      <c r="H26">
        <v>372.5</v>
      </c>
      <c r="I26">
        <f t="shared" si="0"/>
        <v>314.89999999999998</v>
      </c>
      <c r="J26">
        <f t="shared" si="7"/>
        <v>12.083189440159625</v>
      </c>
      <c r="N26" s="9"/>
    </row>
    <row r="27" spans="1:14" x14ac:dyDescent="0.25">
      <c r="A27" t="s">
        <v>22</v>
      </c>
      <c r="D27" s="5" t="s">
        <v>97</v>
      </c>
      <c r="E27" s="6" t="s">
        <v>96</v>
      </c>
      <c r="F27" t="s">
        <v>81</v>
      </c>
      <c r="G27">
        <v>64</v>
      </c>
      <c r="H27">
        <v>2113.3000000000002</v>
      </c>
      <c r="I27">
        <f t="shared" si="0"/>
        <v>2049.3000000000002</v>
      </c>
      <c r="J27">
        <f>(I27/2049.3)*100</f>
        <v>100</v>
      </c>
      <c r="N27" s="9"/>
    </row>
    <row r="28" spans="1:14" x14ac:dyDescent="0.25">
      <c r="A28" t="s">
        <v>23</v>
      </c>
      <c r="F28" t="s">
        <v>82</v>
      </c>
      <c r="G28">
        <v>64</v>
      </c>
      <c r="H28">
        <v>372.5</v>
      </c>
      <c r="I28">
        <f t="shared" si="0"/>
        <v>308.5</v>
      </c>
      <c r="J28">
        <f t="shared" ref="J28:J29" si="8">(I28/2049.3)*100</f>
        <v>15.053920851022298</v>
      </c>
      <c r="N28" s="6"/>
    </row>
    <row r="29" spans="1:14" x14ac:dyDescent="0.25">
      <c r="A29" t="s">
        <v>24</v>
      </c>
      <c r="F29" t="s">
        <v>89</v>
      </c>
      <c r="G29">
        <v>64</v>
      </c>
      <c r="H29">
        <v>307.2</v>
      </c>
      <c r="I29">
        <f t="shared" si="0"/>
        <v>243.2</v>
      </c>
      <c r="J29">
        <f t="shared" si="8"/>
        <v>11.867466939930708</v>
      </c>
      <c r="N29" s="6"/>
    </row>
    <row r="30" spans="1:14" x14ac:dyDescent="0.25">
      <c r="A30" t="s">
        <v>25</v>
      </c>
      <c r="D30" s="5" t="s">
        <v>98</v>
      </c>
      <c r="E30" s="6" t="s">
        <v>99</v>
      </c>
      <c r="F30" t="s">
        <v>81</v>
      </c>
      <c r="G30">
        <v>64</v>
      </c>
      <c r="H30">
        <v>3925.1</v>
      </c>
      <c r="I30">
        <f t="shared" si="0"/>
        <v>3861.1</v>
      </c>
      <c r="J30">
        <f>(I30/3861.1)*100</f>
        <v>100</v>
      </c>
      <c r="N30" s="6"/>
    </row>
    <row r="31" spans="1:14" x14ac:dyDescent="0.25">
      <c r="A31" t="s">
        <v>26</v>
      </c>
      <c r="F31" t="s">
        <v>82</v>
      </c>
      <c r="G31">
        <v>64</v>
      </c>
      <c r="H31">
        <v>588.20000000000005</v>
      </c>
      <c r="I31">
        <f t="shared" si="0"/>
        <v>524.20000000000005</v>
      </c>
      <c r="J31">
        <f t="shared" ref="J31:J32" si="9">(I31/3861.1)*100</f>
        <v>13.57644194659553</v>
      </c>
      <c r="N31" s="6"/>
    </row>
    <row r="32" spans="1:14" x14ac:dyDescent="0.25">
      <c r="A32" t="s">
        <v>27</v>
      </c>
      <c r="F32" t="s">
        <v>89</v>
      </c>
      <c r="G32">
        <v>64</v>
      </c>
      <c r="H32">
        <v>485.1</v>
      </c>
      <c r="I32">
        <f t="shared" si="0"/>
        <v>421.1</v>
      </c>
      <c r="J32">
        <f t="shared" si="9"/>
        <v>10.906218435160966</v>
      </c>
      <c r="N32" s="6"/>
    </row>
    <row r="33" spans="1:14" x14ac:dyDescent="0.25">
      <c r="A33" t="s">
        <v>28</v>
      </c>
      <c r="D33" s="5" t="s">
        <v>100</v>
      </c>
      <c r="E33" s="6" t="s">
        <v>101</v>
      </c>
      <c r="F33" t="s">
        <v>81</v>
      </c>
      <c r="G33">
        <v>61.4</v>
      </c>
      <c r="H33">
        <v>3593</v>
      </c>
      <c r="I33">
        <f t="shared" si="0"/>
        <v>3531.6</v>
      </c>
      <c r="J33">
        <f>(I33/3531.6)*100</f>
        <v>100</v>
      </c>
      <c r="N33" s="6"/>
    </row>
    <row r="34" spans="1:14" x14ac:dyDescent="0.25">
      <c r="A34" t="s">
        <v>29</v>
      </c>
      <c r="F34" t="s">
        <v>82</v>
      </c>
      <c r="G34">
        <v>61.4</v>
      </c>
      <c r="H34">
        <v>468.5</v>
      </c>
      <c r="I34">
        <f t="shared" si="0"/>
        <v>407.1</v>
      </c>
      <c r="J34">
        <f t="shared" ref="J34:J35" si="10">(I34/3531.6)*100</f>
        <v>11.527353041114511</v>
      </c>
      <c r="N34" s="6"/>
    </row>
    <row r="35" spans="1:14" x14ac:dyDescent="0.25">
      <c r="A35" t="s">
        <v>30</v>
      </c>
      <c r="F35" t="s">
        <v>89</v>
      </c>
      <c r="G35">
        <v>61.4</v>
      </c>
      <c r="H35">
        <v>378.9</v>
      </c>
      <c r="I35">
        <f t="shared" si="0"/>
        <v>317.5</v>
      </c>
      <c r="J35">
        <f t="shared" si="10"/>
        <v>8.9902593725223703</v>
      </c>
      <c r="N35" s="6"/>
    </row>
    <row r="36" spans="1:14" x14ac:dyDescent="0.25">
      <c r="A36" t="s">
        <v>31</v>
      </c>
      <c r="N36" s="9"/>
    </row>
    <row r="37" spans="1:14" x14ac:dyDescent="0.25">
      <c r="A37" t="s">
        <v>32</v>
      </c>
      <c r="D37" s="2" t="s">
        <v>74</v>
      </c>
      <c r="E37" t="s">
        <v>102</v>
      </c>
      <c r="N37" s="9"/>
    </row>
    <row r="38" spans="1:14" x14ac:dyDescent="0.25">
      <c r="A38" t="s">
        <v>33</v>
      </c>
      <c r="D38" s="5" t="s">
        <v>79</v>
      </c>
      <c r="E38" s="6" t="s">
        <v>80</v>
      </c>
      <c r="F38" t="s">
        <v>81</v>
      </c>
      <c r="G38">
        <v>55</v>
      </c>
      <c r="H38">
        <v>2864.6</v>
      </c>
      <c r="I38">
        <f t="shared" ref="I38:I67" si="11">H38-G38</f>
        <v>2809.6</v>
      </c>
      <c r="J38">
        <f>(I38/2809.6)*100</f>
        <v>100</v>
      </c>
      <c r="N38" s="6"/>
    </row>
    <row r="39" spans="1:14" x14ac:dyDescent="0.25">
      <c r="A39" t="s">
        <v>34</v>
      </c>
      <c r="F39" t="s">
        <v>82</v>
      </c>
      <c r="G39">
        <v>55</v>
      </c>
      <c r="H39">
        <v>738.6</v>
      </c>
      <c r="I39">
        <f t="shared" si="11"/>
        <v>683.6</v>
      </c>
      <c r="J39">
        <f t="shared" ref="J39:J40" si="12">(I39/2809.6)*100</f>
        <v>24.33086560364465</v>
      </c>
      <c r="N39" s="6"/>
    </row>
    <row r="40" spans="1:14" x14ac:dyDescent="0.25">
      <c r="A40" t="s">
        <v>35</v>
      </c>
      <c r="F40" t="s">
        <v>89</v>
      </c>
      <c r="G40">
        <v>55</v>
      </c>
      <c r="H40">
        <v>276.5</v>
      </c>
      <c r="I40">
        <f t="shared" si="11"/>
        <v>221.5</v>
      </c>
      <c r="J40">
        <f t="shared" si="12"/>
        <v>7.8836845102505704</v>
      </c>
      <c r="N40" s="6"/>
    </row>
    <row r="41" spans="1:14" x14ac:dyDescent="0.25">
      <c r="A41" t="s">
        <v>36</v>
      </c>
      <c r="D41" s="5" t="s">
        <v>83</v>
      </c>
      <c r="E41" s="6" t="s">
        <v>84</v>
      </c>
      <c r="F41" t="s">
        <v>81</v>
      </c>
      <c r="G41">
        <v>64</v>
      </c>
      <c r="H41">
        <v>4363.5</v>
      </c>
      <c r="I41">
        <f t="shared" si="11"/>
        <v>4299.5</v>
      </c>
      <c r="J41">
        <f>(I41/4299.5)*100</f>
        <v>100</v>
      </c>
      <c r="N41" s="6"/>
    </row>
    <row r="42" spans="1:14" x14ac:dyDescent="0.25">
      <c r="A42" t="s">
        <v>37</v>
      </c>
      <c r="F42" t="s">
        <v>82</v>
      </c>
      <c r="G42">
        <v>64</v>
      </c>
      <c r="H42">
        <v>974.1</v>
      </c>
      <c r="I42">
        <f t="shared" si="11"/>
        <v>910.1</v>
      </c>
      <c r="J42">
        <f t="shared" ref="J42:J43" si="13">(I42/4299.5)*100</f>
        <v>21.167577625305267</v>
      </c>
      <c r="N42" s="6"/>
    </row>
    <row r="43" spans="1:14" x14ac:dyDescent="0.25">
      <c r="A43" t="s">
        <v>38</v>
      </c>
      <c r="F43" t="s">
        <v>89</v>
      </c>
      <c r="G43">
        <v>64</v>
      </c>
      <c r="H43">
        <v>407</v>
      </c>
      <c r="I43">
        <f t="shared" si="11"/>
        <v>343</v>
      </c>
      <c r="J43">
        <f t="shared" si="13"/>
        <v>7.9776718223049183</v>
      </c>
      <c r="N43" s="6"/>
    </row>
    <row r="44" spans="1:14" x14ac:dyDescent="0.25">
      <c r="A44" t="s">
        <v>39</v>
      </c>
      <c r="D44" s="5" t="s">
        <v>90</v>
      </c>
      <c r="E44" s="6" t="s">
        <v>91</v>
      </c>
      <c r="F44" t="s">
        <v>81</v>
      </c>
      <c r="G44">
        <v>56.3</v>
      </c>
      <c r="H44">
        <v>3227.5</v>
      </c>
      <c r="I44">
        <f t="shared" si="11"/>
        <v>3171.2</v>
      </c>
      <c r="J44">
        <f>(I44/3171.2)*100</f>
        <v>100</v>
      </c>
      <c r="N44" s="6"/>
    </row>
    <row r="45" spans="1:14" x14ac:dyDescent="0.25">
      <c r="A45" t="s">
        <v>40</v>
      </c>
      <c r="F45" t="s">
        <v>82</v>
      </c>
      <c r="G45">
        <v>56.3</v>
      </c>
      <c r="H45">
        <v>617</v>
      </c>
      <c r="I45">
        <f t="shared" si="11"/>
        <v>560.70000000000005</v>
      </c>
      <c r="J45">
        <f t="shared" ref="J45:J46" si="14">(I45/3171.2)*100</f>
        <v>17.681004036326943</v>
      </c>
      <c r="N45" s="6"/>
    </row>
    <row r="46" spans="1:14" x14ac:dyDescent="0.25">
      <c r="A46" t="s">
        <v>41</v>
      </c>
      <c r="F46" t="s">
        <v>89</v>
      </c>
      <c r="G46">
        <v>56.3</v>
      </c>
      <c r="H46">
        <v>334.1</v>
      </c>
      <c r="I46">
        <f t="shared" si="11"/>
        <v>277.8</v>
      </c>
      <c r="J46">
        <f t="shared" si="14"/>
        <v>8.7600908173562075</v>
      </c>
    </row>
    <row r="47" spans="1:14" x14ac:dyDescent="0.25">
      <c r="A47" t="s">
        <v>42</v>
      </c>
      <c r="D47" s="5" t="s">
        <v>85</v>
      </c>
      <c r="E47" s="6" t="s">
        <v>86</v>
      </c>
      <c r="F47" t="s">
        <v>81</v>
      </c>
      <c r="G47">
        <v>56.3</v>
      </c>
      <c r="H47">
        <v>3274.2</v>
      </c>
      <c r="I47">
        <f t="shared" si="11"/>
        <v>3217.8999999999996</v>
      </c>
      <c r="J47">
        <f>(I47/3217.9)*100</f>
        <v>99.999999999999986</v>
      </c>
    </row>
    <row r="48" spans="1:14" x14ac:dyDescent="0.25">
      <c r="A48" t="s">
        <v>43</v>
      </c>
      <c r="F48" t="s">
        <v>82</v>
      </c>
      <c r="G48">
        <v>56.3</v>
      </c>
      <c r="H48">
        <v>916.5</v>
      </c>
      <c r="I48">
        <f t="shared" si="11"/>
        <v>860.2</v>
      </c>
      <c r="J48">
        <f t="shared" ref="J48:J49" si="15">(I48/3217.9)*100</f>
        <v>26.73171944435812</v>
      </c>
    </row>
    <row r="49" spans="1:10" x14ac:dyDescent="0.25">
      <c r="A49" t="s">
        <v>44</v>
      </c>
      <c r="F49" t="s">
        <v>89</v>
      </c>
      <c r="G49">
        <v>56.3</v>
      </c>
      <c r="H49">
        <v>384</v>
      </c>
      <c r="I49">
        <f t="shared" si="11"/>
        <v>327.7</v>
      </c>
      <c r="J49">
        <f t="shared" si="15"/>
        <v>10.183660151030175</v>
      </c>
    </row>
    <row r="50" spans="1:10" x14ac:dyDescent="0.25">
      <c r="A50" t="s">
        <v>45</v>
      </c>
      <c r="D50" s="5" t="s">
        <v>87</v>
      </c>
      <c r="E50" s="6" t="s">
        <v>88</v>
      </c>
      <c r="F50" t="s">
        <v>81</v>
      </c>
      <c r="G50">
        <v>49.9</v>
      </c>
      <c r="H50">
        <v>2193.9</v>
      </c>
      <c r="I50">
        <f t="shared" si="11"/>
        <v>2144</v>
      </c>
      <c r="J50">
        <f>(I50/2144)*100</f>
        <v>100</v>
      </c>
    </row>
    <row r="51" spans="1:10" x14ac:dyDescent="0.25">
      <c r="A51" t="s">
        <v>46</v>
      </c>
      <c r="F51" t="s">
        <v>82</v>
      </c>
      <c r="G51">
        <v>49.9</v>
      </c>
      <c r="H51">
        <v>1642.2</v>
      </c>
      <c r="I51">
        <f t="shared" si="11"/>
        <v>1592.3</v>
      </c>
      <c r="J51" s="7">
        <f t="shared" ref="J51:J52" si="16">(I51/2144)*100</f>
        <v>74.267723880597018</v>
      </c>
    </row>
    <row r="52" spans="1:10" x14ac:dyDescent="0.25">
      <c r="A52" t="s">
        <v>47</v>
      </c>
      <c r="F52" t="s">
        <v>89</v>
      </c>
      <c r="G52">
        <v>49.9</v>
      </c>
      <c r="H52">
        <v>1326.1</v>
      </c>
      <c r="I52">
        <f t="shared" si="11"/>
        <v>1276.1999999999998</v>
      </c>
      <c r="J52" s="7">
        <f t="shared" si="16"/>
        <v>59.524253731343279</v>
      </c>
    </row>
    <row r="53" spans="1:10" x14ac:dyDescent="0.25">
      <c r="A53" t="s">
        <v>48</v>
      </c>
      <c r="D53" s="5" t="s">
        <v>92</v>
      </c>
      <c r="E53" s="6" t="s">
        <v>93</v>
      </c>
      <c r="F53" t="s">
        <v>81</v>
      </c>
      <c r="G53">
        <v>60.2</v>
      </c>
      <c r="H53">
        <v>4211.2</v>
      </c>
      <c r="I53">
        <f t="shared" si="11"/>
        <v>4151</v>
      </c>
      <c r="J53">
        <f>(I53/4151)*100</f>
        <v>100</v>
      </c>
    </row>
    <row r="54" spans="1:10" x14ac:dyDescent="0.25">
      <c r="A54" t="s">
        <v>49</v>
      </c>
      <c r="F54" t="s">
        <v>82</v>
      </c>
      <c r="G54">
        <v>60.2</v>
      </c>
      <c r="H54">
        <v>2795.5</v>
      </c>
      <c r="I54">
        <f t="shared" si="11"/>
        <v>2735.3</v>
      </c>
      <c r="J54" s="7">
        <f>(I54/4151)*100</f>
        <v>65.894965068658166</v>
      </c>
    </row>
    <row r="55" spans="1:10" x14ac:dyDescent="0.25">
      <c r="A55" t="s">
        <v>50</v>
      </c>
      <c r="F55" t="s">
        <v>89</v>
      </c>
      <c r="G55">
        <v>60.2</v>
      </c>
      <c r="H55">
        <v>2028.8</v>
      </c>
      <c r="I55">
        <f t="shared" si="11"/>
        <v>1968.6</v>
      </c>
      <c r="J55" s="7">
        <f t="shared" ref="J55" si="17">(I55/4151)*100</f>
        <v>47.424716935678148</v>
      </c>
    </row>
    <row r="56" spans="1:10" x14ac:dyDescent="0.25">
      <c r="A56" t="s">
        <v>51</v>
      </c>
      <c r="D56" s="5" t="s">
        <v>94</v>
      </c>
      <c r="E56" s="6" t="s">
        <v>95</v>
      </c>
      <c r="F56" t="s">
        <v>81</v>
      </c>
      <c r="G56">
        <v>57.6</v>
      </c>
      <c r="H56">
        <v>3163.5</v>
      </c>
      <c r="I56">
        <f t="shared" si="11"/>
        <v>3105.9</v>
      </c>
      <c r="J56">
        <f>(I56/3105.9)*100</f>
        <v>100</v>
      </c>
    </row>
    <row r="57" spans="1:10" x14ac:dyDescent="0.25">
      <c r="A57" t="s">
        <v>52</v>
      </c>
      <c r="F57" t="s">
        <v>82</v>
      </c>
      <c r="G57">
        <v>57.6</v>
      </c>
      <c r="H57">
        <v>974.1</v>
      </c>
      <c r="I57">
        <f t="shared" si="11"/>
        <v>916.5</v>
      </c>
      <c r="J57">
        <f t="shared" ref="J57:J58" si="18">(I57/3105.9)*100</f>
        <v>29.508355066164395</v>
      </c>
    </row>
    <row r="58" spans="1:10" x14ac:dyDescent="0.25">
      <c r="A58" t="s">
        <v>53</v>
      </c>
      <c r="F58" t="s">
        <v>89</v>
      </c>
      <c r="G58">
        <v>57.6</v>
      </c>
      <c r="H58">
        <v>307.2</v>
      </c>
      <c r="I58">
        <f t="shared" si="11"/>
        <v>249.6</v>
      </c>
      <c r="J58">
        <f t="shared" si="18"/>
        <v>8.0363179754660479</v>
      </c>
    </row>
    <row r="59" spans="1:10" x14ac:dyDescent="0.25">
      <c r="A59" t="s">
        <v>54</v>
      </c>
      <c r="D59" s="5" t="s">
        <v>97</v>
      </c>
      <c r="E59" s="6" t="s">
        <v>96</v>
      </c>
      <c r="F59" t="s">
        <v>81</v>
      </c>
      <c r="G59">
        <v>64</v>
      </c>
      <c r="H59">
        <v>2097.3000000000002</v>
      </c>
      <c r="I59">
        <f t="shared" si="11"/>
        <v>2033.3000000000002</v>
      </c>
      <c r="J59">
        <f>(I59/2033.3)*100</f>
        <v>100.00000000000003</v>
      </c>
    </row>
    <row r="60" spans="1:10" x14ac:dyDescent="0.25">
      <c r="A60" t="s">
        <v>55</v>
      </c>
      <c r="F60" t="s">
        <v>82</v>
      </c>
      <c r="G60">
        <v>64</v>
      </c>
      <c r="H60">
        <v>718.1</v>
      </c>
      <c r="I60">
        <f t="shared" si="11"/>
        <v>654.1</v>
      </c>
      <c r="J60">
        <f t="shared" ref="J60:J61" si="19">(I60/2033.3)*100</f>
        <v>32.169379825898787</v>
      </c>
    </row>
    <row r="61" spans="1:10" x14ac:dyDescent="0.25">
      <c r="A61" t="s">
        <v>56</v>
      </c>
      <c r="F61" t="s">
        <v>89</v>
      </c>
      <c r="G61">
        <v>64</v>
      </c>
      <c r="H61">
        <v>307.2</v>
      </c>
      <c r="I61">
        <f t="shared" si="11"/>
        <v>243.2</v>
      </c>
      <c r="J61">
        <f t="shared" si="19"/>
        <v>11.960851817242906</v>
      </c>
    </row>
    <row r="62" spans="1:10" x14ac:dyDescent="0.25">
      <c r="A62" t="s">
        <v>57</v>
      </c>
      <c r="D62" s="5" t="s">
        <v>98</v>
      </c>
      <c r="E62" s="6" t="s">
        <v>99</v>
      </c>
      <c r="F62" t="s">
        <v>81</v>
      </c>
      <c r="G62">
        <v>64</v>
      </c>
      <c r="H62">
        <v>4046.1</v>
      </c>
      <c r="I62">
        <f t="shared" si="11"/>
        <v>3982.1</v>
      </c>
      <c r="J62">
        <f>(I62/3982.1)*100</f>
        <v>100</v>
      </c>
    </row>
    <row r="63" spans="1:10" x14ac:dyDescent="0.25">
      <c r="A63" t="s">
        <v>58</v>
      </c>
      <c r="F63" t="s">
        <v>82</v>
      </c>
      <c r="G63">
        <v>64</v>
      </c>
      <c r="H63">
        <v>1287.7</v>
      </c>
      <c r="I63">
        <f t="shared" si="11"/>
        <v>1223.7</v>
      </c>
      <c r="J63">
        <f t="shared" ref="J63:J64" si="20">(I63/3982.1)*100</f>
        <v>30.730016825293188</v>
      </c>
    </row>
    <row r="64" spans="1:10" x14ac:dyDescent="0.25">
      <c r="A64" t="s">
        <v>59</v>
      </c>
      <c r="F64" t="s">
        <v>89</v>
      </c>
      <c r="G64">
        <v>64</v>
      </c>
      <c r="H64">
        <v>485.1</v>
      </c>
      <c r="I64">
        <f t="shared" si="11"/>
        <v>421.1</v>
      </c>
      <c r="J64">
        <f t="shared" si="20"/>
        <v>10.574822329926421</v>
      </c>
    </row>
    <row r="65" spans="1:10" x14ac:dyDescent="0.25">
      <c r="A65" t="s">
        <v>60</v>
      </c>
      <c r="D65" s="5" t="s">
        <v>100</v>
      </c>
      <c r="E65" s="6" t="s">
        <v>101</v>
      </c>
      <c r="F65" t="s">
        <v>81</v>
      </c>
      <c r="G65">
        <v>61.4</v>
      </c>
      <c r="H65">
        <v>3397.1</v>
      </c>
      <c r="I65">
        <f t="shared" si="11"/>
        <v>3335.7</v>
      </c>
      <c r="J65">
        <f>(I65/3335.7)*100</f>
        <v>100</v>
      </c>
    </row>
    <row r="66" spans="1:10" x14ac:dyDescent="0.25">
      <c r="A66" t="s">
        <v>61</v>
      </c>
      <c r="F66" t="s">
        <v>82</v>
      </c>
      <c r="G66">
        <v>61.4</v>
      </c>
      <c r="H66">
        <v>995.8</v>
      </c>
      <c r="I66">
        <f t="shared" si="11"/>
        <v>934.4</v>
      </c>
      <c r="J66">
        <f t="shared" ref="J66:J67" si="21">(I66/3335.7)*100</f>
        <v>28.012111400905361</v>
      </c>
    </row>
    <row r="67" spans="1:10" x14ac:dyDescent="0.25">
      <c r="A67" t="s">
        <v>62</v>
      </c>
      <c r="F67" t="s">
        <v>89</v>
      </c>
      <c r="G67">
        <v>61.4</v>
      </c>
      <c r="H67">
        <v>378.9</v>
      </c>
      <c r="I67">
        <f t="shared" si="11"/>
        <v>317.5</v>
      </c>
      <c r="J67">
        <f t="shared" si="21"/>
        <v>9.518242048145817</v>
      </c>
    </row>
    <row r="68" spans="1:10" x14ac:dyDescent="0.25">
      <c r="A68" t="s">
        <v>63</v>
      </c>
    </row>
    <row r="69" spans="1:10" x14ac:dyDescent="0.25">
      <c r="A69" t="s">
        <v>64</v>
      </c>
    </row>
    <row r="70" spans="1:10" x14ac:dyDescent="0.25">
      <c r="A70" t="s">
        <v>65</v>
      </c>
    </row>
    <row r="71" spans="1:10" x14ac:dyDescent="0.25">
      <c r="A71" t="s">
        <v>66</v>
      </c>
    </row>
    <row r="72" spans="1:10" x14ac:dyDescent="0.25">
      <c r="A72" t="s">
        <v>67</v>
      </c>
    </row>
    <row r="73" spans="1:10" x14ac:dyDescent="0.25">
      <c r="A73" t="s">
        <v>68</v>
      </c>
    </row>
    <row r="74" spans="1:10" x14ac:dyDescent="0.25">
      <c r="A74" t="s">
        <v>69</v>
      </c>
    </row>
    <row r="75" spans="1:10" x14ac:dyDescent="0.25">
      <c r="A75" t="s">
        <v>70</v>
      </c>
    </row>
    <row r="76" spans="1:10" x14ac:dyDescent="0.25">
      <c r="A76" t="s">
        <v>71</v>
      </c>
    </row>
    <row r="77" spans="1:10" x14ac:dyDescent="0.25">
      <c r="A7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69DC-8133-4E1A-892B-416BF370E4C7}">
  <dimension ref="A4:R77"/>
  <sheetViews>
    <sheetView workbookViewId="0">
      <selection activeCell="R16" sqref="R16"/>
    </sheetView>
  </sheetViews>
  <sheetFormatPr defaultRowHeight="15" x14ac:dyDescent="0.25"/>
  <cols>
    <col min="1" max="1" width="46.85546875" bestFit="1" customWidth="1"/>
    <col min="4" max="4" width="21.85546875" bestFit="1" customWidth="1"/>
    <col min="5" max="5" width="23.5703125" bestFit="1" customWidth="1"/>
    <col min="7" max="7" width="12.140625" customWidth="1"/>
    <col min="8" max="8" width="10.7109375" customWidth="1"/>
    <col min="9" max="9" width="12.7109375" customWidth="1"/>
    <col min="10" max="10" width="12" customWidth="1"/>
    <col min="13" max="13" width="11.140625" bestFit="1" customWidth="1"/>
    <col min="14" max="14" width="10.85546875" bestFit="1" customWidth="1"/>
  </cols>
  <sheetData>
    <row r="4" spans="1:18" x14ac:dyDescent="0.25">
      <c r="A4" t="s">
        <v>0</v>
      </c>
      <c r="N4" s="9"/>
      <c r="O4" s="8"/>
      <c r="P4" s="8"/>
      <c r="Q4" s="8"/>
      <c r="R4" s="8"/>
    </row>
    <row r="5" spans="1:18" ht="30" x14ac:dyDescent="0.25">
      <c r="D5" s="2" t="s">
        <v>74</v>
      </c>
      <c r="G5" s="3" t="s">
        <v>75</v>
      </c>
      <c r="H5" s="4" t="s">
        <v>76</v>
      </c>
      <c r="I5" s="3" t="s">
        <v>77</v>
      </c>
      <c r="J5" s="3" t="s">
        <v>78</v>
      </c>
      <c r="N5" s="9"/>
    </row>
    <row r="6" spans="1:18" x14ac:dyDescent="0.25">
      <c r="A6" t="s">
        <v>1</v>
      </c>
      <c r="D6" s="5" t="s">
        <v>79</v>
      </c>
      <c r="E6" s="6" t="s">
        <v>80</v>
      </c>
      <c r="F6" t="s">
        <v>81</v>
      </c>
      <c r="G6">
        <v>58.9</v>
      </c>
      <c r="H6">
        <v>1830.4</v>
      </c>
      <c r="I6">
        <f>H6-G6</f>
        <v>1771.5</v>
      </c>
      <c r="J6">
        <f>(I6/1771.5)*100</f>
        <v>100</v>
      </c>
      <c r="N6" s="9"/>
    </row>
    <row r="7" spans="1:18" x14ac:dyDescent="0.25">
      <c r="A7" t="s">
        <v>2</v>
      </c>
      <c r="F7" t="s">
        <v>82</v>
      </c>
      <c r="G7">
        <v>58.9</v>
      </c>
      <c r="H7">
        <v>248.3</v>
      </c>
      <c r="I7">
        <f t="shared" ref="I7:I35" si="0">H7-G7</f>
        <v>189.4</v>
      </c>
      <c r="J7">
        <f t="shared" ref="J7:J8" si="1">(I7/1771.5)*100</f>
        <v>10.691504374823596</v>
      </c>
      <c r="N7" s="6"/>
    </row>
    <row r="8" spans="1:18" x14ac:dyDescent="0.25">
      <c r="A8" t="s">
        <v>103</v>
      </c>
      <c r="F8" t="s">
        <v>89</v>
      </c>
      <c r="G8">
        <v>58.9</v>
      </c>
      <c r="H8">
        <v>138.19999999999999</v>
      </c>
      <c r="I8">
        <f t="shared" si="0"/>
        <v>79.299999999999983</v>
      </c>
      <c r="J8">
        <f t="shared" si="1"/>
        <v>4.4764324019192765</v>
      </c>
      <c r="N8" s="6"/>
    </row>
    <row r="9" spans="1:18" x14ac:dyDescent="0.25">
      <c r="A9" t="s">
        <v>104</v>
      </c>
      <c r="D9" s="5" t="s">
        <v>83</v>
      </c>
      <c r="E9" s="6" t="s">
        <v>84</v>
      </c>
      <c r="F9" t="s">
        <v>81</v>
      </c>
      <c r="G9">
        <v>71.7</v>
      </c>
      <c r="H9">
        <v>1911</v>
      </c>
      <c r="I9">
        <f t="shared" si="0"/>
        <v>1839.3</v>
      </c>
      <c r="J9">
        <f>(I9/1839.3)*100</f>
        <v>100</v>
      </c>
      <c r="N9" s="6"/>
    </row>
    <row r="10" spans="1:18" x14ac:dyDescent="0.25">
      <c r="A10" t="s">
        <v>105</v>
      </c>
      <c r="F10" t="s">
        <v>82</v>
      </c>
      <c r="G10">
        <v>71.7</v>
      </c>
      <c r="H10">
        <v>259.8</v>
      </c>
      <c r="I10">
        <f t="shared" si="0"/>
        <v>188.10000000000002</v>
      </c>
      <c r="J10">
        <f t="shared" ref="J10:J11" si="2">(I10/1839.3)*100</f>
        <v>10.226716685695648</v>
      </c>
      <c r="N10" s="6"/>
    </row>
    <row r="11" spans="1:18" x14ac:dyDescent="0.25">
      <c r="A11" t="s">
        <v>106</v>
      </c>
      <c r="F11" t="s">
        <v>89</v>
      </c>
      <c r="G11">
        <v>71.7</v>
      </c>
      <c r="H11">
        <v>147.19999999999999</v>
      </c>
      <c r="I11">
        <f t="shared" si="0"/>
        <v>75.499999999999986</v>
      </c>
      <c r="J11">
        <f t="shared" si="2"/>
        <v>4.1048224868156362</v>
      </c>
      <c r="N11" s="6"/>
    </row>
    <row r="12" spans="1:18" x14ac:dyDescent="0.25">
      <c r="A12" t="s">
        <v>107</v>
      </c>
      <c r="D12" s="5" t="s">
        <v>90</v>
      </c>
      <c r="E12" s="6" t="s">
        <v>91</v>
      </c>
      <c r="F12" t="s">
        <v>81</v>
      </c>
      <c r="G12">
        <v>56.3</v>
      </c>
      <c r="H12">
        <v>1757.4</v>
      </c>
      <c r="I12">
        <f t="shared" si="0"/>
        <v>1701.1000000000001</v>
      </c>
      <c r="J12">
        <f>(I12/1701.1)*100</f>
        <v>100.00000000000003</v>
      </c>
      <c r="N12" s="6"/>
    </row>
    <row r="13" spans="1:18" x14ac:dyDescent="0.25">
      <c r="A13" t="s">
        <v>108</v>
      </c>
      <c r="F13" t="s">
        <v>82</v>
      </c>
      <c r="G13">
        <v>56.3</v>
      </c>
      <c r="H13">
        <v>346.9</v>
      </c>
      <c r="I13">
        <f t="shared" si="0"/>
        <v>290.59999999999997</v>
      </c>
      <c r="J13">
        <f t="shared" ref="J13:J14" si="3">(I13/1701.1)*100</f>
        <v>17.083063899829519</v>
      </c>
      <c r="N13" s="6"/>
    </row>
    <row r="14" spans="1:18" x14ac:dyDescent="0.25">
      <c r="A14" t="s">
        <v>109</v>
      </c>
      <c r="F14" t="s">
        <v>89</v>
      </c>
      <c r="G14">
        <v>56.3</v>
      </c>
      <c r="H14">
        <v>154.9</v>
      </c>
      <c r="I14">
        <f t="shared" si="0"/>
        <v>98.600000000000009</v>
      </c>
      <c r="J14">
        <f t="shared" si="3"/>
        <v>5.796249485626948</v>
      </c>
      <c r="N14" s="6"/>
    </row>
    <row r="15" spans="1:18" x14ac:dyDescent="0.25">
      <c r="A15" t="s">
        <v>110</v>
      </c>
      <c r="D15" s="5" t="s">
        <v>85</v>
      </c>
      <c r="E15" s="6" t="s">
        <v>86</v>
      </c>
      <c r="F15" t="s">
        <v>81</v>
      </c>
      <c r="G15">
        <v>61.4</v>
      </c>
      <c r="H15">
        <v>1475.8</v>
      </c>
      <c r="I15">
        <f t="shared" si="0"/>
        <v>1414.3999999999999</v>
      </c>
      <c r="J15">
        <f>(I15/1414.4)*100</f>
        <v>99.999999999999986</v>
      </c>
      <c r="N15" s="9"/>
    </row>
    <row r="16" spans="1:18" x14ac:dyDescent="0.25">
      <c r="A16" t="s">
        <v>111</v>
      </c>
      <c r="F16" t="s">
        <v>82</v>
      </c>
      <c r="G16">
        <v>61.4</v>
      </c>
      <c r="H16">
        <v>300.8</v>
      </c>
      <c r="I16">
        <f t="shared" si="0"/>
        <v>239.4</v>
      </c>
      <c r="J16">
        <f t="shared" ref="J16:J17" si="4">(I16/1414.4)*100</f>
        <v>16.925904977375563</v>
      </c>
      <c r="N16" s="9"/>
    </row>
    <row r="17" spans="1:14" x14ac:dyDescent="0.25">
      <c r="A17" t="s">
        <v>112</v>
      </c>
      <c r="F17" t="s">
        <v>89</v>
      </c>
      <c r="G17">
        <v>61.4</v>
      </c>
      <c r="H17">
        <v>131.80000000000001</v>
      </c>
      <c r="I17">
        <f t="shared" si="0"/>
        <v>70.400000000000006</v>
      </c>
      <c r="J17">
        <f t="shared" si="4"/>
        <v>4.9773755656108598</v>
      </c>
      <c r="N17" s="6"/>
    </row>
    <row r="18" spans="1:14" x14ac:dyDescent="0.25">
      <c r="A18" t="s">
        <v>113</v>
      </c>
      <c r="D18" s="5" t="s">
        <v>87</v>
      </c>
      <c r="E18" s="6" t="s">
        <v>88</v>
      </c>
      <c r="F18" t="s">
        <v>81</v>
      </c>
      <c r="G18">
        <v>56.3</v>
      </c>
      <c r="H18">
        <v>924.2</v>
      </c>
      <c r="I18">
        <f t="shared" si="0"/>
        <v>867.90000000000009</v>
      </c>
      <c r="J18">
        <f>(I18/867.9)*100</f>
        <v>100.00000000000003</v>
      </c>
      <c r="N18" s="6"/>
    </row>
    <row r="19" spans="1:14" x14ac:dyDescent="0.25">
      <c r="A19" t="s">
        <v>114</v>
      </c>
      <c r="F19" t="s">
        <v>82</v>
      </c>
      <c r="G19">
        <v>56.3</v>
      </c>
      <c r="H19">
        <v>204.8</v>
      </c>
      <c r="I19">
        <f t="shared" si="0"/>
        <v>148.5</v>
      </c>
      <c r="J19">
        <f t="shared" ref="J19:J20" si="5">(I19/867.9)*100</f>
        <v>17.110266159695815</v>
      </c>
      <c r="N19" s="6"/>
    </row>
    <row r="20" spans="1:14" x14ac:dyDescent="0.25">
      <c r="A20" t="s">
        <v>115</v>
      </c>
      <c r="F20" t="s">
        <v>89</v>
      </c>
      <c r="G20">
        <v>56.3</v>
      </c>
      <c r="H20">
        <v>125.4</v>
      </c>
      <c r="I20">
        <f t="shared" si="0"/>
        <v>69.100000000000009</v>
      </c>
      <c r="J20">
        <f t="shared" si="5"/>
        <v>7.9617467450167085</v>
      </c>
      <c r="N20" s="6"/>
    </row>
    <row r="21" spans="1:14" x14ac:dyDescent="0.25">
      <c r="A21" t="s">
        <v>116</v>
      </c>
      <c r="D21" s="5" t="s">
        <v>92</v>
      </c>
      <c r="E21" s="6" t="s">
        <v>93</v>
      </c>
      <c r="F21" t="s">
        <v>81</v>
      </c>
      <c r="G21">
        <v>61.4</v>
      </c>
      <c r="H21">
        <v>1853.4</v>
      </c>
      <c r="I21">
        <f t="shared" si="0"/>
        <v>1792</v>
      </c>
      <c r="J21">
        <f>(I21/1792)*100</f>
        <v>100</v>
      </c>
      <c r="N21" s="6"/>
    </row>
    <row r="22" spans="1:14" x14ac:dyDescent="0.25">
      <c r="A22" t="s">
        <v>117</v>
      </c>
      <c r="F22" t="s">
        <v>82</v>
      </c>
      <c r="G22">
        <v>61.4</v>
      </c>
      <c r="H22">
        <v>364.8</v>
      </c>
      <c r="I22">
        <f t="shared" si="0"/>
        <v>303.40000000000003</v>
      </c>
      <c r="J22">
        <f t="shared" ref="J22:J23" si="6">(I22/1792)*100</f>
        <v>16.930803571428573</v>
      </c>
      <c r="N22" s="6"/>
    </row>
    <row r="23" spans="1:14" x14ac:dyDescent="0.25">
      <c r="A23" t="s">
        <v>118</v>
      </c>
      <c r="F23" t="s">
        <v>89</v>
      </c>
      <c r="G23">
        <v>61.4</v>
      </c>
      <c r="H23">
        <v>167.7</v>
      </c>
      <c r="I23">
        <f t="shared" si="0"/>
        <v>106.29999999999998</v>
      </c>
      <c r="J23">
        <f t="shared" si="6"/>
        <v>5.9319196428571423</v>
      </c>
      <c r="N23" s="6"/>
    </row>
    <row r="24" spans="1:14" x14ac:dyDescent="0.25">
      <c r="A24" t="s">
        <v>119</v>
      </c>
      <c r="D24" s="5" t="s">
        <v>94</v>
      </c>
      <c r="E24" s="6" t="s">
        <v>95</v>
      </c>
      <c r="F24" t="s">
        <v>81</v>
      </c>
      <c r="G24">
        <v>64</v>
      </c>
      <c r="H24">
        <v>1417</v>
      </c>
      <c r="I24">
        <f t="shared" si="0"/>
        <v>1353</v>
      </c>
      <c r="J24">
        <f>(I24/1353)*100</f>
        <v>100</v>
      </c>
      <c r="N24" s="6"/>
    </row>
    <row r="25" spans="1:14" x14ac:dyDescent="0.25">
      <c r="A25" t="s">
        <v>120</v>
      </c>
      <c r="F25" t="s">
        <v>82</v>
      </c>
      <c r="G25">
        <v>64</v>
      </c>
      <c r="H25">
        <v>245.8</v>
      </c>
      <c r="I25">
        <f t="shared" si="0"/>
        <v>181.8</v>
      </c>
      <c r="J25">
        <f t="shared" ref="J25:J26" si="7">(I25/1353)*100</f>
        <v>13.436807095343681</v>
      </c>
      <c r="N25" s="9"/>
    </row>
    <row r="26" spans="1:14" x14ac:dyDescent="0.25">
      <c r="A26" t="s">
        <v>121</v>
      </c>
      <c r="F26" t="s">
        <v>89</v>
      </c>
      <c r="G26">
        <v>64</v>
      </c>
      <c r="H26">
        <v>147.19999999999999</v>
      </c>
      <c r="I26">
        <f t="shared" si="0"/>
        <v>83.199999999999989</v>
      </c>
      <c r="J26">
        <f t="shared" si="7"/>
        <v>6.149297856614929</v>
      </c>
      <c r="N26" s="9"/>
    </row>
    <row r="27" spans="1:14" x14ac:dyDescent="0.25">
      <c r="A27" t="s">
        <v>122</v>
      </c>
      <c r="D27" s="5" t="s">
        <v>97</v>
      </c>
      <c r="E27" s="6" t="s">
        <v>96</v>
      </c>
      <c r="F27" t="s">
        <v>81</v>
      </c>
      <c r="G27">
        <v>64</v>
      </c>
      <c r="H27">
        <v>1417</v>
      </c>
      <c r="I27">
        <f t="shared" si="0"/>
        <v>1353</v>
      </c>
      <c r="J27">
        <f>(I27/1353)*100</f>
        <v>100</v>
      </c>
      <c r="N27" s="9"/>
    </row>
    <row r="28" spans="1:14" x14ac:dyDescent="0.25">
      <c r="A28" t="s">
        <v>123</v>
      </c>
      <c r="F28" t="s">
        <v>82</v>
      </c>
      <c r="G28">
        <v>64</v>
      </c>
      <c r="H28">
        <v>208.6</v>
      </c>
      <c r="I28">
        <f t="shared" si="0"/>
        <v>144.6</v>
      </c>
      <c r="J28">
        <f t="shared" ref="J28:J29" si="8">(I28/1353)*100</f>
        <v>10.687361419068736</v>
      </c>
      <c r="N28" s="6"/>
    </row>
    <row r="29" spans="1:14" x14ac:dyDescent="0.25">
      <c r="A29" t="s">
        <v>124</v>
      </c>
      <c r="F29" t="s">
        <v>89</v>
      </c>
      <c r="G29">
        <v>64</v>
      </c>
      <c r="H29">
        <v>120.3</v>
      </c>
      <c r="I29">
        <f t="shared" si="0"/>
        <v>56.3</v>
      </c>
      <c r="J29">
        <f t="shared" si="8"/>
        <v>4.1611234294161124</v>
      </c>
      <c r="N29" s="6"/>
    </row>
    <row r="30" spans="1:14" x14ac:dyDescent="0.25">
      <c r="A30" t="s">
        <v>125</v>
      </c>
      <c r="D30" s="5" t="s">
        <v>98</v>
      </c>
      <c r="E30" s="6" t="s">
        <v>99</v>
      </c>
      <c r="F30" t="s">
        <v>81</v>
      </c>
      <c r="G30">
        <v>67.8</v>
      </c>
      <c r="H30">
        <v>2215.6999999999998</v>
      </c>
      <c r="I30">
        <f t="shared" si="0"/>
        <v>2147.8999999999996</v>
      </c>
      <c r="J30">
        <f>(I30/2147.9)*100</f>
        <v>99.999999999999972</v>
      </c>
      <c r="N30" s="6"/>
    </row>
    <row r="31" spans="1:14" x14ac:dyDescent="0.25">
      <c r="A31" t="s">
        <v>126</v>
      </c>
      <c r="F31" t="s">
        <v>82</v>
      </c>
      <c r="G31">
        <v>67.8</v>
      </c>
      <c r="H31">
        <v>304.60000000000002</v>
      </c>
      <c r="I31">
        <f t="shared" si="0"/>
        <v>236.8</v>
      </c>
      <c r="J31">
        <f t="shared" ref="J31:J32" si="9">(I31/2147.9)*100</f>
        <v>11.024721821313841</v>
      </c>
      <c r="N31" s="6"/>
    </row>
    <row r="32" spans="1:14" x14ac:dyDescent="0.25">
      <c r="A32" t="s">
        <v>127</v>
      </c>
      <c r="F32" t="s">
        <v>89</v>
      </c>
      <c r="G32">
        <v>67.8</v>
      </c>
      <c r="H32">
        <v>175.4</v>
      </c>
      <c r="I32">
        <f t="shared" si="0"/>
        <v>107.60000000000001</v>
      </c>
      <c r="J32">
        <f t="shared" si="9"/>
        <v>5.0095442059686208</v>
      </c>
      <c r="N32" s="6"/>
    </row>
    <row r="33" spans="1:14" x14ac:dyDescent="0.25">
      <c r="A33" t="s">
        <v>128</v>
      </c>
      <c r="D33" s="5" t="s">
        <v>100</v>
      </c>
      <c r="E33" s="6" t="s">
        <v>101</v>
      </c>
      <c r="F33" t="s">
        <v>81</v>
      </c>
      <c r="G33">
        <v>67.8</v>
      </c>
      <c r="H33">
        <v>954.9</v>
      </c>
      <c r="I33">
        <f t="shared" si="0"/>
        <v>887.1</v>
      </c>
      <c r="J33">
        <f>(I33/887.1)*100</f>
        <v>100</v>
      </c>
      <c r="N33" s="6"/>
    </row>
    <row r="34" spans="1:14" x14ac:dyDescent="0.25">
      <c r="A34" t="s">
        <v>129</v>
      </c>
      <c r="F34" t="s">
        <v>82</v>
      </c>
      <c r="G34">
        <v>67.8</v>
      </c>
      <c r="H34">
        <v>186.9</v>
      </c>
      <c r="I34">
        <f t="shared" si="0"/>
        <v>119.10000000000001</v>
      </c>
      <c r="J34">
        <f t="shared" ref="J34:J35" si="10">(I34/887.1)*100</f>
        <v>13.425769360838688</v>
      </c>
      <c r="N34" s="6"/>
    </row>
    <row r="35" spans="1:14" x14ac:dyDescent="0.25">
      <c r="A35" t="s">
        <v>130</v>
      </c>
      <c r="F35" t="s">
        <v>89</v>
      </c>
      <c r="G35">
        <v>67.8</v>
      </c>
      <c r="H35">
        <v>117.8</v>
      </c>
      <c r="I35">
        <f t="shared" si="0"/>
        <v>50</v>
      </c>
      <c r="J35">
        <f t="shared" si="10"/>
        <v>5.6363431405703972</v>
      </c>
      <c r="N35" s="6"/>
    </row>
    <row r="36" spans="1:14" x14ac:dyDescent="0.25">
      <c r="A36" t="s">
        <v>131</v>
      </c>
      <c r="N36" s="9"/>
    </row>
    <row r="37" spans="1:14" x14ac:dyDescent="0.25">
      <c r="A37" t="s">
        <v>132</v>
      </c>
      <c r="D37" s="2" t="s">
        <v>74</v>
      </c>
      <c r="E37" t="s">
        <v>102</v>
      </c>
      <c r="N37" s="9"/>
    </row>
    <row r="38" spans="1:14" x14ac:dyDescent="0.25">
      <c r="A38" t="s">
        <v>133</v>
      </c>
      <c r="D38" s="5" t="s">
        <v>79</v>
      </c>
      <c r="E38" s="6" t="s">
        <v>80</v>
      </c>
      <c r="F38" t="s">
        <v>81</v>
      </c>
      <c r="G38">
        <v>58.9</v>
      </c>
      <c r="H38">
        <v>1666.6</v>
      </c>
      <c r="I38">
        <f t="shared" ref="I38:I67" si="11">H38-G38</f>
        <v>1607.6999999999998</v>
      </c>
      <c r="J38">
        <f>(I38/1607.7)*100</f>
        <v>99.999999999999986</v>
      </c>
      <c r="N38" s="6"/>
    </row>
    <row r="39" spans="1:14" x14ac:dyDescent="0.25">
      <c r="A39" t="s">
        <v>134</v>
      </c>
      <c r="F39" t="s">
        <v>82</v>
      </c>
      <c r="G39">
        <v>58.9</v>
      </c>
      <c r="H39">
        <v>375</v>
      </c>
      <c r="I39">
        <f t="shared" si="11"/>
        <v>316.10000000000002</v>
      </c>
      <c r="J39">
        <f t="shared" ref="J39:J40" si="12">(I39/1607.7)*100</f>
        <v>19.66162841326118</v>
      </c>
      <c r="N39" s="6"/>
    </row>
    <row r="40" spans="1:14" x14ac:dyDescent="0.25">
      <c r="A40" t="s">
        <v>135</v>
      </c>
      <c r="F40" t="s">
        <v>89</v>
      </c>
      <c r="G40">
        <v>58.9</v>
      </c>
      <c r="H40">
        <v>151</v>
      </c>
      <c r="I40">
        <f t="shared" si="11"/>
        <v>92.1</v>
      </c>
      <c r="J40">
        <f t="shared" si="12"/>
        <v>5.7286807240156747</v>
      </c>
      <c r="N40" s="6"/>
    </row>
    <row r="41" spans="1:14" x14ac:dyDescent="0.25">
      <c r="A41" t="s">
        <v>136</v>
      </c>
      <c r="D41" s="5" t="s">
        <v>83</v>
      </c>
      <c r="E41" s="6" t="s">
        <v>84</v>
      </c>
      <c r="F41" t="s">
        <v>81</v>
      </c>
      <c r="G41">
        <v>71.7</v>
      </c>
      <c r="H41">
        <v>1797.1</v>
      </c>
      <c r="I41">
        <f t="shared" si="11"/>
        <v>1725.3999999999999</v>
      </c>
      <c r="J41">
        <f>(I41/1725.4)*100</f>
        <v>99.999999999999986</v>
      </c>
      <c r="N41" s="6"/>
    </row>
    <row r="42" spans="1:14" x14ac:dyDescent="0.25">
      <c r="A42" t="s">
        <v>137</v>
      </c>
      <c r="F42" t="s">
        <v>82</v>
      </c>
      <c r="G42">
        <v>71.7</v>
      </c>
      <c r="H42">
        <v>384</v>
      </c>
      <c r="I42">
        <f t="shared" si="11"/>
        <v>312.3</v>
      </c>
      <c r="J42">
        <f t="shared" ref="J42:J43" si="13">(I42/1725.4)*100</f>
        <v>18.100150689695145</v>
      </c>
      <c r="N42" s="6"/>
    </row>
    <row r="43" spans="1:14" x14ac:dyDescent="0.25">
      <c r="A43" t="s">
        <v>138</v>
      </c>
      <c r="F43" t="s">
        <v>89</v>
      </c>
      <c r="G43">
        <v>71.7</v>
      </c>
      <c r="H43">
        <v>176.6</v>
      </c>
      <c r="I43">
        <f t="shared" si="11"/>
        <v>104.89999999999999</v>
      </c>
      <c r="J43">
        <f t="shared" si="13"/>
        <v>6.0797496232757613</v>
      </c>
      <c r="N43" s="6"/>
    </row>
    <row r="44" spans="1:14" x14ac:dyDescent="0.25">
      <c r="A44" t="s">
        <v>139</v>
      </c>
      <c r="D44" s="5" t="s">
        <v>90</v>
      </c>
      <c r="E44" s="6" t="s">
        <v>91</v>
      </c>
      <c r="F44" t="s">
        <v>81</v>
      </c>
      <c r="G44">
        <v>56.3</v>
      </c>
      <c r="H44">
        <v>1585.9</v>
      </c>
      <c r="I44">
        <f t="shared" si="11"/>
        <v>1529.6000000000001</v>
      </c>
      <c r="J44">
        <f>(I44/1529.6)*100</f>
        <v>100.00000000000003</v>
      </c>
      <c r="N44" s="6"/>
    </row>
    <row r="45" spans="1:14" x14ac:dyDescent="0.25">
      <c r="A45" t="s">
        <v>140</v>
      </c>
      <c r="F45" t="s">
        <v>82</v>
      </c>
      <c r="G45">
        <v>56.3</v>
      </c>
      <c r="H45">
        <v>363.5</v>
      </c>
      <c r="I45">
        <f t="shared" si="11"/>
        <v>307.2</v>
      </c>
      <c r="J45">
        <f t="shared" ref="J45:J46" si="14">(I45/1529.6)*100</f>
        <v>20.0836820083682</v>
      </c>
      <c r="N45" s="6"/>
    </row>
    <row r="46" spans="1:14" x14ac:dyDescent="0.25">
      <c r="A46" t="s">
        <v>141</v>
      </c>
      <c r="F46" t="s">
        <v>89</v>
      </c>
      <c r="G46">
        <v>56.3</v>
      </c>
      <c r="H46">
        <v>180.5</v>
      </c>
      <c r="I46">
        <f t="shared" si="11"/>
        <v>124.2</v>
      </c>
      <c r="J46">
        <f t="shared" si="14"/>
        <v>8.1197698744769884</v>
      </c>
    </row>
    <row r="47" spans="1:14" x14ac:dyDescent="0.25">
      <c r="A47" t="s">
        <v>142</v>
      </c>
      <c r="D47" s="5" t="s">
        <v>85</v>
      </c>
      <c r="E47" s="6" t="s">
        <v>86</v>
      </c>
      <c r="F47" t="s">
        <v>81</v>
      </c>
      <c r="G47">
        <v>61.4</v>
      </c>
      <c r="H47">
        <v>1502.7</v>
      </c>
      <c r="I47">
        <f t="shared" si="11"/>
        <v>1441.3</v>
      </c>
      <c r="J47">
        <f>(I47/1441.3)*100</f>
        <v>100</v>
      </c>
    </row>
    <row r="48" spans="1:14" x14ac:dyDescent="0.25">
      <c r="A48" t="s">
        <v>143</v>
      </c>
      <c r="F48" t="s">
        <v>82</v>
      </c>
      <c r="G48">
        <v>61.4</v>
      </c>
      <c r="H48">
        <v>294.39999999999998</v>
      </c>
      <c r="I48">
        <f t="shared" si="11"/>
        <v>232.99999999999997</v>
      </c>
      <c r="J48">
        <f t="shared" ref="J48:J49" si="15">(I48/1441.3)*100</f>
        <v>16.165961284951084</v>
      </c>
    </row>
    <row r="49" spans="1:10" x14ac:dyDescent="0.25">
      <c r="A49" t="s">
        <v>144</v>
      </c>
      <c r="F49" t="s">
        <v>89</v>
      </c>
      <c r="G49">
        <v>61.4</v>
      </c>
      <c r="H49">
        <v>184.3</v>
      </c>
      <c r="I49">
        <f t="shared" si="11"/>
        <v>122.9</v>
      </c>
      <c r="J49">
        <f t="shared" si="15"/>
        <v>8.5270242142510231</v>
      </c>
    </row>
    <row r="50" spans="1:10" x14ac:dyDescent="0.25">
      <c r="A50" t="s">
        <v>145</v>
      </c>
      <c r="D50" s="5" t="s">
        <v>87</v>
      </c>
      <c r="E50" s="6" t="s">
        <v>88</v>
      </c>
      <c r="F50" t="s">
        <v>81</v>
      </c>
      <c r="G50">
        <v>56.3</v>
      </c>
      <c r="H50">
        <v>888.3</v>
      </c>
      <c r="I50">
        <f t="shared" si="11"/>
        <v>832</v>
      </c>
      <c r="J50">
        <f>(I50/832)*100</f>
        <v>100</v>
      </c>
    </row>
    <row r="51" spans="1:10" x14ac:dyDescent="0.25">
      <c r="A51" t="s">
        <v>146</v>
      </c>
      <c r="F51" t="s">
        <v>82</v>
      </c>
      <c r="G51">
        <v>56.3</v>
      </c>
      <c r="H51">
        <v>561.9</v>
      </c>
      <c r="I51">
        <f t="shared" si="11"/>
        <v>505.59999999999997</v>
      </c>
      <c r="J51" s="7">
        <f t="shared" ref="J51:J52" si="16">(I51/832)*100</f>
        <v>60.769230769230766</v>
      </c>
    </row>
    <row r="52" spans="1:10" x14ac:dyDescent="0.25">
      <c r="A52" t="s">
        <v>147</v>
      </c>
      <c r="F52" t="s">
        <v>89</v>
      </c>
      <c r="G52">
        <v>56.3</v>
      </c>
      <c r="H52">
        <v>410.9</v>
      </c>
      <c r="I52">
        <f t="shared" si="11"/>
        <v>354.59999999999997</v>
      </c>
      <c r="J52" s="7">
        <f t="shared" si="16"/>
        <v>42.620192307692307</v>
      </c>
    </row>
    <row r="53" spans="1:10" x14ac:dyDescent="0.25">
      <c r="A53" t="s">
        <v>148</v>
      </c>
      <c r="D53" s="5" t="s">
        <v>92</v>
      </c>
      <c r="E53" s="6" t="s">
        <v>93</v>
      </c>
      <c r="F53" t="s">
        <v>81</v>
      </c>
      <c r="G53">
        <v>61.4</v>
      </c>
      <c r="H53">
        <v>2026.2</v>
      </c>
      <c r="I53">
        <f t="shared" si="11"/>
        <v>1964.8</v>
      </c>
      <c r="J53">
        <f>(I53/1964.8)*100</f>
        <v>100</v>
      </c>
    </row>
    <row r="54" spans="1:10" x14ac:dyDescent="0.25">
      <c r="A54" t="s">
        <v>149</v>
      </c>
      <c r="F54" t="s">
        <v>82</v>
      </c>
      <c r="G54">
        <v>61.4</v>
      </c>
      <c r="H54">
        <v>1155.8</v>
      </c>
      <c r="I54">
        <f t="shared" si="11"/>
        <v>1094.3999999999999</v>
      </c>
      <c r="J54" s="7">
        <f t="shared" ref="J54:J55" si="17">(I54/1964.8)*100</f>
        <v>55.700325732899017</v>
      </c>
    </row>
    <row r="55" spans="1:10" x14ac:dyDescent="0.25">
      <c r="A55" t="s">
        <v>150</v>
      </c>
      <c r="F55" t="s">
        <v>89</v>
      </c>
      <c r="G55">
        <v>61.4</v>
      </c>
      <c r="H55">
        <v>820.5</v>
      </c>
      <c r="I55">
        <f t="shared" si="11"/>
        <v>759.1</v>
      </c>
      <c r="J55" s="7">
        <f t="shared" si="17"/>
        <v>38.634975570032573</v>
      </c>
    </row>
    <row r="56" spans="1:10" x14ac:dyDescent="0.25">
      <c r="A56" t="s">
        <v>151</v>
      </c>
      <c r="D56" s="5" t="s">
        <v>94</v>
      </c>
      <c r="E56" s="6" t="s">
        <v>95</v>
      </c>
      <c r="F56" t="s">
        <v>81</v>
      </c>
      <c r="G56">
        <v>64</v>
      </c>
      <c r="H56">
        <v>1390.1</v>
      </c>
      <c r="I56">
        <f t="shared" si="11"/>
        <v>1326.1</v>
      </c>
      <c r="J56">
        <f>(I56/1326.1)*100</f>
        <v>100</v>
      </c>
    </row>
    <row r="57" spans="1:10" x14ac:dyDescent="0.25">
      <c r="A57" t="s">
        <v>152</v>
      </c>
      <c r="F57" t="s">
        <v>82</v>
      </c>
      <c r="G57">
        <v>64</v>
      </c>
      <c r="H57">
        <v>336.6</v>
      </c>
      <c r="I57">
        <f t="shared" si="11"/>
        <v>272.60000000000002</v>
      </c>
      <c r="J57">
        <f t="shared" ref="J57:J58" si="18">(I57/1326.1)*100</f>
        <v>20.556519116205418</v>
      </c>
    </row>
    <row r="58" spans="1:10" x14ac:dyDescent="0.25">
      <c r="A58" t="s">
        <v>153</v>
      </c>
      <c r="F58" t="s">
        <v>89</v>
      </c>
      <c r="G58">
        <v>64</v>
      </c>
      <c r="H58">
        <v>162.6</v>
      </c>
      <c r="I58">
        <f t="shared" si="11"/>
        <v>98.6</v>
      </c>
      <c r="J58">
        <f t="shared" si="18"/>
        <v>7.4353367016062144</v>
      </c>
    </row>
    <row r="59" spans="1:10" x14ac:dyDescent="0.25">
      <c r="A59" t="s">
        <v>154</v>
      </c>
      <c r="D59" s="5" t="s">
        <v>97</v>
      </c>
      <c r="E59" s="6" t="s">
        <v>96</v>
      </c>
      <c r="F59" t="s">
        <v>81</v>
      </c>
      <c r="G59">
        <v>64</v>
      </c>
      <c r="H59">
        <v>693.8</v>
      </c>
      <c r="I59">
        <f t="shared" si="11"/>
        <v>629.79999999999995</v>
      </c>
      <c r="J59">
        <f>(I59/629.8)*100</f>
        <v>100</v>
      </c>
    </row>
    <row r="60" spans="1:10" x14ac:dyDescent="0.25">
      <c r="A60" t="s">
        <v>155</v>
      </c>
      <c r="F60" t="s">
        <v>82</v>
      </c>
      <c r="G60">
        <v>64</v>
      </c>
      <c r="H60">
        <v>261.10000000000002</v>
      </c>
      <c r="I60">
        <f t="shared" si="11"/>
        <v>197.10000000000002</v>
      </c>
      <c r="J60">
        <f t="shared" ref="J60:J61" si="19">(I60/629.8)*100</f>
        <v>31.295649412511917</v>
      </c>
    </row>
    <row r="61" spans="1:10" x14ac:dyDescent="0.25">
      <c r="A61" t="s">
        <v>156</v>
      </c>
      <c r="F61" t="s">
        <v>89</v>
      </c>
      <c r="G61">
        <v>64</v>
      </c>
      <c r="H61">
        <v>143.4</v>
      </c>
      <c r="I61">
        <f t="shared" si="11"/>
        <v>79.400000000000006</v>
      </c>
      <c r="J61">
        <f t="shared" si="19"/>
        <v>12.6071768815497</v>
      </c>
    </row>
    <row r="62" spans="1:10" x14ac:dyDescent="0.25">
      <c r="A62" t="s">
        <v>157</v>
      </c>
      <c r="D62" s="5" t="s">
        <v>98</v>
      </c>
      <c r="E62" s="6" t="s">
        <v>99</v>
      </c>
      <c r="F62" t="s">
        <v>81</v>
      </c>
      <c r="G62">
        <v>67.8</v>
      </c>
      <c r="H62">
        <v>2140.8000000000002</v>
      </c>
      <c r="I62">
        <f t="shared" si="11"/>
        <v>2073</v>
      </c>
      <c r="J62">
        <f>(I62/2073)*100</f>
        <v>100</v>
      </c>
    </row>
    <row r="63" spans="1:10" x14ac:dyDescent="0.25">
      <c r="A63" t="s">
        <v>158</v>
      </c>
      <c r="F63" t="s">
        <v>82</v>
      </c>
      <c r="G63">
        <v>67.8</v>
      </c>
      <c r="H63">
        <v>512</v>
      </c>
      <c r="I63">
        <f t="shared" si="11"/>
        <v>444.2</v>
      </c>
      <c r="J63">
        <f t="shared" ref="J63:J64" si="20">(I63/2073)*100</f>
        <v>21.427882296189097</v>
      </c>
    </row>
    <row r="64" spans="1:10" x14ac:dyDescent="0.25">
      <c r="A64" t="s">
        <v>159</v>
      </c>
      <c r="F64" t="s">
        <v>89</v>
      </c>
      <c r="G64">
        <v>67.8</v>
      </c>
      <c r="H64">
        <v>207.4</v>
      </c>
      <c r="I64">
        <f t="shared" si="11"/>
        <v>139.60000000000002</v>
      </c>
      <c r="J64">
        <f t="shared" si="20"/>
        <v>6.7342016401350708</v>
      </c>
    </row>
    <row r="65" spans="1:10" x14ac:dyDescent="0.25">
      <c r="A65" t="s">
        <v>160</v>
      </c>
      <c r="D65" s="5" t="s">
        <v>100</v>
      </c>
      <c r="E65" s="6" t="s">
        <v>101</v>
      </c>
      <c r="F65" t="s">
        <v>81</v>
      </c>
      <c r="G65">
        <v>67.8</v>
      </c>
      <c r="H65">
        <v>1113.5999999999999</v>
      </c>
      <c r="I65">
        <f t="shared" si="11"/>
        <v>1045.8</v>
      </c>
      <c r="J65">
        <f>(I65/1045.8)*100</f>
        <v>100</v>
      </c>
    </row>
    <row r="66" spans="1:10" x14ac:dyDescent="0.25">
      <c r="A66" t="s">
        <v>161</v>
      </c>
      <c r="F66" t="s">
        <v>82</v>
      </c>
      <c r="G66">
        <v>67.8</v>
      </c>
      <c r="H66">
        <v>286.7</v>
      </c>
      <c r="I66">
        <f t="shared" si="11"/>
        <v>218.89999999999998</v>
      </c>
      <c r="J66">
        <f t="shared" ref="J66:J67" si="21">(I66/1045.8)*100</f>
        <v>20.931344425320329</v>
      </c>
    </row>
    <row r="67" spans="1:10" x14ac:dyDescent="0.25">
      <c r="A67" t="s">
        <v>162</v>
      </c>
      <c r="F67" t="s">
        <v>89</v>
      </c>
      <c r="G67">
        <v>67.8</v>
      </c>
      <c r="H67">
        <v>161.30000000000001</v>
      </c>
      <c r="I67">
        <f t="shared" si="11"/>
        <v>93.500000000000014</v>
      </c>
      <c r="J67">
        <f t="shared" si="21"/>
        <v>8.9405240007649667</v>
      </c>
    </row>
    <row r="68" spans="1:10" x14ac:dyDescent="0.25">
      <c r="A68" t="s">
        <v>163</v>
      </c>
    </row>
    <row r="69" spans="1:10" x14ac:dyDescent="0.25">
      <c r="A69" t="s">
        <v>164</v>
      </c>
    </row>
    <row r="70" spans="1:10" x14ac:dyDescent="0.25">
      <c r="A70" t="s">
        <v>165</v>
      </c>
    </row>
    <row r="71" spans="1:10" x14ac:dyDescent="0.25">
      <c r="A71" t="s">
        <v>166</v>
      </c>
    </row>
    <row r="72" spans="1:10" x14ac:dyDescent="0.25">
      <c r="A72" t="s">
        <v>167</v>
      </c>
    </row>
    <row r="73" spans="1:10" x14ac:dyDescent="0.25">
      <c r="A73" t="s">
        <v>168</v>
      </c>
    </row>
    <row r="74" spans="1:10" x14ac:dyDescent="0.25">
      <c r="A74" t="s">
        <v>169</v>
      </c>
    </row>
    <row r="75" spans="1:10" x14ac:dyDescent="0.25">
      <c r="A75" t="s">
        <v>170</v>
      </c>
    </row>
    <row r="76" spans="1:10" x14ac:dyDescent="0.25">
      <c r="A76" t="s">
        <v>171</v>
      </c>
    </row>
    <row r="77" spans="1:10" x14ac:dyDescent="0.25">
      <c r="A77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7174-6F0D-4228-B3ED-B4B1DCE69F5D}">
  <dimension ref="A3:R77"/>
  <sheetViews>
    <sheetView workbookViewId="0">
      <selection activeCell="M4" sqref="M4:R47"/>
    </sheetView>
  </sheetViews>
  <sheetFormatPr defaultRowHeight="15" x14ac:dyDescent="0.25"/>
  <cols>
    <col min="1" max="1" width="47" bestFit="1" customWidth="1"/>
    <col min="4" max="4" width="21.85546875" bestFit="1" customWidth="1"/>
    <col min="5" max="5" width="23.5703125" bestFit="1" customWidth="1"/>
    <col min="7" max="7" width="13.42578125" customWidth="1"/>
    <col min="8" max="8" width="11" customWidth="1"/>
    <col min="9" max="9" width="12.85546875" customWidth="1"/>
    <col min="10" max="10" width="11" customWidth="1"/>
    <col min="13" max="13" width="11.140625" bestFit="1" customWidth="1"/>
    <col min="14" max="14" width="10.85546875" bestFit="1" customWidth="1"/>
  </cols>
  <sheetData>
    <row r="3" spans="1:18" x14ac:dyDescent="0.25">
      <c r="A3" t="s">
        <v>0</v>
      </c>
    </row>
    <row r="5" spans="1:18" ht="42.75" x14ac:dyDescent="0.25">
      <c r="A5" t="s">
        <v>1</v>
      </c>
      <c r="D5" s="2" t="s">
        <v>74</v>
      </c>
      <c r="G5" s="3" t="s">
        <v>75</v>
      </c>
      <c r="H5" s="4" t="s">
        <v>76</v>
      </c>
      <c r="I5" s="3" t="s">
        <v>77</v>
      </c>
      <c r="J5" s="3" t="s">
        <v>78</v>
      </c>
      <c r="N5" s="9"/>
      <c r="O5" s="8"/>
      <c r="P5" s="8"/>
      <c r="Q5" s="8"/>
      <c r="R5" s="8"/>
    </row>
    <row r="6" spans="1:18" x14ac:dyDescent="0.25">
      <c r="A6" t="s">
        <v>177</v>
      </c>
      <c r="D6" s="5" t="s">
        <v>79</v>
      </c>
      <c r="E6" s="6" t="s">
        <v>80</v>
      </c>
      <c r="F6" t="s">
        <v>81</v>
      </c>
      <c r="G6">
        <v>101.2</v>
      </c>
      <c r="H6">
        <v>5720.7</v>
      </c>
      <c r="I6">
        <f>H6-G6</f>
        <v>5619.5</v>
      </c>
      <c r="J6">
        <f>(I6/5619.5)*100</f>
        <v>100</v>
      </c>
      <c r="N6" s="9"/>
    </row>
    <row r="7" spans="1:18" x14ac:dyDescent="0.25">
      <c r="A7" t="s">
        <v>178</v>
      </c>
      <c r="F7" t="s">
        <v>82</v>
      </c>
      <c r="G7">
        <v>101.2</v>
      </c>
      <c r="H7">
        <v>1151</v>
      </c>
      <c r="I7">
        <f t="shared" ref="I7:I35" si="0">H7-G7</f>
        <v>1049.8</v>
      </c>
      <c r="J7">
        <f t="shared" ref="J7:J8" si="1">(I7/5619.5)*100</f>
        <v>18.681377346739033</v>
      </c>
      <c r="N7" s="9"/>
    </row>
    <row r="8" spans="1:18" x14ac:dyDescent="0.25">
      <c r="A8" t="s">
        <v>179</v>
      </c>
      <c r="F8" t="s">
        <v>89</v>
      </c>
      <c r="G8">
        <v>101.2</v>
      </c>
      <c r="H8">
        <v>864.9</v>
      </c>
      <c r="I8">
        <f t="shared" si="0"/>
        <v>763.69999999999993</v>
      </c>
      <c r="J8">
        <f t="shared" si="1"/>
        <v>13.590177062016192</v>
      </c>
      <c r="N8" s="6"/>
    </row>
    <row r="9" spans="1:18" x14ac:dyDescent="0.25">
      <c r="A9" t="s">
        <v>180</v>
      </c>
      <c r="D9" s="5" t="s">
        <v>83</v>
      </c>
      <c r="E9" s="6" t="s">
        <v>84</v>
      </c>
      <c r="F9" t="s">
        <v>81</v>
      </c>
      <c r="G9">
        <v>163.6</v>
      </c>
      <c r="H9">
        <v>4697.8</v>
      </c>
      <c r="I9">
        <f t="shared" si="0"/>
        <v>4534.2</v>
      </c>
      <c r="J9">
        <f>(I9/4534.2)*100</f>
        <v>100</v>
      </c>
      <c r="N9" s="6"/>
    </row>
    <row r="10" spans="1:18" x14ac:dyDescent="0.25">
      <c r="A10" t="s">
        <v>181</v>
      </c>
      <c r="F10" t="s">
        <v>82</v>
      </c>
      <c r="G10">
        <v>163.6</v>
      </c>
      <c r="H10">
        <v>1098</v>
      </c>
      <c r="I10">
        <f t="shared" si="0"/>
        <v>934.4</v>
      </c>
      <c r="J10">
        <f t="shared" ref="J10:J11" si="2">(I10/4534.2)*100</f>
        <v>20.6078249746372</v>
      </c>
      <c r="N10" s="6"/>
    </row>
    <row r="11" spans="1:18" x14ac:dyDescent="0.25">
      <c r="A11" t="s">
        <v>182</v>
      </c>
      <c r="F11" t="s">
        <v>89</v>
      </c>
      <c r="G11">
        <v>163.6</v>
      </c>
      <c r="H11">
        <v>760.4</v>
      </c>
      <c r="I11">
        <f>H11-G11</f>
        <v>596.79999999999995</v>
      </c>
      <c r="J11">
        <f t="shared" si="2"/>
        <v>13.162189581403554</v>
      </c>
      <c r="N11" s="6"/>
    </row>
    <row r="12" spans="1:18" x14ac:dyDescent="0.25">
      <c r="A12" t="s">
        <v>183</v>
      </c>
      <c r="D12" s="5" t="s">
        <v>90</v>
      </c>
      <c r="E12" s="6" t="s">
        <v>91</v>
      </c>
      <c r="F12" t="s">
        <v>81</v>
      </c>
      <c r="G12">
        <v>94.7</v>
      </c>
      <c r="H12">
        <v>6845.5</v>
      </c>
      <c r="I12">
        <f t="shared" si="0"/>
        <v>6750.8</v>
      </c>
      <c r="J12">
        <f>(I12/6750.8)*100</f>
        <v>100</v>
      </c>
      <c r="N12" s="6"/>
    </row>
    <row r="13" spans="1:18" x14ac:dyDescent="0.25">
      <c r="A13" t="s">
        <v>184</v>
      </c>
      <c r="F13" t="s">
        <v>82</v>
      </c>
      <c r="G13">
        <v>94.7</v>
      </c>
      <c r="H13">
        <v>1963.2</v>
      </c>
      <c r="I13">
        <f t="shared" si="0"/>
        <v>1868.5</v>
      </c>
      <c r="J13">
        <f t="shared" ref="J13:J14" si="3">(I13/6750.8)*100</f>
        <v>27.678201102091606</v>
      </c>
      <c r="N13" s="6"/>
    </row>
    <row r="14" spans="1:18" x14ac:dyDescent="0.25">
      <c r="A14" t="s">
        <v>185</v>
      </c>
      <c r="F14" t="s">
        <v>89</v>
      </c>
      <c r="G14">
        <v>94.7</v>
      </c>
      <c r="H14">
        <v>1177</v>
      </c>
      <c r="I14">
        <f t="shared" si="0"/>
        <v>1082.3</v>
      </c>
      <c r="J14">
        <f t="shared" si="3"/>
        <v>16.032173964567161</v>
      </c>
      <c r="N14" s="6"/>
    </row>
    <row r="15" spans="1:18" x14ac:dyDescent="0.25">
      <c r="A15" t="s">
        <v>186</v>
      </c>
      <c r="D15" s="5" t="s">
        <v>85</v>
      </c>
      <c r="E15" s="6" t="s">
        <v>86</v>
      </c>
      <c r="F15" t="s">
        <v>81</v>
      </c>
      <c r="G15">
        <v>102.3</v>
      </c>
      <c r="H15">
        <v>6725.5</v>
      </c>
      <c r="I15">
        <f t="shared" si="0"/>
        <v>6623.2</v>
      </c>
      <c r="J15">
        <f>(I15/6623.2)*100</f>
        <v>100</v>
      </c>
      <c r="N15" s="6"/>
    </row>
    <row r="16" spans="1:18" x14ac:dyDescent="0.25">
      <c r="A16" t="s">
        <v>187</v>
      </c>
      <c r="F16" t="s">
        <v>82</v>
      </c>
      <c r="G16">
        <v>102.3</v>
      </c>
      <c r="H16">
        <v>2415.6</v>
      </c>
      <c r="I16">
        <f t="shared" si="0"/>
        <v>2313.2999999999997</v>
      </c>
      <c r="J16">
        <f t="shared" ref="J16:J17" si="4">(I16/6623.2)*100</f>
        <v>34.927225510327332</v>
      </c>
      <c r="N16" s="9"/>
    </row>
    <row r="17" spans="1:14" x14ac:dyDescent="0.25">
      <c r="A17" t="s">
        <v>188</v>
      </c>
      <c r="F17" t="s">
        <v>89</v>
      </c>
      <c r="G17">
        <v>102.3</v>
      </c>
      <c r="H17">
        <v>1556.2</v>
      </c>
      <c r="I17">
        <f t="shared" si="0"/>
        <v>1453.9</v>
      </c>
      <c r="J17">
        <f t="shared" si="4"/>
        <v>21.951624592342071</v>
      </c>
      <c r="N17" s="9"/>
    </row>
    <row r="18" spans="1:14" x14ac:dyDescent="0.25">
      <c r="A18" t="s">
        <v>189</v>
      </c>
      <c r="D18" s="5" t="s">
        <v>87</v>
      </c>
      <c r="E18" s="6" t="s">
        <v>88</v>
      </c>
      <c r="F18" t="s">
        <v>81</v>
      </c>
      <c r="G18">
        <v>102.6</v>
      </c>
      <c r="H18">
        <v>4462.7</v>
      </c>
      <c r="I18">
        <f t="shared" si="0"/>
        <v>4360.0999999999995</v>
      </c>
      <c r="J18">
        <f>(I18/4360.1)*100</f>
        <v>99.999999999999972</v>
      </c>
      <c r="N18" s="6"/>
    </row>
    <row r="19" spans="1:14" x14ac:dyDescent="0.25">
      <c r="A19" t="s">
        <v>190</v>
      </c>
      <c r="F19" t="s">
        <v>82</v>
      </c>
      <c r="G19">
        <v>102.6</v>
      </c>
      <c r="H19">
        <v>1211.8</v>
      </c>
      <c r="I19">
        <f t="shared" si="0"/>
        <v>1109.2</v>
      </c>
      <c r="J19">
        <f t="shared" ref="J19:J20" si="5">(I19/4360.1)*100</f>
        <v>25.439783491204327</v>
      </c>
      <c r="N19" s="6"/>
    </row>
    <row r="20" spans="1:14" x14ac:dyDescent="0.25">
      <c r="A20" t="s">
        <v>191</v>
      </c>
      <c r="F20" t="s">
        <v>89</v>
      </c>
      <c r="G20">
        <v>102.6</v>
      </c>
      <c r="H20">
        <v>887.6</v>
      </c>
      <c r="I20">
        <f t="shared" si="0"/>
        <v>785</v>
      </c>
      <c r="J20">
        <f t="shared" si="5"/>
        <v>18.004174216187703</v>
      </c>
      <c r="N20" s="6"/>
    </row>
    <row r="21" spans="1:14" x14ac:dyDescent="0.25">
      <c r="A21" t="s">
        <v>192</v>
      </c>
      <c r="D21" s="5" t="s">
        <v>92</v>
      </c>
      <c r="E21" s="6" t="s">
        <v>93</v>
      </c>
      <c r="F21" t="s">
        <v>81</v>
      </c>
      <c r="G21">
        <v>116.4</v>
      </c>
      <c r="H21">
        <v>4191.7</v>
      </c>
      <c r="I21">
        <f t="shared" si="0"/>
        <v>4075.2999999999997</v>
      </c>
      <c r="J21">
        <f>(I21/4075.3)*100</f>
        <v>99.999999999999986</v>
      </c>
      <c r="N21" s="6"/>
    </row>
    <row r="22" spans="1:14" x14ac:dyDescent="0.25">
      <c r="A22" t="s">
        <v>193</v>
      </c>
      <c r="F22" t="s">
        <v>82</v>
      </c>
      <c r="G22">
        <v>116.4</v>
      </c>
      <c r="H22">
        <v>1338.3</v>
      </c>
      <c r="I22">
        <f t="shared" si="0"/>
        <v>1221.8999999999999</v>
      </c>
      <c r="J22">
        <f t="shared" ref="J22:J23" si="6">(I22/4075.3)*100</f>
        <v>29.983068731136353</v>
      </c>
      <c r="N22" s="6"/>
    </row>
    <row r="23" spans="1:14" x14ac:dyDescent="0.25">
      <c r="A23" t="s">
        <v>194</v>
      </c>
      <c r="F23" t="s">
        <v>89</v>
      </c>
      <c r="G23">
        <v>116.4</v>
      </c>
      <c r="H23">
        <v>669.3</v>
      </c>
      <c r="I23">
        <f>H23-G23</f>
        <v>552.9</v>
      </c>
      <c r="J23">
        <f t="shared" si="6"/>
        <v>13.567099354648738</v>
      </c>
      <c r="N23" s="6"/>
    </row>
    <row r="24" spans="1:14" x14ac:dyDescent="0.25">
      <c r="A24" t="s">
        <v>195</v>
      </c>
      <c r="D24" s="5" t="s">
        <v>94</v>
      </c>
      <c r="E24" s="6" t="s">
        <v>95</v>
      </c>
      <c r="F24" t="s">
        <v>81</v>
      </c>
      <c r="G24">
        <v>117.7</v>
      </c>
      <c r="H24">
        <v>3336.5</v>
      </c>
      <c r="I24">
        <f t="shared" si="0"/>
        <v>3218.8</v>
      </c>
      <c r="J24">
        <f>(I24/3218.8)*100</f>
        <v>100</v>
      </c>
      <c r="N24" s="6"/>
    </row>
    <row r="25" spans="1:14" x14ac:dyDescent="0.25">
      <c r="A25" t="s">
        <v>196</v>
      </c>
      <c r="F25" t="s">
        <v>82</v>
      </c>
      <c r="G25">
        <v>117.7</v>
      </c>
      <c r="H25">
        <v>1094.5999999999999</v>
      </c>
      <c r="I25">
        <f t="shared" si="0"/>
        <v>976.89999999999986</v>
      </c>
      <c r="J25">
        <f t="shared" ref="J25:J26" si="7">(I25/3218.8)*100</f>
        <v>30.349819808624328</v>
      </c>
      <c r="N25" s="6"/>
    </row>
    <row r="26" spans="1:14" x14ac:dyDescent="0.25">
      <c r="A26" t="s">
        <v>197</v>
      </c>
      <c r="F26" t="s">
        <v>89</v>
      </c>
      <c r="G26">
        <v>117.7</v>
      </c>
      <c r="H26">
        <v>711.5</v>
      </c>
      <c r="I26">
        <f t="shared" si="0"/>
        <v>593.79999999999995</v>
      </c>
      <c r="J26">
        <f t="shared" si="7"/>
        <v>18.447868770970548</v>
      </c>
      <c r="N26" s="9"/>
    </row>
    <row r="27" spans="1:14" x14ac:dyDescent="0.25">
      <c r="A27" t="s">
        <v>198</v>
      </c>
      <c r="D27" s="5" t="s">
        <v>97</v>
      </c>
      <c r="E27" s="6" t="s">
        <v>96</v>
      </c>
      <c r="F27" t="s">
        <v>81</v>
      </c>
      <c r="G27">
        <v>107.5</v>
      </c>
      <c r="H27">
        <v>3227.3</v>
      </c>
      <c r="I27">
        <f t="shared" si="0"/>
        <v>3119.8</v>
      </c>
      <c r="J27">
        <f>(I27/3119.8)*100</f>
        <v>100</v>
      </c>
      <c r="N27" s="9"/>
    </row>
    <row r="28" spans="1:14" x14ac:dyDescent="0.25">
      <c r="A28" t="s">
        <v>199</v>
      </c>
      <c r="F28" t="s">
        <v>82</v>
      </c>
      <c r="G28">
        <v>107.5</v>
      </c>
      <c r="H28">
        <v>952</v>
      </c>
      <c r="I28">
        <f t="shared" si="0"/>
        <v>844.5</v>
      </c>
      <c r="J28">
        <f t="shared" ref="J28:J29" si="8">(I28/3119.8)*100</f>
        <v>27.069042887364574</v>
      </c>
      <c r="N28" s="9"/>
    </row>
    <row r="29" spans="1:14" x14ac:dyDescent="0.25">
      <c r="A29" t="s">
        <v>200</v>
      </c>
      <c r="F29" t="s">
        <v>89</v>
      </c>
      <c r="G29">
        <v>107.5</v>
      </c>
      <c r="H29">
        <v>527.5</v>
      </c>
      <c r="I29">
        <f t="shared" si="0"/>
        <v>420</v>
      </c>
      <c r="J29">
        <f t="shared" si="8"/>
        <v>13.462401435989484</v>
      </c>
      <c r="N29" s="6"/>
    </row>
    <row r="30" spans="1:14" x14ac:dyDescent="0.25">
      <c r="A30" t="s">
        <v>201</v>
      </c>
      <c r="D30" s="5" t="s">
        <v>98</v>
      </c>
      <c r="E30" s="6" t="s">
        <v>99</v>
      </c>
      <c r="F30" t="s">
        <v>81</v>
      </c>
      <c r="G30">
        <v>108.9</v>
      </c>
      <c r="H30">
        <v>6872.2</v>
      </c>
      <c r="I30">
        <f t="shared" si="0"/>
        <v>6763.3</v>
      </c>
      <c r="J30">
        <f>(I30/6763.3)*100</f>
        <v>100</v>
      </c>
      <c r="N30" s="6"/>
    </row>
    <row r="31" spans="1:14" x14ac:dyDescent="0.25">
      <c r="A31" t="s">
        <v>202</v>
      </c>
      <c r="F31" t="s">
        <v>82</v>
      </c>
      <c r="G31">
        <v>108.9</v>
      </c>
      <c r="H31">
        <v>1916.2</v>
      </c>
      <c r="I31">
        <f t="shared" si="0"/>
        <v>1807.3</v>
      </c>
      <c r="J31">
        <f t="shared" ref="J31:J32" si="9">(I31/6763.3)*100</f>
        <v>26.722162258069282</v>
      </c>
      <c r="N31" s="6"/>
    </row>
    <row r="32" spans="1:14" x14ac:dyDescent="0.25">
      <c r="A32" t="s">
        <v>203</v>
      </c>
      <c r="F32" t="s">
        <v>89</v>
      </c>
      <c r="G32">
        <v>108.9</v>
      </c>
      <c r="H32">
        <v>1029.2</v>
      </c>
      <c r="I32">
        <f t="shared" si="0"/>
        <v>920.30000000000007</v>
      </c>
      <c r="J32">
        <f t="shared" si="9"/>
        <v>13.607262726775391</v>
      </c>
      <c r="N32" s="6"/>
    </row>
    <row r="33" spans="1:14" x14ac:dyDescent="0.25">
      <c r="A33" t="s">
        <v>204</v>
      </c>
      <c r="D33" s="5" t="s">
        <v>100</v>
      </c>
      <c r="E33" s="6" t="s">
        <v>101</v>
      </c>
      <c r="F33" t="s">
        <v>81</v>
      </c>
      <c r="G33">
        <v>125.4</v>
      </c>
      <c r="H33">
        <v>6258.2</v>
      </c>
      <c r="I33">
        <f t="shared" si="0"/>
        <v>6132.8</v>
      </c>
      <c r="J33">
        <f>(I33/6132.8)*100</f>
        <v>100</v>
      </c>
      <c r="N33" s="6"/>
    </row>
    <row r="34" spans="1:14" x14ac:dyDescent="0.25">
      <c r="A34" t="s">
        <v>205</v>
      </c>
      <c r="F34" t="s">
        <v>82</v>
      </c>
      <c r="G34">
        <v>125.4</v>
      </c>
      <c r="H34">
        <v>1472.3</v>
      </c>
      <c r="I34">
        <f t="shared" si="0"/>
        <v>1346.8999999999999</v>
      </c>
      <c r="J34">
        <f t="shared" ref="J34:J35" si="10">(I34/6132.8)*100</f>
        <v>21.962235846595355</v>
      </c>
      <c r="N34" s="6"/>
    </row>
    <row r="35" spans="1:14" x14ac:dyDescent="0.25">
      <c r="A35" t="s">
        <v>206</v>
      </c>
      <c r="F35" t="s">
        <v>89</v>
      </c>
      <c r="G35">
        <v>125.4</v>
      </c>
      <c r="H35">
        <v>682.7</v>
      </c>
      <c r="I35">
        <f t="shared" si="0"/>
        <v>557.30000000000007</v>
      </c>
      <c r="J35">
        <f t="shared" si="10"/>
        <v>9.0872032350639191</v>
      </c>
      <c r="N35" s="6"/>
    </row>
    <row r="36" spans="1:14" x14ac:dyDescent="0.25">
      <c r="A36" t="s">
        <v>207</v>
      </c>
      <c r="N36" s="6"/>
    </row>
    <row r="37" spans="1:14" x14ac:dyDescent="0.25">
      <c r="A37" t="s">
        <v>208</v>
      </c>
      <c r="D37" s="2" t="s">
        <v>74</v>
      </c>
      <c r="E37" t="s">
        <v>102</v>
      </c>
      <c r="N37" s="9"/>
    </row>
    <row r="38" spans="1:14" x14ac:dyDescent="0.25">
      <c r="A38" t="s">
        <v>209</v>
      </c>
      <c r="D38" s="5" t="s">
        <v>79</v>
      </c>
      <c r="E38" s="6" t="s">
        <v>80</v>
      </c>
      <c r="F38" t="s">
        <v>81</v>
      </c>
      <c r="G38">
        <v>101.2</v>
      </c>
      <c r="H38">
        <v>6577</v>
      </c>
      <c r="I38">
        <f>H38-G38</f>
        <v>6475.8</v>
      </c>
      <c r="J38">
        <f>(I38/6475.8)*100</f>
        <v>100</v>
      </c>
      <c r="N38" s="9"/>
    </row>
    <row r="39" spans="1:14" x14ac:dyDescent="0.25">
      <c r="A39" t="s">
        <v>210</v>
      </c>
      <c r="F39" t="s">
        <v>82</v>
      </c>
      <c r="G39">
        <v>101.2</v>
      </c>
      <c r="H39">
        <v>2364.8000000000002</v>
      </c>
      <c r="I39">
        <f>H39-G39</f>
        <v>2263.6000000000004</v>
      </c>
      <c r="J39">
        <f t="shared" ref="J39:J40" si="11">(I39/6475.8)*100</f>
        <v>34.95475462491121</v>
      </c>
      <c r="N39" s="6"/>
    </row>
    <row r="40" spans="1:14" x14ac:dyDescent="0.25">
      <c r="A40" t="s">
        <v>211</v>
      </c>
      <c r="F40" t="s">
        <v>89</v>
      </c>
      <c r="G40">
        <v>101.2</v>
      </c>
      <c r="H40">
        <v>1050.5999999999999</v>
      </c>
      <c r="I40">
        <f t="shared" ref="I40:I67" si="12">H40-G40</f>
        <v>949.39999999999986</v>
      </c>
      <c r="J40">
        <f t="shared" si="11"/>
        <v>14.660736897371752</v>
      </c>
      <c r="N40" s="6"/>
    </row>
    <row r="41" spans="1:14" x14ac:dyDescent="0.25">
      <c r="A41" t="s">
        <v>212</v>
      </c>
      <c r="D41" s="5" t="s">
        <v>83</v>
      </c>
      <c r="E41" s="6" t="s">
        <v>84</v>
      </c>
      <c r="F41" t="s">
        <v>81</v>
      </c>
      <c r="G41">
        <v>163.6</v>
      </c>
      <c r="H41">
        <v>5162.5</v>
      </c>
      <c r="I41">
        <f t="shared" si="12"/>
        <v>4998.8999999999996</v>
      </c>
      <c r="J41">
        <f>(I41/4998.9)*100</f>
        <v>100</v>
      </c>
      <c r="N41" s="6"/>
    </row>
    <row r="42" spans="1:14" x14ac:dyDescent="0.25">
      <c r="A42" t="s">
        <v>213</v>
      </c>
      <c r="F42" t="s">
        <v>82</v>
      </c>
      <c r="G42">
        <v>163.6</v>
      </c>
      <c r="H42">
        <v>1924.8</v>
      </c>
      <c r="I42">
        <f t="shared" si="12"/>
        <v>1761.2</v>
      </c>
      <c r="J42">
        <f t="shared" ref="J42:J43" si="13">(I42/4998.9)*100</f>
        <v>35.231750985216756</v>
      </c>
      <c r="N42" s="6"/>
    </row>
    <row r="43" spans="1:14" x14ac:dyDescent="0.25">
      <c r="A43" t="s">
        <v>214</v>
      </c>
      <c r="F43" t="s">
        <v>89</v>
      </c>
      <c r="G43">
        <v>163.6</v>
      </c>
      <c r="H43">
        <v>1083.8</v>
      </c>
      <c r="I43">
        <f t="shared" si="12"/>
        <v>920.19999999999993</v>
      </c>
      <c r="J43">
        <f t="shared" si="13"/>
        <v>18.40804977094961</v>
      </c>
      <c r="N43" s="6"/>
    </row>
    <row r="44" spans="1:14" x14ac:dyDescent="0.25">
      <c r="A44" t="s">
        <v>215</v>
      </c>
      <c r="D44" s="5" t="s">
        <v>90</v>
      </c>
      <c r="E44" s="6" t="s">
        <v>91</v>
      </c>
      <c r="F44" t="s">
        <v>81</v>
      </c>
      <c r="G44">
        <v>94.7</v>
      </c>
      <c r="H44">
        <v>7920.9</v>
      </c>
      <c r="I44">
        <f t="shared" si="12"/>
        <v>7826.2</v>
      </c>
      <c r="J44">
        <f>(I44/7826.2)*100</f>
        <v>100</v>
      </c>
      <c r="N44" s="6"/>
    </row>
    <row r="45" spans="1:14" x14ac:dyDescent="0.25">
      <c r="A45" t="s">
        <v>216</v>
      </c>
      <c r="F45" t="s">
        <v>82</v>
      </c>
      <c r="G45">
        <v>94.7</v>
      </c>
      <c r="H45">
        <v>3251</v>
      </c>
      <c r="I45">
        <f t="shared" si="12"/>
        <v>3156.3</v>
      </c>
      <c r="J45">
        <f t="shared" ref="J45:J46" si="14">(I45/7826.2)*100</f>
        <v>40.32991745674785</v>
      </c>
      <c r="N45" s="6"/>
    </row>
    <row r="46" spans="1:14" x14ac:dyDescent="0.25">
      <c r="A46" t="s">
        <v>217</v>
      </c>
      <c r="F46" t="s">
        <v>89</v>
      </c>
      <c r="G46">
        <v>94.7</v>
      </c>
      <c r="H46">
        <v>1707.2</v>
      </c>
      <c r="I46">
        <f t="shared" si="12"/>
        <v>1612.5</v>
      </c>
      <c r="J46">
        <f t="shared" si="14"/>
        <v>20.603869055224759</v>
      </c>
      <c r="N46" s="6"/>
    </row>
    <row r="47" spans="1:14" x14ac:dyDescent="0.25">
      <c r="A47" t="s">
        <v>218</v>
      </c>
      <c r="D47" s="5" t="s">
        <v>85</v>
      </c>
      <c r="E47" s="6" t="s">
        <v>86</v>
      </c>
      <c r="F47" t="s">
        <v>81</v>
      </c>
      <c r="G47">
        <v>102.3</v>
      </c>
      <c r="H47">
        <v>9383.2999999999993</v>
      </c>
      <c r="I47">
        <f t="shared" si="12"/>
        <v>9281</v>
      </c>
      <c r="J47">
        <f>(I47/9281)*100</f>
        <v>100</v>
      </c>
    </row>
    <row r="48" spans="1:14" x14ac:dyDescent="0.25">
      <c r="A48" t="s">
        <v>219</v>
      </c>
      <c r="F48" t="s">
        <v>82</v>
      </c>
      <c r="G48">
        <v>102.3</v>
      </c>
      <c r="H48">
        <v>4022.5</v>
      </c>
      <c r="I48">
        <f t="shared" si="12"/>
        <v>3920.2</v>
      </c>
      <c r="J48">
        <f t="shared" ref="J48:J49" si="15">(I48/9281)*100</f>
        <v>42.238982868225406</v>
      </c>
    </row>
    <row r="49" spans="1:10" x14ac:dyDescent="0.25">
      <c r="A49" t="s">
        <v>220</v>
      </c>
      <c r="F49" t="s">
        <v>89</v>
      </c>
      <c r="G49">
        <v>102.3</v>
      </c>
      <c r="H49">
        <v>2151.6</v>
      </c>
      <c r="I49">
        <f t="shared" si="12"/>
        <v>2049.2999999999997</v>
      </c>
      <c r="J49">
        <f t="shared" si="15"/>
        <v>22.080594763495309</v>
      </c>
    </row>
    <row r="50" spans="1:10" x14ac:dyDescent="0.25">
      <c r="A50" t="s">
        <v>221</v>
      </c>
      <c r="D50" s="5" t="s">
        <v>87</v>
      </c>
      <c r="E50" s="6" t="s">
        <v>88</v>
      </c>
      <c r="F50" t="s">
        <v>81</v>
      </c>
      <c r="G50">
        <v>102.6</v>
      </c>
      <c r="H50">
        <v>4970.5</v>
      </c>
      <c r="I50" s="10">
        <f t="shared" si="12"/>
        <v>4867.8999999999996</v>
      </c>
      <c r="J50" s="7">
        <f>(I50/4867.9)*100</f>
        <v>100</v>
      </c>
    </row>
    <row r="51" spans="1:10" x14ac:dyDescent="0.25">
      <c r="A51" t="s">
        <v>222</v>
      </c>
      <c r="F51" t="s">
        <v>82</v>
      </c>
      <c r="G51">
        <v>102.6</v>
      </c>
      <c r="H51">
        <v>3562.9</v>
      </c>
      <c r="I51">
        <f t="shared" si="12"/>
        <v>3460.3</v>
      </c>
      <c r="J51" s="7">
        <f t="shared" ref="J51:J52" si="16">(I51/4867.9)*100</f>
        <v>71.084040345939741</v>
      </c>
    </row>
    <row r="52" spans="1:10" x14ac:dyDescent="0.25">
      <c r="A52" t="s">
        <v>223</v>
      </c>
      <c r="F52" t="s">
        <v>89</v>
      </c>
      <c r="G52">
        <v>102.6</v>
      </c>
      <c r="H52">
        <v>2964.2</v>
      </c>
      <c r="I52">
        <f t="shared" si="12"/>
        <v>2861.6</v>
      </c>
      <c r="J52" s="7">
        <f t="shared" si="16"/>
        <v>58.78510240555476</v>
      </c>
    </row>
    <row r="53" spans="1:10" x14ac:dyDescent="0.25">
      <c r="A53" t="s">
        <v>224</v>
      </c>
      <c r="D53" s="5" t="s">
        <v>92</v>
      </c>
      <c r="E53" s="6" t="s">
        <v>93</v>
      </c>
      <c r="F53" t="s">
        <v>81</v>
      </c>
      <c r="G53">
        <v>116.4</v>
      </c>
      <c r="H53">
        <v>4318.7</v>
      </c>
      <c r="I53">
        <f t="shared" si="12"/>
        <v>4202.3</v>
      </c>
      <c r="J53">
        <f>(I53/4202.3)*100</f>
        <v>100</v>
      </c>
    </row>
    <row r="54" spans="1:10" x14ac:dyDescent="0.25">
      <c r="A54" t="s">
        <v>225</v>
      </c>
      <c r="F54" t="s">
        <v>82</v>
      </c>
      <c r="G54">
        <v>116.4</v>
      </c>
      <c r="H54">
        <v>3098.4</v>
      </c>
      <c r="I54">
        <f t="shared" si="12"/>
        <v>2982</v>
      </c>
      <c r="J54" s="7">
        <f t="shared" ref="J54:J55" si="17">(I54/4202.3)*100</f>
        <v>70.961140327915658</v>
      </c>
    </row>
    <row r="55" spans="1:10" x14ac:dyDescent="0.25">
      <c r="A55" t="s">
        <v>226</v>
      </c>
      <c r="F55" t="s">
        <v>89</v>
      </c>
      <c r="G55">
        <v>116.4</v>
      </c>
      <c r="H55">
        <v>2565.4</v>
      </c>
      <c r="I55">
        <f t="shared" si="12"/>
        <v>2449</v>
      </c>
      <c r="J55" s="7">
        <f t="shared" si="17"/>
        <v>58.277609880303636</v>
      </c>
    </row>
    <row r="56" spans="1:10" x14ac:dyDescent="0.25">
      <c r="A56" t="s">
        <v>227</v>
      </c>
      <c r="D56" s="5" t="s">
        <v>94</v>
      </c>
      <c r="E56" s="6" t="s">
        <v>95</v>
      </c>
      <c r="F56" t="s">
        <v>81</v>
      </c>
      <c r="G56">
        <v>117.7</v>
      </c>
      <c r="H56">
        <v>3584.1</v>
      </c>
      <c r="I56">
        <f t="shared" si="12"/>
        <v>3466.4</v>
      </c>
      <c r="J56">
        <f>(I56/3466.4)*100</f>
        <v>100</v>
      </c>
    </row>
    <row r="57" spans="1:10" x14ac:dyDescent="0.25">
      <c r="A57" t="s">
        <v>228</v>
      </c>
      <c r="F57" t="s">
        <v>82</v>
      </c>
      <c r="G57">
        <v>117.7</v>
      </c>
      <c r="H57">
        <v>1464.8</v>
      </c>
      <c r="I57">
        <f t="shared" si="12"/>
        <v>1347.1</v>
      </c>
      <c r="J57">
        <f t="shared" ref="J57:J58" si="18">(I57/3466.4)*100</f>
        <v>38.861643203323332</v>
      </c>
    </row>
    <row r="58" spans="1:10" x14ac:dyDescent="0.25">
      <c r="A58" t="s">
        <v>229</v>
      </c>
      <c r="F58" t="s">
        <v>89</v>
      </c>
      <c r="G58">
        <v>117.7</v>
      </c>
      <c r="H58">
        <v>886.7</v>
      </c>
      <c r="I58">
        <f t="shared" si="12"/>
        <v>769</v>
      </c>
      <c r="J58">
        <f t="shared" si="18"/>
        <v>22.184398799907683</v>
      </c>
    </row>
    <row r="59" spans="1:10" x14ac:dyDescent="0.25">
      <c r="A59" t="s">
        <v>230</v>
      </c>
      <c r="D59" s="5" t="s">
        <v>97</v>
      </c>
      <c r="E59" s="6" t="s">
        <v>96</v>
      </c>
      <c r="F59" t="s">
        <v>81</v>
      </c>
      <c r="G59">
        <v>107.5</v>
      </c>
      <c r="H59">
        <v>3592.9</v>
      </c>
      <c r="I59">
        <f t="shared" si="12"/>
        <v>3485.4</v>
      </c>
      <c r="J59">
        <f>(I59/3485.4)*100</f>
        <v>100</v>
      </c>
    </row>
    <row r="60" spans="1:10" x14ac:dyDescent="0.25">
      <c r="A60" t="s">
        <v>231</v>
      </c>
      <c r="F60" t="s">
        <v>82</v>
      </c>
      <c r="G60">
        <v>107.5</v>
      </c>
      <c r="H60">
        <v>1240.7</v>
      </c>
      <c r="I60">
        <f t="shared" si="12"/>
        <v>1133.2</v>
      </c>
      <c r="J60">
        <f t="shared" ref="J60:J61" si="19">(I60/3485.4)*100</f>
        <v>32.512767544614682</v>
      </c>
    </row>
    <row r="61" spans="1:10" x14ac:dyDescent="0.25">
      <c r="A61" t="s">
        <v>232</v>
      </c>
      <c r="F61" t="s">
        <v>89</v>
      </c>
      <c r="G61">
        <v>107.5</v>
      </c>
      <c r="H61">
        <v>729.6</v>
      </c>
      <c r="I61">
        <f t="shared" si="12"/>
        <v>622.1</v>
      </c>
      <c r="J61">
        <f t="shared" si="19"/>
        <v>17.848740460205427</v>
      </c>
    </row>
    <row r="62" spans="1:10" x14ac:dyDescent="0.25">
      <c r="A62" t="s">
        <v>233</v>
      </c>
      <c r="D62" s="5" t="s">
        <v>98</v>
      </c>
      <c r="E62" s="6" t="s">
        <v>99</v>
      </c>
      <c r="F62" t="s">
        <v>81</v>
      </c>
      <c r="G62">
        <v>108.9</v>
      </c>
      <c r="H62">
        <v>7305.9</v>
      </c>
      <c r="I62">
        <f t="shared" si="12"/>
        <v>7197</v>
      </c>
      <c r="J62">
        <f>(I62/7197)*100</f>
        <v>100</v>
      </c>
    </row>
    <row r="63" spans="1:10" x14ac:dyDescent="0.25">
      <c r="A63" t="s">
        <v>234</v>
      </c>
      <c r="F63" t="s">
        <v>82</v>
      </c>
      <c r="G63">
        <v>108.9</v>
      </c>
      <c r="H63">
        <v>2749</v>
      </c>
      <c r="I63">
        <f t="shared" si="12"/>
        <v>2640.1</v>
      </c>
      <c r="J63">
        <f t="shared" ref="J63:J64" si="20">(I63/7197)*100</f>
        <v>36.683340280672496</v>
      </c>
    </row>
    <row r="64" spans="1:10" x14ac:dyDescent="0.25">
      <c r="A64" t="s">
        <v>235</v>
      </c>
      <c r="F64" t="s">
        <v>89</v>
      </c>
      <c r="G64">
        <v>108.9</v>
      </c>
      <c r="H64">
        <v>1429</v>
      </c>
      <c r="I64">
        <f t="shared" si="12"/>
        <v>1320.1</v>
      </c>
      <c r="J64">
        <f t="shared" si="20"/>
        <v>18.342364874253157</v>
      </c>
    </row>
    <row r="65" spans="1:10" x14ac:dyDescent="0.25">
      <c r="A65" t="s">
        <v>236</v>
      </c>
      <c r="D65" s="5" t="s">
        <v>100</v>
      </c>
      <c r="E65" s="6" t="s">
        <v>101</v>
      </c>
      <c r="F65" t="s">
        <v>81</v>
      </c>
      <c r="G65">
        <v>125.4</v>
      </c>
      <c r="H65">
        <v>7155.5</v>
      </c>
      <c r="I65">
        <f t="shared" si="12"/>
        <v>7030.1</v>
      </c>
      <c r="J65">
        <f>(I65/7030.1)*100</f>
        <v>100</v>
      </c>
    </row>
    <row r="66" spans="1:10" x14ac:dyDescent="0.25">
      <c r="A66" t="s">
        <v>237</v>
      </c>
      <c r="F66" t="s">
        <v>82</v>
      </c>
      <c r="G66">
        <v>125.4</v>
      </c>
      <c r="H66">
        <v>2398.8000000000002</v>
      </c>
      <c r="I66">
        <f t="shared" si="12"/>
        <v>2273.4</v>
      </c>
      <c r="J66">
        <f t="shared" ref="J66:J67" si="21">(I66/7030.1)*100</f>
        <v>32.33808907412412</v>
      </c>
    </row>
    <row r="67" spans="1:10" x14ac:dyDescent="0.25">
      <c r="A67" t="s">
        <v>238</v>
      </c>
      <c r="F67" t="s">
        <v>89</v>
      </c>
      <c r="G67">
        <v>125.4</v>
      </c>
      <c r="H67">
        <v>1106.8</v>
      </c>
      <c r="I67">
        <f t="shared" si="12"/>
        <v>981.4</v>
      </c>
      <c r="J67">
        <f t="shared" si="21"/>
        <v>13.959972119884496</v>
      </c>
    </row>
    <row r="68" spans="1:10" x14ac:dyDescent="0.25">
      <c r="A68" t="s">
        <v>239</v>
      </c>
    </row>
    <row r="69" spans="1:10" x14ac:dyDescent="0.25">
      <c r="A69" t="s">
        <v>240</v>
      </c>
    </row>
    <row r="70" spans="1:10" x14ac:dyDescent="0.25">
      <c r="A70" t="s">
        <v>241</v>
      </c>
    </row>
    <row r="71" spans="1:10" x14ac:dyDescent="0.25">
      <c r="A71" t="s">
        <v>242</v>
      </c>
    </row>
    <row r="72" spans="1:10" x14ac:dyDescent="0.25">
      <c r="A72" t="s">
        <v>243</v>
      </c>
    </row>
    <row r="73" spans="1:10" x14ac:dyDescent="0.25">
      <c r="A73" t="s">
        <v>244</v>
      </c>
    </row>
    <row r="74" spans="1:10" x14ac:dyDescent="0.25">
      <c r="A74" t="s">
        <v>245</v>
      </c>
    </row>
    <row r="75" spans="1:10" x14ac:dyDescent="0.25">
      <c r="A75" t="s">
        <v>246</v>
      </c>
    </row>
    <row r="76" spans="1:10" x14ac:dyDescent="0.25">
      <c r="A76" t="s">
        <v>247</v>
      </c>
    </row>
    <row r="77" spans="1:10" x14ac:dyDescent="0.25">
      <c r="A77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B950-DE2F-4A75-96CC-9AEC40006163}">
  <dimension ref="A3:R76"/>
  <sheetViews>
    <sheetView workbookViewId="0">
      <selection activeCell="I15" sqref="I15"/>
    </sheetView>
  </sheetViews>
  <sheetFormatPr defaultRowHeight="15" x14ac:dyDescent="0.25"/>
  <cols>
    <col min="1" max="1" width="47.42578125" bestFit="1" customWidth="1"/>
    <col min="4" max="4" width="21.85546875" bestFit="1" customWidth="1"/>
    <col min="5" max="5" width="23.5703125" bestFit="1" customWidth="1"/>
    <col min="7" max="7" width="12.85546875" customWidth="1"/>
    <col min="8" max="8" width="12.140625" customWidth="1"/>
    <col min="9" max="9" width="12.42578125" customWidth="1"/>
  </cols>
  <sheetData>
    <row r="3" spans="1:18" x14ac:dyDescent="0.25">
      <c r="A3" t="s">
        <v>0</v>
      </c>
    </row>
    <row r="4" spans="1:18" x14ac:dyDescent="0.25">
      <c r="N4" s="9"/>
      <c r="O4" s="8"/>
      <c r="P4" s="8"/>
      <c r="Q4" s="8"/>
      <c r="R4" s="8"/>
    </row>
    <row r="5" spans="1:18" ht="42.75" x14ac:dyDescent="0.25">
      <c r="A5" t="s">
        <v>1</v>
      </c>
      <c r="D5" s="2" t="s">
        <v>74</v>
      </c>
      <c r="G5" s="3" t="s">
        <v>75</v>
      </c>
      <c r="H5" s="4" t="s">
        <v>76</v>
      </c>
      <c r="I5" s="3" t="s">
        <v>77</v>
      </c>
      <c r="J5" s="3" t="s">
        <v>78</v>
      </c>
      <c r="N5" s="9"/>
    </row>
    <row r="6" spans="1:18" x14ac:dyDescent="0.25">
      <c r="A6" t="s">
        <v>177</v>
      </c>
      <c r="D6" s="5" t="s">
        <v>79</v>
      </c>
      <c r="E6" s="6" t="s">
        <v>80</v>
      </c>
      <c r="F6" t="s">
        <v>81</v>
      </c>
      <c r="G6">
        <v>198.5</v>
      </c>
      <c r="H6">
        <v>10717.8</v>
      </c>
      <c r="I6">
        <f>H6-G6</f>
        <v>10519.3</v>
      </c>
      <c r="J6">
        <f>(I6/10519.3)*100</f>
        <v>100</v>
      </c>
      <c r="N6" s="9"/>
    </row>
    <row r="7" spans="1:18" x14ac:dyDescent="0.25">
      <c r="A7" t="s">
        <v>249</v>
      </c>
      <c r="F7" t="s">
        <v>82</v>
      </c>
      <c r="G7">
        <v>198.5</v>
      </c>
      <c r="H7">
        <v>2512.1</v>
      </c>
      <c r="I7">
        <f t="shared" ref="I7:I35" si="0">H7-G7</f>
        <v>2313.6</v>
      </c>
      <c r="J7">
        <f>(I7/10519.3)*100</f>
        <v>21.993858906961492</v>
      </c>
      <c r="N7" s="6"/>
    </row>
    <row r="8" spans="1:18" x14ac:dyDescent="0.25">
      <c r="A8" t="s">
        <v>250</v>
      </c>
      <c r="F8" t="s">
        <v>89</v>
      </c>
      <c r="G8">
        <v>198.5</v>
      </c>
      <c r="H8">
        <v>1722.8</v>
      </c>
      <c r="I8">
        <f t="shared" si="0"/>
        <v>1524.3</v>
      </c>
      <c r="J8">
        <f>(I8/10519.3)*100</f>
        <v>14.490507923531034</v>
      </c>
      <c r="N8" s="6"/>
    </row>
    <row r="9" spans="1:18" x14ac:dyDescent="0.25">
      <c r="A9" t="s">
        <v>251</v>
      </c>
      <c r="D9" s="5" t="s">
        <v>83</v>
      </c>
      <c r="E9" s="6" t="s">
        <v>84</v>
      </c>
      <c r="F9" t="s">
        <v>81</v>
      </c>
      <c r="G9">
        <v>181.7</v>
      </c>
      <c r="H9">
        <v>8105.8</v>
      </c>
      <c r="I9">
        <f t="shared" si="0"/>
        <v>7924.1</v>
      </c>
      <c r="J9">
        <f>(I9/7924.1)*100</f>
        <v>100</v>
      </c>
      <c r="N9" s="6"/>
    </row>
    <row r="10" spans="1:18" x14ac:dyDescent="0.25">
      <c r="A10" t="s">
        <v>252</v>
      </c>
      <c r="F10" t="s">
        <v>82</v>
      </c>
      <c r="G10">
        <v>181.7</v>
      </c>
      <c r="H10">
        <v>1924.2</v>
      </c>
      <c r="I10">
        <f t="shared" si="0"/>
        <v>1742.5</v>
      </c>
      <c r="J10">
        <f t="shared" ref="J10:J11" si="1">(I10/7924.1)*100</f>
        <v>21.989878976792316</v>
      </c>
      <c r="N10" s="6"/>
    </row>
    <row r="11" spans="1:18" x14ac:dyDescent="0.25">
      <c r="A11" t="s">
        <v>253</v>
      </c>
      <c r="F11" t="s">
        <v>89</v>
      </c>
      <c r="G11">
        <v>181.7</v>
      </c>
      <c r="H11">
        <v>1489.9</v>
      </c>
      <c r="I11">
        <f>H11-G11</f>
        <v>1308.2</v>
      </c>
      <c r="J11">
        <f t="shared" si="1"/>
        <v>16.509130374427379</v>
      </c>
      <c r="N11" s="6"/>
    </row>
    <row r="12" spans="1:18" x14ac:dyDescent="0.25">
      <c r="A12" t="s">
        <v>254</v>
      </c>
      <c r="D12" s="5" t="s">
        <v>90</v>
      </c>
      <c r="E12" s="6" t="s">
        <v>91</v>
      </c>
      <c r="F12" t="s">
        <v>81</v>
      </c>
      <c r="G12">
        <v>158.6</v>
      </c>
      <c r="H12">
        <v>7245.9</v>
      </c>
      <c r="I12">
        <f t="shared" si="0"/>
        <v>7087.2999999999993</v>
      </c>
      <c r="J12">
        <f>(I12/7087.3)*100</f>
        <v>99.999999999999986</v>
      </c>
      <c r="N12" s="6"/>
    </row>
    <row r="13" spans="1:18" x14ac:dyDescent="0.25">
      <c r="A13" t="s">
        <v>255</v>
      </c>
      <c r="F13" t="s">
        <v>82</v>
      </c>
      <c r="G13">
        <v>158.6</v>
      </c>
      <c r="H13">
        <v>2045.5</v>
      </c>
      <c r="I13">
        <f t="shared" si="0"/>
        <v>1886.9</v>
      </c>
      <c r="J13">
        <f t="shared" ref="J13:J14" si="2">(I13/7087.3)*100</f>
        <v>26.623678975068081</v>
      </c>
      <c r="N13" s="6"/>
    </row>
    <row r="14" spans="1:18" x14ac:dyDescent="0.25">
      <c r="A14" t="s">
        <v>256</v>
      </c>
      <c r="F14" t="s">
        <v>89</v>
      </c>
      <c r="G14">
        <v>158.6</v>
      </c>
      <c r="H14">
        <v>1241.0999999999999</v>
      </c>
      <c r="I14">
        <f t="shared" si="0"/>
        <v>1082.5</v>
      </c>
      <c r="J14">
        <f t="shared" si="2"/>
        <v>15.273799613392969</v>
      </c>
      <c r="N14" s="6"/>
    </row>
    <row r="15" spans="1:18" x14ac:dyDescent="0.25">
      <c r="A15" t="s">
        <v>257</v>
      </c>
      <c r="D15" s="5" t="s">
        <v>85</v>
      </c>
      <c r="E15" s="6" t="s">
        <v>86</v>
      </c>
      <c r="F15" t="s">
        <v>81</v>
      </c>
      <c r="G15">
        <v>190.3</v>
      </c>
      <c r="H15">
        <v>7945.7</v>
      </c>
      <c r="I15">
        <f t="shared" si="0"/>
        <v>7755.4</v>
      </c>
      <c r="J15">
        <f>(I15/7755.4)*100</f>
        <v>100</v>
      </c>
      <c r="N15" s="9"/>
    </row>
    <row r="16" spans="1:18" x14ac:dyDescent="0.25">
      <c r="A16" t="s">
        <v>258</v>
      </c>
      <c r="F16" t="s">
        <v>82</v>
      </c>
      <c r="G16">
        <v>190.3</v>
      </c>
      <c r="H16">
        <v>2212.3000000000002</v>
      </c>
      <c r="I16">
        <f t="shared" si="0"/>
        <v>2022.0000000000002</v>
      </c>
      <c r="J16">
        <f t="shared" ref="J16:J17" si="3">(I16/7755.4)*100</f>
        <v>26.072156175052225</v>
      </c>
      <c r="N16" s="9"/>
    </row>
    <row r="17" spans="1:14" x14ac:dyDescent="0.25">
      <c r="A17" t="s">
        <v>259</v>
      </c>
      <c r="F17" t="s">
        <v>89</v>
      </c>
      <c r="G17">
        <v>190.3</v>
      </c>
      <c r="H17">
        <v>1323</v>
      </c>
      <c r="I17">
        <f t="shared" si="0"/>
        <v>1132.7</v>
      </c>
      <c r="J17">
        <f t="shared" si="3"/>
        <v>14.605307269773322</v>
      </c>
      <c r="N17" s="6"/>
    </row>
    <row r="18" spans="1:14" x14ac:dyDescent="0.25">
      <c r="A18" t="s">
        <v>260</v>
      </c>
      <c r="D18" s="5" t="s">
        <v>87</v>
      </c>
      <c r="E18" s="6" t="s">
        <v>88</v>
      </c>
      <c r="F18" t="s">
        <v>81</v>
      </c>
      <c r="G18">
        <v>147.30000000000001</v>
      </c>
      <c r="H18">
        <v>6970.1</v>
      </c>
      <c r="I18">
        <f t="shared" si="0"/>
        <v>6822.8</v>
      </c>
      <c r="J18">
        <f>(I18/6822.8)*100</f>
        <v>100</v>
      </c>
      <c r="N18" s="6"/>
    </row>
    <row r="19" spans="1:14" x14ac:dyDescent="0.25">
      <c r="A19" t="s">
        <v>261</v>
      </c>
      <c r="F19" t="s">
        <v>82</v>
      </c>
      <c r="G19">
        <v>147.30000000000001</v>
      </c>
      <c r="H19">
        <v>1685.8</v>
      </c>
      <c r="I19">
        <f t="shared" si="0"/>
        <v>1538.5</v>
      </c>
      <c r="J19">
        <f t="shared" ref="J19:J20" si="4">(I19/6822.8)*100</f>
        <v>22.549393210998417</v>
      </c>
      <c r="N19" s="6"/>
    </row>
    <row r="20" spans="1:14" x14ac:dyDescent="0.25">
      <c r="A20" t="s">
        <v>262</v>
      </c>
      <c r="F20" t="s">
        <v>89</v>
      </c>
      <c r="G20">
        <v>147.30000000000001</v>
      </c>
      <c r="H20">
        <v>1204.3</v>
      </c>
      <c r="I20">
        <f t="shared" si="0"/>
        <v>1057</v>
      </c>
      <c r="J20">
        <f t="shared" si="4"/>
        <v>15.492173301283929</v>
      </c>
      <c r="N20" s="6"/>
    </row>
    <row r="21" spans="1:14" x14ac:dyDescent="0.25">
      <c r="A21" t="s">
        <v>263</v>
      </c>
      <c r="D21" s="5" t="s">
        <v>92</v>
      </c>
      <c r="E21" s="6" t="s">
        <v>93</v>
      </c>
      <c r="F21" t="s">
        <v>81</v>
      </c>
      <c r="G21">
        <v>158.6</v>
      </c>
      <c r="H21">
        <v>7070</v>
      </c>
      <c r="I21">
        <f t="shared" si="0"/>
        <v>6911.4</v>
      </c>
      <c r="J21">
        <f>(I21/6911.4)*100</f>
        <v>100</v>
      </c>
      <c r="N21" s="6"/>
    </row>
    <row r="22" spans="1:14" x14ac:dyDescent="0.25">
      <c r="A22" t="s">
        <v>264</v>
      </c>
      <c r="F22" t="s">
        <v>82</v>
      </c>
      <c r="G22">
        <v>158.6</v>
      </c>
      <c r="H22">
        <v>2135.8000000000002</v>
      </c>
      <c r="I22">
        <f t="shared" si="0"/>
        <v>1977.2000000000003</v>
      </c>
      <c r="J22">
        <f t="shared" ref="J22:J23" si="5">(I22/6911.4)*100</f>
        <v>28.607807390687856</v>
      </c>
      <c r="N22" s="6"/>
    </row>
    <row r="23" spans="1:14" x14ac:dyDescent="0.25">
      <c r="A23" t="s">
        <v>265</v>
      </c>
      <c r="F23" t="s">
        <v>89</v>
      </c>
      <c r="G23">
        <v>158.6</v>
      </c>
      <c r="H23">
        <v>1419.6</v>
      </c>
      <c r="I23">
        <f>H23-G23</f>
        <v>1261</v>
      </c>
      <c r="J23">
        <f t="shared" si="5"/>
        <v>18.245218045547936</v>
      </c>
      <c r="N23" s="6"/>
    </row>
    <row r="24" spans="1:14" x14ac:dyDescent="0.25">
      <c r="A24" t="s">
        <v>266</v>
      </c>
      <c r="D24" s="5" t="s">
        <v>94</v>
      </c>
      <c r="E24" s="6" t="s">
        <v>95</v>
      </c>
      <c r="F24" t="s">
        <v>81</v>
      </c>
      <c r="G24">
        <v>197.3</v>
      </c>
      <c r="H24">
        <v>6468.6</v>
      </c>
      <c r="I24">
        <f t="shared" si="0"/>
        <v>6271.3</v>
      </c>
      <c r="J24">
        <f>(I24/6271.3)*100</f>
        <v>100</v>
      </c>
      <c r="N24" s="6"/>
    </row>
    <row r="25" spans="1:14" x14ac:dyDescent="0.25">
      <c r="A25" t="s">
        <v>267</v>
      </c>
      <c r="F25" t="s">
        <v>82</v>
      </c>
      <c r="G25">
        <v>197.3</v>
      </c>
      <c r="H25">
        <v>1674</v>
      </c>
      <c r="I25">
        <f t="shared" si="0"/>
        <v>1476.7</v>
      </c>
      <c r="J25">
        <f t="shared" ref="J25:J26" si="6">(I25/6271.3)*100</f>
        <v>23.546951987626169</v>
      </c>
      <c r="N25" s="9"/>
    </row>
    <row r="26" spans="1:14" x14ac:dyDescent="0.25">
      <c r="A26" t="s">
        <v>268</v>
      </c>
      <c r="F26" t="s">
        <v>89</v>
      </c>
      <c r="G26">
        <v>197.3</v>
      </c>
      <c r="H26">
        <v>1299</v>
      </c>
      <c r="I26">
        <f t="shared" si="0"/>
        <v>1101.7</v>
      </c>
      <c r="J26">
        <f t="shared" si="6"/>
        <v>17.567330537528107</v>
      </c>
      <c r="N26" s="9"/>
    </row>
    <row r="27" spans="1:14" x14ac:dyDescent="0.25">
      <c r="A27" t="s">
        <v>269</v>
      </c>
      <c r="D27" s="5" t="s">
        <v>97</v>
      </c>
      <c r="E27" s="6" t="s">
        <v>96</v>
      </c>
      <c r="F27" t="s">
        <v>81</v>
      </c>
      <c r="G27">
        <v>215.4</v>
      </c>
      <c r="H27">
        <v>6179.6</v>
      </c>
      <c r="I27">
        <f t="shared" si="0"/>
        <v>5964.2000000000007</v>
      </c>
      <c r="J27">
        <f>(I27/5964.2)*100</f>
        <v>100.00000000000003</v>
      </c>
      <c r="N27" s="9"/>
    </row>
    <row r="28" spans="1:14" x14ac:dyDescent="0.25">
      <c r="A28" t="s">
        <v>270</v>
      </c>
      <c r="F28" t="s">
        <v>82</v>
      </c>
      <c r="G28">
        <v>215.4</v>
      </c>
      <c r="H28">
        <v>1397.3</v>
      </c>
      <c r="I28">
        <f t="shared" si="0"/>
        <v>1181.8999999999999</v>
      </c>
      <c r="J28">
        <f t="shared" ref="J28:J29" si="7">(I28/5964.2)*100</f>
        <v>19.816572214211462</v>
      </c>
      <c r="N28" s="6"/>
    </row>
    <row r="29" spans="1:14" x14ac:dyDescent="0.25">
      <c r="A29" t="s">
        <v>271</v>
      </c>
      <c r="F29" t="s">
        <v>89</v>
      </c>
      <c r="G29">
        <v>215.4</v>
      </c>
      <c r="H29">
        <v>997.9</v>
      </c>
      <c r="I29">
        <f t="shared" si="0"/>
        <v>782.5</v>
      </c>
      <c r="J29">
        <f t="shared" si="7"/>
        <v>13.119949029207605</v>
      </c>
      <c r="N29" s="6"/>
    </row>
    <row r="30" spans="1:14" x14ac:dyDescent="0.25">
      <c r="A30" t="s">
        <v>272</v>
      </c>
      <c r="D30" s="5" t="s">
        <v>98</v>
      </c>
      <c r="E30" s="6" t="s">
        <v>99</v>
      </c>
      <c r="F30" t="s">
        <v>81</v>
      </c>
      <c r="G30">
        <v>177.2</v>
      </c>
      <c r="H30">
        <v>8297.4</v>
      </c>
      <c r="I30">
        <f t="shared" si="0"/>
        <v>8120.2</v>
      </c>
      <c r="J30">
        <f>(I30/8120.2)*100</f>
        <v>100</v>
      </c>
      <c r="N30" s="6"/>
    </row>
    <row r="31" spans="1:14" x14ac:dyDescent="0.25">
      <c r="A31" t="s">
        <v>273</v>
      </c>
      <c r="F31" t="s">
        <v>82</v>
      </c>
      <c r="G31">
        <v>177.2</v>
      </c>
      <c r="H31">
        <v>1970.5</v>
      </c>
      <c r="I31">
        <f t="shared" si="0"/>
        <v>1793.3</v>
      </c>
      <c r="J31">
        <f t="shared" ref="J31:J32" si="8">(I31/8120.2)*100</f>
        <v>22.084431417945371</v>
      </c>
      <c r="N31" s="6"/>
    </row>
    <row r="32" spans="1:14" x14ac:dyDescent="0.25">
      <c r="A32" t="s">
        <v>274</v>
      </c>
      <c r="F32" t="s">
        <v>89</v>
      </c>
      <c r="G32">
        <v>177.2</v>
      </c>
      <c r="H32">
        <v>1400</v>
      </c>
      <c r="I32">
        <f t="shared" si="0"/>
        <v>1222.8</v>
      </c>
      <c r="J32">
        <f t="shared" si="8"/>
        <v>15.058742395507499</v>
      </c>
      <c r="N32" s="6"/>
    </row>
    <row r="33" spans="1:14" x14ac:dyDescent="0.25">
      <c r="A33" t="s">
        <v>275</v>
      </c>
      <c r="D33" s="5" t="s">
        <v>100</v>
      </c>
      <c r="E33" s="6" t="s">
        <v>101</v>
      </c>
      <c r="F33" t="s">
        <v>81</v>
      </c>
      <c r="G33">
        <v>205</v>
      </c>
      <c r="H33">
        <v>8398.6</v>
      </c>
      <c r="I33">
        <f t="shared" si="0"/>
        <v>8193.6</v>
      </c>
      <c r="J33">
        <f>(I33/8193.6)*100</f>
        <v>100</v>
      </c>
      <c r="N33" s="6"/>
    </row>
    <row r="34" spans="1:14" x14ac:dyDescent="0.25">
      <c r="A34" t="s">
        <v>276</v>
      </c>
      <c r="F34" t="s">
        <v>82</v>
      </c>
      <c r="G34">
        <v>205</v>
      </c>
      <c r="H34">
        <v>1730.8</v>
      </c>
      <c r="I34">
        <f t="shared" si="0"/>
        <v>1525.8</v>
      </c>
      <c r="J34">
        <f t="shared" ref="J34:J35" si="9">(I34/8193.6)*100</f>
        <v>18.621851200937314</v>
      </c>
      <c r="N34" s="6"/>
    </row>
    <row r="35" spans="1:14" x14ac:dyDescent="0.25">
      <c r="A35" t="s">
        <v>277</v>
      </c>
      <c r="F35" t="s">
        <v>89</v>
      </c>
      <c r="G35">
        <v>205</v>
      </c>
      <c r="H35">
        <v>1331.7</v>
      </c>
      <c r="I35">
        <f t="shared" si="0"/>
        <v>1126.7</v>
      </c>
      <c r="J35">
        <f t="shared" si="9"/>
        <v>13.750976371802381</v>
      </c>
      <c r="N35" s="6"/>
    </row>
    <row r="36" spans="1:14" x14ac:dyDescent="0.25">
      <c r="A36" t="s">
        <v>278</v>
      </c>
      <c r="N36" s="9"/>
    </row>
    <row r="37" spans="1:14" x14ac:dyDescent="0.25">
      <c r="A37" t="s">
        <v>279</v>
      </c>
      <c r="D37" s="2" t="s">
        <v>74</v>
      </c>
      <c r="E37" t="s">
        <v>102</v>
      </c>
      <c r="N37" s="9"/>
    </row>
    <row r="38" spans="1:14" x14ac:dyDescent="0.25">
      <c r="A38" t="s">
        <v>280</v>
      </c>
      <c r="D38" s="5" t="s">
        <v>79</v>
      </c>
      <c r="E38" s="6" t="s">
        <v>80</v>
      </c>
      <c r="F38" t="s">
        <v>81</v>
      </c>
      <c r="G38">
        <v>198.5</v>
      </c>
      <c r="H38">
        <v>10849</v>
      </c>
      <c r="I38">
        <f>H38-G38</f>
        <v>10650.5</v>
      </c>
      <c r="J38">
        <f>(I38/10650.5)*100</f>
        <v>100</v>
      </c>
      <c r="N38" s="6"/>
    </row>
    <row r="39" spans="1:14" x14ac:dyDescent="0.25">
      <c r="A39" t="s">
        <v>281</v>
      </c>
      <c r="F39" t="s">
        <v>82</v>
      </c>
      <c r="G39">
        <v>198.5</v>
      </c>
      <c r="H39">
        <v>4917.3</v>
      </c>
      <c r="I39">
        <f>H39-G39</f>
        <v>4718.8</v>
      </c>
      <c r="J39">
        <f t="shared" ref="J39:J40" si="10">(I39/10650.5)*100</f>
        <v>44.30590113140228</v>
      </c>
      <c r="N39" s="6"/>
    </row>
    <row r="40" spans="1:14" x14ac:dyDescent="0.25">
      <c r="A40" t="s">
        <v>282</v>
      </c>
      <c r="F40" t="s">
        <v>89</v>
      </c>
      <c r="G40">
        <v>198.5</v>
      </c>
      <c r="H40">
        <v>2153.8000000000002</v>
      </c>
      <c r="I40">
        <f t="shared" ref="I40:I67" si="11">H40-G40</f>
        <v>1955.3000000000002</v>
      </c>
      <c r="J40">
        <f t="shared" si="10"/>
        <v>18.358762499413174</v>
      </c>
      <c r="N40" s="6"/>
    </row>
    <row r="41" spans="1:14" x14ac:dyDescent="0.25">
      <c r="A41" t="s">
        <v>283</v>
      </c>
      <c r="D41" s="5" t="s">
        <v>83</v>
      </c>
      <c r="E41" s="6" t="s">
        <v>84</v>
      </c>
      <c r="F41" t="s">
        <v>81</v>
      </c>
      <c r="G41">
        <v>181.7</v>
      </c>
      <c r="H41">
        <v>8427.2000000000007</v>
      </c>
      <c r="I41">
        <f t="shared" si="11"/>
        <v>8245.5</v>
      </c>
      <c r="J41">
        <f>(I41/8245.5)*100</f>
        <v>100</v>
      </c>
      <c r="N41" s="6"/>
    </row>
    <row r="42" spans="1:14" x14ac:dyDescent="0.25">
      <c r="A42" t="s">
        <v>284</v>
      </c>
      <c r="F42" t="s">
        <v>82</v>
      </c>
      <c r="G42">
        <v>181.7</v>
      </c>
      <c r="H42">
        <v>3783.1</v>
      </c>
      <c r="I42">
        <f t="shared" si="11"/>
        <v>3601.4</v>
      </c>
      <c r="J42">
        <f t="shared" ref="J42:J43" si="12">(I42/8245.5)*100</f>
        <v>43.677157237280944</v>
      </c>
      <c r="N42" s="6"/>
    </row>
    <row r="43" spans="1:14" x14ac:dyDescent="0.25">
      <c r="A43" t="s">
        <v>285</v>
      </c>
      <c r="F43" t="s">
        <v>89</v>
      </c>
      <c r="G43">
        <v>181.7</v>
      </c>
      <c r="H43">
        <v>1824.4</v>
      </c>
      <c r="I43">
        <f t="shared" si="11"/>
        <v>1642.7</v>
      </c>
      <c r="J43">
        <f t="shared" si="12"/>
        <v>19.922381905281668</v>
      </c>
      <c r="N43" s="6"/>
    </row>
    <row r="44" spans="1:14" x14ac:dyDescent="0.25">
      <c r="A44" t="s">
        <v>286</v>
      </c>
      <c r="D44" s="5" t="s">
        <v>90</v>
      </c>
      <c r="E44" s="6" t="s">
        <v>91</v>
      </c>
      <c r="F44" t="s">
        <v>81</v>
      </c>
      <c r="G44">
        <v>158.6</v>
      </c>
      <c r="H44">
        <v>7795.6</v>
      </c>
      <c r="I44">
        <f t="shared" si="11"/>
        <v>7637</v>
      </c>
      <c r="J44">
        <f>(I44/7637)*100</f>
        <v>100</v>
      </c>
      <c r="N44" s="6"/>
    </row>
    <row r="45" spans="1:14" x14ac:dyDescent="0.25">
      <c r="A45" t="s">
        <v>287</v>
      </c>
      <c r="F45" t="s">
        <v>82</v>
      </c>
      <c r="G45">
        <v>158.6</v>
      </c>
      <c r="H45">
        <v>3642.2</v>
      </c>
      <c r="I45">
        <f t="shared" si="11"/>
        <v>3483.6</v>
      </c>
      <c r="J45">
        <f t="shared" ref="J45:J46" si="13">(I45/7637)*100</f>
        <v>45.614770197721619</v>
      </c>
      <c r="N45" s="6"/>
    </row>
    <row r="46" spans="1:14" x14ac:dyDescent="0.25">
      <c r="A46" t="s">
        <v>288</v>
      </c>
      <c r="F46" t="s">
        <v>89</v>
      </c>
      <c r="G46">
        <v>158.6</v>
      </c>
      <c r="H46">
        <v>1644.4</v>
      </c>
      <c r="I46">
        <f t="shared" si="11"/>
        <v>1485.8000000000002</v>
      </c>
      <c r="J46">
        <f t="shared" si="13"/>
        <v>19.455283488280742</v>
      </c>
    </row>
    <row r="47" spans="1:14" x14ac:dyDescent="0.25">
      <c r="A47" t="s">
        <v>289</v>
      </c>
      <c r="D47" s="5" t="s">
        <v>85</v>
      </c>
      <c r="E47" s="6" t="s">
        <v>86</v>
      </c>
      <c r="F47" t="s">
        <v>81</v>
      </c>
      <c r="G47">
        <v>190.3</v>
      </c>
      <c r="H47">
        <v>7678.7</v>
      </c>
      <c r="I47">
        <f t="shared" si="11"/>
        <v>7488.4</v>
      </c>
      <c r="J47">
        <f>(I47/7488.4)*100</f>
        <v>100</v>
      </c>
    </row>
    <row r="48" spans="1:14" x14ac:dyDescent="0.25">
      <c r="A48" t="s">
        <v>290</v>
      </c>
      <c r="F48" t="s">
        <v>82</v>
      </c>
      <c r="G48">
        <v>190.3</v>
      </c>
      <c r="H48">
        <v>3691</v>
      </c>
      <c r="I48">
        <f t="shared" si="11"/>
        <v>3500.7</v>
      </c>
      <c r="J48">
        <f t="shared" ref="J48:J49" si="14">(I48/7488.4)*100</f>
        <v>46.74830404358741</v>
      </c>
    </row>
    <row r="49" spans="1:10" x14ac:dyDescent="0.25">
      <c r="A49" t="s">
        <v>291</v>
      </c>
      <c r="F49" t="s">
        <v>89</v>
      </c>
      <c r="G49">
        <v>190.3</v>
      </c>
      <c r="H49">
        <v>1911.2</v>
      </c>
      <c r="I49">
        <f t="shared" si="11"/>
        <v>1720.9</v>
      </c>
      <c r="J49">
        <f t="shared" si="14"/>
        <v>22.980877089899046</v>
      </c>
    </row>
    <row r="50" spans="1:10" x14ac:dyDescent="0.25">
      <c r="A50" t="s">
        <v>292</v>
      </c>
      <c r="D50" s="5" t="s">
        <v>87</v>
      </c>
      <c r="E50" s="6" t="s">
        <v>88</v>
      </c>
      <c r="F50" t="s">
        <v>81</v>
      </c>
      <c r="G50">
        <v>147.30000000000001</v>
      </c>
      <c r="H50">
        <v>6646.1</v>
      </c>
      <c r="I50" s="10">
        <f t="shared" si="11"/>
        <v>6498.8</v>
      </c>
      <c r="J50" s="7">
        <f>(I50/6498.8)*100</f>
        <v>100</v>
      </c>
    </row>
    <row r="51" spans="1:10" x14ac:dyDescent="0.25">
      <c r="A51" t="s">
        <v>293</v>
      </c>
      <c r="F51" t="s">
        <v>82</v>
      </c>
      <c r="G51">
        <v>147.30000000000001</v>
      </c>
      <c r="H51">
        <v>5062.3999999999996</v>
      </c>
      <c r="I51">
        <f t="shared" si="11"/>
        <v>4915.0999999999995</v>
      </c>
      <c r="J51" s="7">
        <f t="shared" ref="J51:J52" si="15">(I51/6498.8)*100</f>
        <v>75.630885701975743</v>
      </c>
    </row>
    <row r="52" spans="1:10" x14ac:dyDescent="0.25">
      <c r="A52" t="s">
        <v>294</v>
      </c>
      <c r="F52" t="s">
        <v>89</v>
      </c>
      <c r="G52">
        <v>147.30000000000001</v>
      </c>
      <c r="H52">
        <v>3969.3</v>
      </c>
      <c r="I52">
        <f t="shared" si="11"/>
        <v>3822</v>
      </c>
      <c r="J52" s="7">
        <f t="shared" si="15"/>
        <v>58.810857389056437</v>
      </c>
    </row>
    <row r="53" spans="1:10" x14ac:dyDescent="0.25">
      <c r="A53" t="s">
        <v>295</v>
      </c>
      <c r="D53" s="5" t="s">
        <v>92</v>
      </c>
      <c r="E53" s="6" t="s">
        <v>93</v>
      </c>
      <c r="F53" t="s">
        <v>81</v>
      </c>
      <c r="G53">
        <v>158.6</v>
      </c>
      <c r="H53">
        <v>8662.7999999999993</v>
      </c>
      <c r="I53">
        <f t="shared" si="11"/>
        <v>8504.1999999999989</v>
      </c>
      <c r="J53" s="7">
        <f>(I53/8504.2)*100</f>
        <v>99.999999999999972</v>
      </c>
    </row>
    <row r="54" spans="1:10" x14ac:dyDescent="0.25">
      <c r="A54" t="s">
        <v>296</v>
      </c>
      <c r="F54" t="s">
        <v>82</v>
      </c>
      <c r="G54">
        <v>158.6</v>
      </c>
      <c r="H54">
        <v>6584.2</v>
      </c>
      <c r="I54">
        <f t="shared" si="11"/>
        <v>6425.5999999999995</v>
      </c>
      <c r="J54" s="7">
        <f t="shared" ref="J54:J55" si="16">(I54/8504.2)*100</f>
        <v>75.557959596434685</v>
      </c>
    </row>
    <row r="55" spans="1:10" x14ac:dyDescent="0.25">
      <c r="A55" t="s">
        <v>297</v>
      </c>
      <c r="F55" t="s">
        <v>89</v>
      </c>
      <c r="G55">
        <v>158.6</v>
      </c>
      <c r="H55">
        <v>4792.8</v>
      </c>
      <c r="I55">
        <f t="shared" si="11"/>
        <v>4634.2</v>
      </c>
      <c r="J55" s="7">
        <f t="shared" si="16"/>
        <v>54.493074010488925</v>
      </c>
    </row>
    <row r="56" spans="1:10" x14ac:dyDescent="0.25">
      <c r="A56" t="s">
        <v>298</v>
      </c>
      <c r="D56" s="5" t="s">
        <v>94</v>
      </c>
      <c r="E56" s="6" t="s">
        <v>95</v>
      </c>
      <c r="F56" t="s">
        <v>81</v>
      </c>
      <c r="G56">
        <v>197.3</v>
      </c>
      <c r="H56">
        <v>7947.1</v>
      </c>
      <c r="I56">
        <f t="shared" si="11"/>
        <v>7749.8</v>
      </c>
      <c r="J56">
        <f>(I56/7749.8)*100</f>
        <v>100</v>
      </c>
    </row>
    <row r="57" spans="1:10" x14ac:dyDescent="0.25">
      <c r="A57" t="s">
        <v>299</v>
      </c>
      <c r="F57" t="s">
        <v>82</v>
      </c>
      <c r="G57">
        <v>197.3</v>
      </c>
      <c r="H57">
        <v>3269.7</v>
      </c>
      <c r="I57">
        <f t="shared" si="11"/>
        <v>3072.3999999999996</v>
      </c>
      <c r="J57">
        <f t="shared" ref="J57:J58" si="17">(I57/7749.8)*100</f>
        <v>39.644894061782232</v>
      </c>
    </row>
    <row r="58" spans="1:10" x14ac:dyDescent="0.25">
      <c r="A58" t="s">
        <v>300</v>
      </c>
      <c r="F58" t="s">
        <v>89</v>
      </c>
      <c r="G58">
        <v>197.3</v>
      </c>
      <c r="H58">
        <v>1532.5</v>
      </c>
      <c r="I58">
        <f t="shared" si="11"/>
        <v>1335.2</v>
      </c>
      <c r="J58">
        <f t="shared" si="17"/>
        <v>17.228831711786111</v>
      </c>
    </row>
    <row r="59" spans="1:10" x14ac:dyDescent="0.25">
      <c r="A59" t="s">
        <v>301</v>
      </c>
      <c r="D59" s="5" t="s">
        <v>97</v>
      </c>
      <c r="E59" s="6" t="s">
        <v>96</v>
      </c>
      <c r="F59" t="s">
        <v>81</v>
      </c>
      <c r="G59">
        <v>215.4</v>
      </c>
      <c r="H59">
        <v>6815.9</v>
      </c>
      <c r="I59">
        <f t="shared" si="11"/>
        <v>6600.5</v>
      </c>
      <c r="J59">
        <f>(I59/6600.5)*100</f>
        <v>100</v>
      </c>
    </row>
    <row r="60" spans="1:10" x14ac:dyDescent="0.25">
      <c r="A60" t="s">
        <v>302</v>
      </c>
      <c r="F60" t="s">
        <v>82</v>
      </c>
      <c r="G60">
        <v>215.4</v>
      </c>
      <c r="H60">
        <v>2710.9</v>
      </c>
      <c r="I60">
        <f t="shared" si="11"/>
        <v>2495.5</v>
      </c>
      <c r="J60">
        <f t="shared" ref="J60:J61" si="18">(I60/6600.5)*100</f>
        <v>37.80774183773957</v>
      </c>
    </row>
    <row r="61" spans="1:10" x14ac:dyDescent="0.25">
      <c r="A61" t="s">
        <v>303</v>
      </c>
      <c r="F61" t="s">
        <v>89</v>
      </c>
      <c r="G61">
        <v>215.4</v>
      </c>
      <c r="H61">
        <v>1284.3</v>
      </c>
      <c r="I61">
        <f t="shared" si="11"/>
        <v>1068.8999999999999</v>
      </c>
      <c r="J61">
        <f t="shared" si="18"/>
        <v>16.194227710021966</v>
      </c>
    </row>
    <row r="62" spans="1:10" x14ac:dyDescent="0.25">
      <c r="A62" t="s">
        <v>304</v>
      </c>
      <c r="D62" s="5" t="s">
        <v>98</v>
      </c>
      <c r="E62" s="6" t="s">
        <v>99</v>
      </c>
      <c r="F62" t="s">
        <v>81</v>
      </c>
      <c r="G62">
        <v>177.2</v>
      </c>
      <c r="H62">
        <v>10009.6</v>
      </c>
      <c r="I62">
        <f t="shared" si="11"/>
        <v>9832.4</v>
      </c>
      <c r="J62">
        <f>(I62/9832.4)*100</f>
        <v>100</v>
      </c>
    </row>
    <row r="63" spans="1:10" x14ac:dyDescent="0.25">
      <c r="A63" t="s">
        <v>305</v>
      </c>
      <c r="F63" t="s">
        <v>82</v>
      </c>
      <c r="G63">
        <v>177.2</v>
      </c>
      <c r="H63">
        <v>3962.6</v>
      </c>
      <c r="I63">
        <f t="shared" si="11"/>
        <v>3785.4</v>
      </c>
      <c r="J63">
        <f t="shared" ref="J63:J64" si="19">(I63/9832.4)*100</f>
        <v>38.499247386192593</v>
      </c>
    </row>
    <row r="64" spans="1:10" x14ac:dyDescent="0.25">
      <c r="A64" t="s">
        <v>306</v>
      </c>
      <c r="F64" t="s">
        <v>89</v>
      </c>
      <c r="G64">
        <v>177.2</v>
      </c>
      <c r="H64">
        <v>1947.5</v>
      </c>
      <c r="I64">
        <f t="shared" si="11"/>
        <v>1770.3</v>
      </c>
      <c r="J64">
        <f t="shared" si="19"/>
        <v>18.004759773809038</v>
      </c>
    </row>
    <row r="65" spans="1:10" x14ac:dyDescent="0.25">
      <c r="A65" t="s">
        <v>307</v>
      </c>
      <c r="D65" s="5" t="s">
        <v>100</v>
      </c>
      <c r="E65" s="6" t="s">
        <v>101</v>
      </c>
      <c r="F65" t="s">
        <v>81</v>
      </c>
      <c r="G65">
        <v>205</v>
      </c>
      <c r="H65">
        <v>9225.1</v>
      </c>
      <c r="I65">
        <f t="shared" si="11"/>
        <v>9020.1</v>
      </c>
      <c r="J65">
        <f>(I65/9020.1)*100</f>
        <v>100</v>
      </c>
    </row>
    <row r="66" spans="1:10" x14ac:dyDescent="0.25">
      <c r="A66" t="s">
        <v>308</v>
      </c>
      <c r="F66" t="s">
        <v>82</v>
      </c>
      <c r="G66">
        <v>205</v>
      </c>
      <c r="H66">
        <v>3670</v>
      </c>
      <c r="I66">
        <f t="shared" si="11"/>
        <v>3465</v>
      </c>
      <c r="J66">
        <f t="shared" ref="J66:J67" si="20">(I66/9020.1)*100</f>
        <v>38.414208268201016</v>
      </c>
    </row>
    <row r="67" spans="1:10" x14ac:dyDescent="0.25">
      <c r="A67" t="s">
        <v>309</v>
      </c>
      <c r="F67" t="s">
        <v>89</v>
      </c>
      <c r="G67">
        <v>205</v>
      </c>
      <c r="H67">
        <v>1706.6</v>
      </c>
      <c r="I67">
        <f t="shared" si="11"/>
        <v>1501.6</v>
      </c>
      <c r="J67">
        <f t="shared" si="20"/>
        <v>16.647265551379693</v>
      </c>
    </row>
    <row r="68" spans="1:10" x14ac:dyDescent="0.25">
      <c r="A68" t="s">
        <v>310</v>
      </c>
    </row>
    <row r="69" spans="1:10" x14ac:dyDescent="0.25">
      <c r="A69" t="s">
        <v>311</v>
      </c>
    </row>
    <row r="70" spans="1:10" x14ac:dyDescent="0.25">
      <c r="A70" t="s">
        <v>312</v>
      </c>
    </row>
    <row r="71" spans="1:10" x14ac:dyDescent="0.25">
      <c r="A71" t="s">
        <v>313</v>
      </c>
    </row>
    <row r="72" spans="1:10" x14ac:dyDescent="0.25">
      <c r="A72" t="s">
        <v>314</v>
      </c>
    </row>
    <row r="73" spans="1:10" x14ac:dyDescent="0.25">
      <c r="A73" t="s">
        <v>315</v>
      </c>
    </row>
    <row r="74" spans="1:10" x14ac:dyDescent="0.25">
      <c r="A74" t="s">
        <v>316</v>
      </c>
    </row>
    <row r="75" spans="1:10" x14ac:dyDescent="0.25">
      <c r="A75" t="s">
        <v>317</v>
      </c>
    </row>
    <row r="76" spans="1:10" x14ac:dyDescent="0.25">
      <c r="A76" t="s">
        <v>318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3BEF-187A-4AB2-B98B-6D374FBC387F}">
  <dimension ref="A3:T76"/>
  <sheetViews>
    <sheetView workbookViewId="0">
      <selection activeCell="L4" sqref="L4"/>
    </sheetView>
  </sheetViews>
  <sheetFormatPr defaultRowHeight="15" x14ac:dyDescent="0.25"/>
  <cols>
    <col min="1" max="1" width="47.42578125" bestFit="1" customWidth="1"/>
    <col min="4" max="4" width="21.85546875" bestFit="1" customWidth="1"/>
    <col min="5" max="5" width="23.5703125" bestFit="1" customWidth="1"/>
    <col min="6" max="6" width="8.42578125" bestFit="1" customWidth="1"/>
    <col min="7" max="7" width="11.85546875" customWidth="1"/>
    <col min="9" max="9" width="13.28515625" customWidth="1"/>
    <col min="13" max="13" width="11.140625" bestFit="1" customWidth="1"/>
    <col min="14" max="14" width="10.85546875" bestFit="1" customWidth="1"/>
  </cols>
  <sheetData>
    <row r="3" spans="1:19" x14ac:dyDescent="0.25">
      <c r="A3" t="s">
        <v>0</v>
      </c>
    </row>
    <row r="4" spans="1:19" ht="60" x14ac:dyDescent="0.25">
      <c r="D4" s="2" t="s">
        <v>74</v>
      </c>
      <c r="G4" s="3" t="s">
        <v>75</v>
      </c>
      <c r="H4" s="4" t="s">
        <v>76</v>
      </c>
      <c r="I4" s="3" t="s">
        <v>77</v>
      </c>
      <c r="J4" s="3" t="s">
        <v>78</v>
      </c>
      <c r="N4" s="9"/>
      <c r="O4" s="8"/>
      <c r="P4" s="8"/>
      <c r="Q4" s="8"/>
      <c r="R4" s="8"/>
      <c r="S4" s="8"/>
    </row>
    <row r="5" spans="1:19" x14ac:dyDescent="0.25">
      <c r="A5" t="s">
        <v>1</v>
      </c>
      <c r="D5" s="5" t="s">
        <v>79</v>
      </c>
      <c r="E5" s="6" t="s">
        <v>80</v>
      </c>
      <c r="F5" t="s">
        <v>81</v>
      </c>
      <c r="G5">
        <v>162</v>
      </c>
      <c r="H5">
        <v>18994.5</v>
      </c>
      <c r="I5">
        <f>H5-G5</f>
        <v>18832.5</v>
      </c>
      <c r="J5">
        <f>(I5/18832.5)*100</f>
        <v>100</v>
      </c>
      <c r="N5" s="9"/>
    </row>
    <row r="6" spans="1:19" x14ac:dyDescent="0.25">
      <c r="A6" t="s">
        <v>177</v>
      </c>
      <c r="F6" t="s">
        <v>82</v>
      </c>
      <c r="G6">
        <v>162</v>
      </c>
      <c r="H6">
        <v>4058.8</v>
      </c>
      <c r="I6">
        <f t="shared" ref="I6:I34" si="0">H6-G6</f>
        <v>3896.8</v>
      </c>
      <c r="J6">
        <f t="shared" ref="J6:J7" si="1">(I6/18832.5)*100</f>
        <v>20.691889021638126</v>
      </c>
      <c r="N6" s="9"/>
    </row>
    <row r="7" spans="1:19" x14ac:dyDescent="0.25">
      <c r="A7" t="s">
        <v>319</v>
      </c>
      <c r="F7" t="s">
        <v>89</v>
      </c>
      <c r="G7">
        <v>162</v>
      </c>
      <c r="H7">
        <v>2589.8000000000002</v>
      </c>
      <c r="I7">
        <f t="shared" si="0"/>
        <v>2427.8000000000002</v>
      </c>
      <c r="J7">
        <f t="shared" si="1"/>
        <v>12.891543873622727</v>
      </c>
      <c r="N7" s="6"/>
    </row>
    <row r="8" spans="1:19" x14ac:dyDescent="0.25">
      <c r="A8" t="s">
        <v>320</v>
      </c>
      <c r="D8" s="5" t="s">
        <v>83</v>
      </c>
      <c r="E8" s="6" t="s">
        <v>84</v>
      </c>
      <c r="F8" t="s">
        <v>81</v>
      </c>
      <c r="G8">
        <v>103.1</v>
      </c>
      <c r="H8">
        <v>18084.3</v>
      </c>
      <c r="I8">
        <f t="shared" si="0"/>
        <v>17981.2</v>
      </c>
      <c r="J8">
        <f>(I8/17981.2)*100</f>
        <v>100</v>
      </c>
      <c r="N8" s="6"/>
    </row>
    <row r="9" spans="1:19" x14ac:dyDescent="0.25">
      <c r="A9" t="s">
        <v>321</v>
      </c>
      <c r="F9" t="s">
        <v>82</v>
      </c>
      <c r="G9">
        <v>103.1</v>
      </c>
      <c r="H9">
        <v>4276.2</v>
      </c>
      <c r="I9">
        <f t="shared" si="0"/>
        <v>4173.0999999999995</v>
      </c>
      <c r="J9">
        <f t="shared" ref="J9:J10" si="2">(I9/17981.2)*100</f>
        <v>23.208128489755964</v>
      </c>
      <c r="N9" s="6"/>
    </row>
    <row r="10" spans="1:19" x14ac:dyDescent="0.25">
      <c r="A10" t="s">
        <v>322</v>
      </c>
      <c r="F10" t="s">
        <v>89</v>
      </c>
      <c r="G10">
        <v>103.1</v>
      </c>
      <c r="H10">
        <v>3025.7</v>
      </c>
      <c r="I10">
        <f>H10-G10</f>
        <v>2922.6</v>
      </c>
      <c r="J10">
        <f t="shared" si="2"/>
        <v>16.253642693479854</v>
      </c>
      <c r="N10" s="6"/>
    </row>
    <row r="11" spans="1:19" x14ac:dyDescent="0.25">
      <c r="A11" t="s">
        <v>323</v>
      </c>
      <c r="D11" s="5" t="s">
        <v>90</v>
      </c>
      <c r="E11" s="6" t="s">
        <v>91</v>
      </c>
      <c r="F11" t="s">
        <v>81</v>
      </c>
      <c r="G11">
        <v>98.1</v>
      </c>
      <c r="H11">
        <v>16023.6</v>
      </c>
      <c r="I11">
        <f t="shared" si="0"/>
        <v>15925.5</v>
      </c>
      <c r="J11">
        <f>(I11/15925.5)*100</f>
        <v>100</v>
      </c>
      <c r="N11" s="6"/>
    </row>
    <row r="12" spans="1:19" x14ac:dyDescent="0.25">
      <c r="A12" t="s">
        <v>324</v>
      </c>
      <c r="F12" t="s">
        <v>82</v>
      </c>
      <c r="G12">
        <v>98.1</v>
      </c>
      <c r="H12">
        <v>4942.7</v>
      </c>
      <c r="I12">
        <f t="shared" si="0"/>
        <v>4844.5999999999995</v>
      </c>
      <c r="J12">
        <f t="shared" ref="J12:J13" si="3">(I12/15925.5)*100</f>
        <v>30.420394964051361</v>
      </c>
      <c r="N12" s="6"/>
    </row>
    <row r="13" spans="1:19" x14ac:dyDescent="0.25">
      <c r="A13" t="s">
        <v>325</v>
      </c>
      <c r="F13" t="s">
        <v>89</v>
      </c>
      <c r="G13">
        <v>98.1</v>
      </c>
      <c r="H13">
        <v>2920.6</v>
      </c>
      <c r="I13">
        <f t="shared" si="0"/>
        <v>2822.5</v>
      </c>
      <c r="J13">
        <f t="shared" si="3"/>
        <v>17.72314840978305</v>
      </c>
      <c r="N13" s="6"/>
    </row>
    <row r="14" spans="1:19" x14ac:dyDescent="0.25">
      <c r="A14" t="s">
        <v>326</v>
      </c>
      <c r="D14" s="5" t="s">
        <v>85</v>
      </c>
      <c r="E14" s="6" t="s">
        <v>86</v>
      </c>
      <c r="F14" t="s">
        <v>81</v>
      </c>
      <c r="G14">
        <v>93.8</v>
      </c>
      <c r="H14">
        <v>15631.8</v>
      </c>
      <c r="I14">
        <f t="shared" si="0"/>
        <v>15538</v>
      </c>
      <c r="J14">
        <f>(I14/15538)*100</f>
        <v>100</v>
      </c>
      <c r="N14" s="6"/>
    </row>
    <row r="15" spans="1:19" x14ac:dyDescent="0.25">
      <c r="A15" t="s">
        <v>327</v>
      </c>
      <c r="F15" t="s">
        <v>82</v>
      </c>
      <c r="G15">
        <v>93.8</v>
      </c>
      <c r="H15">
        <v>4976</v>
      </c>
      <c r="I15">
        <f t="shared" si="0"/>
        <v>4882.2</v>
      </c>
      <c r="J15">
        <f t="shared" ref="J15:J16" si="4">(I15/15538)*100</f>
        <v>31.421032307890336</v>
      </c>
      <c r="N15" s="9"/>
    </row>
    <row r="16" spans="1:19" x14ac:dyDescent="0.25">
      <c r="A16" t="s">
        <v>328</v>
      </c>
      <c r="F16" t="s">
        <v>89</v>
      </c>
      <c r="G16">
        <v>93.8</v>
      </c>
      <c r="H16">
        <v>3363.3</v>
      </c>
      <c r="I16">
        <f t="shared" si="0"/>
        <v>3269.5</v>
      </c>
      <c r="J16">
        <f t="shared" si="4"/>
        <v>21.041961642425022</v>
      </c>
      <c r="N16" s="9"/>
    </row>
    <row r="17" spans="1:14" x14ac:dyDescent="0.25">
      <c r="A17" t="s">
        <v>329</v>
      </c>
      <c r="D17" s="5" t="s">
        <v>87</v>
      </c>
      <c r="E17" s="6" t="s">
        <v>88</v>
      </c>
      <c r="F17" t="s">
        <v>81</v>
      </c>
      <c r="G17">
        <v>85.3</v>
      </c>
      <c r="H17">
        <v>9506.2000000000007</v>
      </c>
      <c r="I17">
        <f t="shared" si="0"/>
        <v>9420.9000000000015</v>
      </c>
      <c r="J17">
        <f>(I17/9420.9)*100</f>
        <v>100.00000000000003</v>
      </c>
      <c r="N17" s="6"/>
    </row>
    <row r="18" spans="1:14" x14ac:dyDescent="0.25">
      <c r="A18" t="s">
        <v>330</v>
      </c>
      <c r="F18" t="s">
        <v>82</v>
      </c>
      <c r="G18">
        <v>85.3</v>
      </c>
      <c r="H18">
        <v>3049.9</v>
      </c>
      <c r="I18">
        <f t="shared" si="0"/>
        <v>2964.6</v>
      </c>
      <c r="J18">
        <f t="shared" ref="J18:J19" si="5">(I18/9420.9)*100</f>
        <v>31.468331051173454</v>
      </c>
      <c r="N18" s="6"/>
    </row>
    <row r="19" spans="1:14" x14ac:dyDescent="0.25">
      <c r="A19" t="s">
        <v>331</v>
      </c>
      <c r="F19" t="s">
        <v>89</v>
      </c>
      <c r="G19">
        <v>85.3</v>
      </c>
      <c r="H19">
        <v>2235.4</v>
      </c>
      <c r="I19">
        <f t="shared" si="0"/>
        <v>2150.1</v>
      </c>
      <c r="J19">
        <f t="shared" si="5"/>
        <v>22.822660255389611</v>
      </c>
      <c r="N19" s="6"/>
    </row>
    <row r="20" spans="1:14" x14ac:dyDescent="0.25">
      <c r="A20" t="s">
        <v>332</v>
      </c>
      <c r="D20" s="5" t="s">
        <v>92</v>
      </c>
      <c r="E20" s="6" t="s">
        <v>93</v>
      </c>
      <c r="F20" t="s">
        <v>81</v>
      </c>
      <c r="G20">
        <v>90.9</v>
      </c>
      <c r="H20">
        <v>13842</v>
      </c>
      <c r="I20">
        <f t="shared" si="0"/>
        <v>13751.1</v>
      </c>
      <c r="J20">
        <f>(I20/13751.1)*100</f>
        <v>100</v>
      </c>
      <c r="N20" s="6"/>
    </row>
    <row r="21" spans="1:14" x14ac:dyDescent="0.25">
      <c r="A21" t="s">
        <v>333</v>
      </c>
      <c r="F21" t="s">
        <v>82</v>
      </c>
      <c r="G21">
        <v>90.9</v>
      </c>
      <c r="H21">
        <v>4325.3</v>
      </c>
      <c r="I21">
        <f t="shared" si="0"/>
        <v>4234.4000000000005</v>
      </c>
      <c r="J21">
        <f t="shared" ref="J21:J22" si="6">(I21/13751.1)*100</f>
        <v>30.793172909803584</v>
      </c>
      <c r="N21" s="6"/>
    </row>
    <row r="22" spans="1:14" x14ac:dyDescent="0.25">
      <c r="A22" t="s">
        <v>334</v>
      </c>
      <c r="F22" t="s">
        <v>89</v>
      </c>
      <c r="G22">
        <v>90.9</v>
      </c>
      <c r="H22">
        <v>2981.2</v>
      </c>
      <c r="I22">
        <f>H22-G22</f>
        <v>2890.2999999999997</v>
      </c>
      <c r="J22">
        <f t="shared" si="6"/>
        <v>21.01868214179229</v>
      </c>
      <c r="N22" s="6"/>
    </row>
    <row r="23" spans="1:14" x14ac:dyDescent="0.25">
      <c r="A23" t="s">
        <v>335</v>
      </c>
      <c r="D23" s="5" t="s">
        <v>94</v>
      </c>
      <c r="E23" s="6" t="s">
        <v>95</v>
      </c>
      <c r="F23" t="s">
        <v>81</v>
      </c>
      <c r="G23">
        <v>120.8</v>
      </c>
      <c r="H23">
        <v>11999.3</v>
      </c>
      <c r="I23">
        <f t="shared" si="0"/>
        <v>11878.5</v>
      </c>
      <c r="J23">
        <f>(I23/11878.5)*100</f>
        <v>100</v>
      </c>
      <c r="N23" s="6"/>
    </row>
    <row r="24" spans="1:14" x14ac:dyDescent="0.25">
      <c r="A24" t="s">
        <v>336</v>
      </c>
      <c r="F24" t="s">
        <v>82</v>
      </c>
      <c r="G24">
        <v>120.8</v>
      </c>
      <c r="H24">
        <v>3880.9</v>
      </c>
      <c r="I24">
        <f t="shared" si="0"/>
        <v>3760.1</v>
      </c>
      <c r="J24">
        <f t="shared" ref="J24:J25" si="7">(I24/11878.5)*100</f>
        <v>31.65467020246664</v>
      </c>
      <c r="N24" s="6"/>
    </row>
    <row r="25" spans="1:14" x14ac:dyDescent="0.25">
      <c r="A25" t="s">
        <v>337</v>
      </c>
      <c r="F25" t="s">
        <v>89</v>
      </c>
      <c r="G25">
        <v>120.8</v>
      </c>
      <c r="H25">
        <v>2937</v>
      </c>
      <c r="I25">
        <f t="shared" si="0"/>
        <v>2816.2</v>
      </c>
      <c r="J25">
        <f t="shared" si="7"/>
        <v>23.708380687797277</v>
      </c>
      <c r="N25" s="9"/>
    </row>
    <row r="26" spans="1:14" x14ac:dyDescent="0.25">
      <c r="A26" t="s">
        <v>338</v>
      </c>
      <c r="D26" s="5" t="s">
        <v>97</v>
      </c>
      <c r="E26" s="6" t="s">
        <v>96</v>
      </c>
      <c r="F26" t="s">
        <v>81</v>
      </c>
      <c r="G26">
        <v>108.2</v>
      </c>
      <c r="H26">
        <v>11037.8</v>
      </c>
      <c r="I26">
        <f t="shared" si="0"/>
        <v>10929.599999999999</v>
      </c>
      <c r="J26">
        <f>(I26/10929.6)*100</f>
        <v>99.999999999999986</v>
      </c>
      <c r="N26" s="9"/>
    </row>
    <row r="27" spans="1:14" x14ac:dyDescent="0.25">
      <c r="A27" t="s">
        <v>339</v>
      </c>
      <c r="F27" t="s">
        <v>82</v>
      </c>
      <c r="G27">
        <v>108.2</v>
      </c>
      <c r="H27">
        <v>3349.8</v>
      </c>
      <c r="I27">
        <f t="shared" si="0"/>
        <v>3241.6000000000004</v>
      </c>
      <c r="J27">
        <f t="shared" ref="J27:J28" si="8">(I27/10929.6)*100</f>
        <v>29.658907919777487</v>
      </c>
      <c r="N27" s="9"/>
    </row>
    <row r="28" spans="1:14" x14ac:dyDescent="0.25">
      <c r="A28" t="s">
        <v>340</v>
      </c>
      <c r="F28" t="s">
        <v>89</v>
      </c>
      <c r="G28">
        <v>108.2</v>
      </c>
      <c r="H28">
        <v>2390.6999999999998</v>
      </c>
      <c r="I28">
        <f t="shared" si="0"/>
        <v>2282.5</v>
      </c>
      <c r="J28">
        <f t="shared" si="8"/>
        <v>20.883655394524958</v>
      </c>
      <c r="N28" s="6"/>
    </row>
    <row r="29" spans="1:14" x14ac:dyDescent="0.25">
      <c r="A29" t="s">
        <v>341</v>
      </c>
      <c r="D29" s="5" t="s">
        <v>98</v>
      </c>
      <c r="E29" s="6" t="s">
        <v>99</v>
      </c>
      <c r="F29" t="s">
        <v>81</v>
      </c>
      <c r="G29">
        <v>110.1</v>
      </c>
      <c r="H29">
        <v>14772.7</v>
      </c>
      <c r="I29">
        <f t="shared" si="0"/>
        <v>14662.6</v>
      </c>
      <c r="J29">
        <f>(I29/14662.6)*100</f>
        <v>100</v>
      </c>
      <c r="N29" s="6"/>
    </row>
    <row r="30" spans="1:14" x14ac:dyDescent="0.25">
      <c r="A30" t="s">
        <v>342</v>
      </c>
      <c r="F30" t="s">
        <v>82</v>
      </c>
      <c r="G30">
        <v>110.1</v>
      </c>
      <c r="H30">
        <v>3349.8</v>
      </c>
      <c r="I30">
        <f t="shared" si="0"/>
        <v>3239.7000000000003</v>
      </c>
      <c r="J30">
        <f t="shared" ref="J30:J31" si="9">(I30/14662.6)*100</f>
        <v>22.094989974492929</v>
      </c>
      <c r="N30" s="6"/>
    </row>
    <row r="31" spans="1:14" x14ac:dyDescent="0.25">
      <c r="A31" t="s">
        <v>343</v>
      </c>
      <c r="F31" t="s">
        <v>89</v>
      </c>
      <c r="G31">
        <v>110.1</v>
      </c>
      <c r="H31">
        <v>2764.2</v>
      </c>
      <c r="I31">
        <f t="shared" si="0"/>
        <v>2654.1</v>
      </c>
      <c r="J31">
        <f t="shared" si="9"/>
        <v>18.101155320338822</v>
      </c>
      <c r="N31" s="6"/>
    </row>
    <row r="32" spans="1:14" x14ac:dyDescent="0.25">
      <c r="A32" t="s">
        <v>344</v>
      </c>
      <c r="D32" s="5" t="s">
        <v>100</v>
      </c>
      <c r="E32" s="6" t="s">
        <v>101</v>
      </c>
      <c r="F32" t="s">
        <v>81</v>
      </c>
      <c r="G32">
        <v>111.3</v>
      </c>
      <c r="H32">
        <v>15197.8</v>
      </c>
      <c r="I32">
        <f t="shared" si="0"/>
        <v>15086.5</v>
      </c>
      <c r="J32">
        <f>(I32/15086.5)*100</f>
        <v>100</v>
      </c>
      <c r="N32" s="6"/>
    </row>
    <row r="33" spans="1:20" x14ac:dyDescent="0.25">
      <c r="A33" t="s">
        <v>345</v>
      </c>
      <c r="F33" t="s">
        <v>82</v>
      </c>
      <c r="G33">
        <v>111.3</v>
      </c>
      <c r="H33">
        <v>3747.4</v>
      </c>
      <c r="I33">
        <f t="shared" si="0"/>
        <v>3636.1</v>
      </c>
      <c r="J33">
        <f t="shared" ref="J33:J34" si="10">(I33/15086.5)*100</f>
        <v>24.101680310211115</v>
      </c>
      <c r="N33" s="6"/>
    </row>
    <row r="34" spans="1:20" x14ac:dyDescent="0.25">
      <c r="A34" t="s">
        <v>346</v>
      </c>
      <c r="F34" t="s">
        <v>89</v>
      </c>
      <c r="G34">
        <v>111.3</v>
      </c>
      <c r="H34">
        <v>2631.8</v>
      </c>
      <c r="I34">
        <f t="shared" si="0"/>
        <v>2520.5</v>
      </c>
      <c r="J34">
        <f t="shared" si="10"/>
        <v>16.706989692771685</v>
      </c>
      <c r="N34" s="6"/>
    </row>
    <row r="35" spans="1:20" x14ac:dyDescent="0.25">
      <c r="A35" t="s">
        <v>347</v>
      </c>
      <c r="N35" s="6"/>
      <c r="T35" t="s">
        <v>389</v>
      </c>
    </row>
    <row r="36" spans="1:20" x14ac:dyDescent="0.25">
      <c r="A36" t="s">
        <v>348</v>
      </c>
      <c r="D36" s="2" t="s">
        <v>74</v>
      </c>
      <c r="E36" t="s">
        <v>102</v>
      </c>
      <c r="N36" s="9"/>
    </row>
    <row r="37" spans="1:20" x14ac:dyDescent="0.25">
      <c r="A37" t="s">
        <v>349</v>
      </c>
      <c r="D37" s="5" t="s">
        <v>79</v>
      </c>
      <c r="E37" s="6" t="s">
        <v>80</v>
      </c>
      <c r="F37" t="s">
        <v>81</v>
      </c>
      <c r="G37">
        <v>162</v>
      </c>
      <c r="H37">
        <v>15106.8</v>
      </c>
      <c r="I37">
        <f>H37-G37</f>
        <v>14944.8</v>
      </c>
      <c r="J37">
        <f>(I37/14944.8)*100</f>
        <v>100</v>
      </c>
      <c r="N37" s="9"/>
    </row>
    <row r="38" spans="1:20" x14ac:dyDescent="0.25">
      <c r="A38" t="s">
        <v>350</v>
      </c>
      <c r="F38" t="s">
        <v>82</v>
      </c>
      <c r="G38">
        <v>162</v>
      </c>
      <c r="H38">
        <v>7209.2</v>
      </c>
      <c r="I38">
        <f>H38-G38</f>
        <v>7047.2</v>
      </c>
      <c r="J38">
        <f t="shared" ref="J38:J39" si="11">(I38/14944.8)*100</f>
        <v>47.154863230019807</v>
      </c>
      <c r="N38" s="6"/>
    </row>
    <row r="39" spans="1:20" x14ac:dyDescent="0.25">
      <c r="A39" t="s">
        <v>351</v>
      </c>
      <c r="F39" t="s">
        <v>89</v>
      </c>
      <c r="G39">
        <v>162</v>
      </c>
      <c r="H39">
        <v>3167.6</v>
      </c>
      <c r="I39">
        <f t="shared" ref="I39:I66" si="12">H39-G39</f>
        <v>3005.6</v>
      </c>
      <c r="J39">
        <f t="shared" si="11"/>
        <v>20.111343075852471</v>
      </c>
      <c r="N39" s="6"/>
    </row>
    <row r="40" spans="1:20" x14ac:dyDescent="0.25">
      <c r="A40" t="s">
        <v>352</v>
      </c>
      <c r="D40" s="5" t="s">
        <v>83</v>
      </c>
      <c r="E40" s="6" t="s">
        <v>84</v>
      </c>
      <c r="F40" t="s">
        <v>81</v>
      </c>
      <c r="G40">
        <v>103.1</v>
      </c>
      <c r="H40">
        <v>15846.7</v>
      </c>
      <c r="I40">
        <f t="shared" si="12"/>
        <v>15743.6</v>
      </c>
      <c r="J40">
        <f>(I40/15743.6)*100</f>
        <v>100</v>
      </c>
      <c r="N40" s="6"/>
    </row>
    <row r="41" spans="1:20" x14ac:dyDescent="0.25">
      <c r="A41" t="s">
        <v>353</v>
      </c>
      <c r="F41" t="s">
        <v>82</v>
      </c>
      <c r="G41">
        <v>103.1</v>
      </c>
      <c r="H41">
        <v>7003.5</v>
      </c>
      <c r="I41">
        <f t="shared" si="12"/>
        <v>6900.4</v>
      </c>
      <c r="J41">
        <f t="shared" ref="J41:J42" si="13">(I41/15743.6)*100</f>
        <v>43.829873726466623</v>
      </c>
      <c r="N41" s="6"/>
    </row>
    <row r="42" spans="1:20" x14ac:dyDescent="0.25">
      <c r="A42" t="s">
        <v>354</v>
      </c>
      <c r="F42" t="s">
        <v>89</v>
      </c>
      <c r="G42">
        <v>103.1</v>
      </c>
      <c r="H42">
        <v>3555.9</v>
      </c>
      <c r="I42">
        <f t="shared" si="12"/>
        <v>3452.8</v>
      </c>
      <c r="J42">
        <f t="shared" si="13"/>
        <v>21.931451510455044</v>
      </c>
      <c r="N42" s="6"/>
    </row>
    <row r="43" spans="1:20" x14ac:dyDescent="0.25">
      <c r="A43" t="s">
        <v>355</v>
      </c>
      <c r="D43" s="5" t="s">
        <v>90</v>
      </c>
      <c r="E43" s="6" t="s">
        <v>91</v>
      </c>
      <c r="F43" t="s">
        <v>81</v>
      </c>
      <c r="G43">
        <v>98.1</v>
      </c>
      <c r="H43">
        <v>12650.5</v>
      </c>
      <c r="I43">
        <f t="shared" si="12"/>
        <v>12552.4</v>
      </c>
      <c r="J43">
        <f>(I43/12552.4)*100</f>
        <v>100</v>
      </c>
      <c r="N43" s="6"/>
    </row>
    <row r="44" spans="1:20" x14ac:dyDescent="0.25">
      <c r="A44" t="s">
        <v>356</v>
      </c>
      <c r="F44" t="s">
        <v>82</v>
      </c>
      <c r="G44">
        <v>98.1</v>
      </c>
      <c r="H44">
        <v>6017.6</v>
      </c>
      <c r="I44">
        <f t="shared" si="12"/>
        <v>5919.5</v>
      </c>
      <c r="J44">
        <f t="shared" ref="J44:J45" si="14">(I44/12552.4)*100</f>
        <v>47.158312354609478</v>
      </c>
      <c r="N44" s="6"/>
    </row>
    <row r="45" spans="1:20" x14ac:dyDescent="0.25">
      <c r="A45" t="s">
        <v>357</v>
      </c>
      <c r="F45" t="s">
        <v>89</v>
      </c>
      <c r="G45">
        <v>98.1</v>
      </c>
      <c r="H45">
        <v>3588.2</v>
      </c>
      <c r="I45">
        <f t="shared" si="12"/>
        <v>3490.1</v>
      </c>
      <c r="J45">
        <f t="shared" si="14"/>
        <v>27.804244606609096</v>
      </c>
      <c r="N45" s="6"/>
    </row>
    <row r="46" spans="1:20" x14ac:dyDescent="0.25">
      <c r="A46" t="s">
        <v>358</v>
      </c>
      <c r="D46" s="5" t="s">
        <v>85</v>
      </c>
      <c r="E46" s="6" t="s">
        <v>86</v>
      </c>
      <c r="F46" t="s">
        <v>81</v>
      </c>
      <c r="G46">
        <v>93.8</v>
      </c>
      <c r="H46">
        <v>11914</v>
      </c>
      <c r="I46">
        <f t="shared" si="12"/>
        <v>11820.2</v>
      </c>
      <c r="J46">
        <f>(I46/11820.2)*100</f>
        <v>100</v>
      </c>
    </row>
    <row r="47" spans="1:20" x14ac:dyDescent="0.25">
      <c r="A47" t="s">
        <v>359</v>
      </c>
      <c r="F47" t="s">
        <v>82</v>
      </c>
      <c r="G47">
        <v>93.8</v>
      </c>
      <c r="H47">
        <v>6044.7</v>
      </c>
      <c r="I47">
        <f t="shared" si="12"/>
        <v>5950.9</v>
      </c>
      <c r="J47">
        <f t="shared" ref="J47:J48" si="15">(I47/11820.2)*100</f>
        <v>50.345171824503808</v>
      </c>
    </row>
    <row r="48" spans="1:20" x14ac:dyDescent="0.25">
      <c r="A48" t="s">
        <v>360</v>
      </c>
      <c r="F48" t="s">
        <v>89</v>
      </c>
      <c r="G48">
        <v>93.8</v>
      </c>
      <c r="H48">
        <v>3660.9</v>
      </c>
      <c r="I48">
        <f t="shared" si="12"/>
        <v>3567.1</v>
      </c>
      <c r="J48">
        <f t="shared" si="15"/>
        <v>30.178000372244124</v>
      </c>
    </row>
    <row r="49" spans="1:10" x14ac:dyDescent="0.25">
      <c r="A49" t="s">
        <v>361</v>
      </c>
      <c r="D49" s="5" t="s">
        <v>87</v>
      </c>
      <c r="E49" s="6" t="s">
        <v>88</v>
      </c>
      <c r="F49" t="s">
        <v>81</v>
      </c>
      <c r="G49">
        <v>85.3</v>
      </c>
      <c r="H49">
        <v>9147.5</v>
      </c>
      <c r="I49" s="10">
        <f t="shared" si="12"/>
        <v>9062.2000000000007</v>
      </c>
      <c r="J49" s="7">
        <f>(I49/9062.2)*100</f>
        <v>100</v>
      </c>
    </row>
    <row r="50" spans="1:10" x14ac:dyDescent="0.25">
      <c r="A50" t="s">
        <v>362</v>
      </c>
      <c r="F50" t="s">
        <v>82</v>
      </c>
      <c r="G50">
        <v>85.3</v>
      </c>
      <c r="H50">
        <v>7683.8</v>
      </c>
      <c r="I50">
        <f t="shared" si="12"/>
        <v>7598.5</v>
      </c>
      <c r="J50" s="7">
        <f t="shared" ref="J50:J51" si="16">(I50/9062.2)*100</f>
        <v>83.848292909006645</v>
      </c>
    </row>
    <row r="51" spans="1:10" x14ac:dyDescent="0.25">
      <c r="A51" t="s">
        <v>363</v>
      </c>
      <c r="F51" t="s">
        <v>89</v>
      </c>
      <c r="G51">
        <v>85.3</v>
      </c>
      <c r="H51">
        <v>5719.5</v>
      </c>
      <c r="I51">
        <f t="shared" si="12"/>
        <v>5634.2</v>
      </c>
      <c r="J51" s="7">
        <f t="shared" si="16"/>
        <v>62.172540884112017</v>
      </c>
    </row>
    <row r="52" spans="1:10" x14ac:dyDescent="0.25">
      <c r="A52" t="s">
        <v>364</v>
      </c>
      <c r="D52" s="5" t="s">
        <v>92</v>
      </c>
      <c r="E52" s="6" t="s">
        <v>93</v>
      </c>
      <c r="F52" t="s">
        <v>81</v>
      </c>
      <c r="G52">
        <v>90.9</v>
      </c>
      <c r="H52">
        <v>13001.3</v>
      </c>
      <c r="I52">
        <f t="shared" si="12"/>
        <v>12910.4</v>
      </c>
      <c r="J52" s="7">
        <f>(I52/12910.4)*100</f>
        <v>100</v>
      </c>
    </row>
    <row r="53" spans="1:10" x14ac:dyDescent="0.25">
      <c r="A53" t="s">
        <v>365</v>
      </c>
      <c r="F53" t="s">
        <v>82</v>
      </c>
      <c r="G53">
        <v>90.9</v>
      </c>
      <c r="H53">
        <v>10465.700000000001</v>
      </c>
      <c r="I53">
        <f t="shared" si="12"/>
        <v>10374.800000000001</v>
      </c>
      <c r="J53" s="7">
        <f t="shared" ref="J53:J54" si="17">(I53/12910.4)*100</f>
        <v>80.360019828975098</v>
      </c>
    </row>
    <row r="54" spans="1:10" x14ac:dyDescent="0.25">
      <c r="A54" t="s">
        <v>366</v>
      </c>
      <c r="F54" t="s">
        <v>89</v>
      </c>
      <c r="G54">
        <v>90.9</v>
      </c>
      <c r="H54">
        <v>7666.2</v>
      </c>
      <c r="I54">
        <f t="shared" si="12"/>
        <v>7575.3</v>
      </c>
      <c r="J54" s="7">
        <f t="shared" si="17"/>
        <v>58.675951171148846</v>
      </c>
    </row>
    <row r="55" spans="1:10" x14ac:dyDescent="0.25">
      <c r="A55" t="s">
        <v>367</v>
      </c>
      <c r="D55" s="5" t="s">
        <v>94</v>
      </c>
      <c r="E55" s="6" t="s">
        <v>95</v>
      </c>
      <c r="F55" t="s">
        <v>81</v>
      </c>
      <c r="G55">
        <v>120.8</v>
      </c>
      <c r="H55">
        <v>11562.3</v>
      </c>
      <c r="I55">
        <f t="shared" si="12"/>
        <v>11441.5</v>
      </c>
      <c r="J55">
        <f>(I55/11441.5)*100</f>
        <v>100</v>
      </c>
    </row>
    <row r="56" spans="1:10" x14ac:dyDescent="0.25">
      <c r="A56" t="s">
        <v>368</v>
      </c>
      <c r="F56" t="s">
        <v>82</v>
      </c>
      <c r="G56">
        <v>120.8</v>
      </c>
      <c r="H56">
        <v>5172.8</v>
      </c>
      <c r="I56">
        <f t="shared" si="12"/>
        <v>5052</v>
      </c>
      <c r="J56">
        <f t="shared" ref="J56:J57" si="18">(I56/11441.5)*100</f>
        <v>44.15504960013984</v>
      </c>
    </row>
    <row r="57" spans="1:10" x14ac:dyDescent="0.25">
      <c r="A57" t="s">
        <v>369</v>
      </c>
      <c r="F57" t="s">
        <v>89</v>
      </c>
      <c r="G57">
        <v>120.8</v>
      </c>
      <c r="H57">
        <v>3295</v>
      </c>
      <c r="I57">
        <f t="shared" si="12"/>
        <v>3174.2</v>
      </c>
      <c r="J57">
        <f t="shared" si="18"/>
        <v>27.742865882969888</v>
      </c>
    </row>
    <row r="58" spans="1:10" x14ac:dyDescent="0.25">
      <c r="A58" t="s">
        <v>370</v>
      </c>
      <c r="D58" s="5" t="s">
        <v>97</v>
      </c>
      <c r="E58" s="6" t="s">
        <v>96</v>
      </c>
      <c r="F58" t="s">
        <v>81</v>
      </c>
      <c r="G58">
        <v>108.2</v>
      </c>
      <c r="H58">
        <v>11505.5</v>
      </c>
      <c r="I58">
        <f t="shared" si="12"/>
        <v>11397.3</v>
      </c>
      <c r="J58">
        <f>(I58/11397.3)*100</f>
        <v>100</v>
      </c>
    </row>
    <row r="59" spans="1:10" x14ac:dyDescent="0.25">
      <c r="A59" t="s">
        <v>371</v>
      </c>
      <c r="F59" t="s">
        <v>82</v>
      </c>
      <c r="G59">
        <v>108.2</v>
      </c>
      <c r="H59">
        <v>4521.3</v>
      </c>
      <c r="I59">
        <f t="shared" si="12"/>
        <v>4413.1000000000004</v>
      </c>
      <c r="J59">
        <f t="shared" ref="J59:J60" si="19">(I59/11397.3)*100</f>
        <v>38.720574171075612</v>
      </c>
    </row>
    <row r="60" spans="1:10" x14ac:dyDescent="0.25">
      <c r="A60" t="s">
        <v>372</v>
      </c>
      <c r="F60" t="s">
        <v>89</v>
      </c>
      <c r="G60">
        <v>108.2</v>
      </c>
      <c r="H60">
        <v>2655.1</v>
      </c>
      <c r="I60">
        <f t="shared" si="12"/>
        <v>2546.9</v>
      </c>
      <c r="J60">
        <f t="shared" si="19"/>
        <v>22.346520667175561</v>
      </c>
    </row>
    <row r="61" spans="1:10" x14ac:dyDescent="0.25">
      <c r="A61" t="s">
        <v>373</v>
      </c>
      <c r="D61" s="5" t="s">
        <v>98</v>
      </c>
      <c r="E61" s="6" t="s">
        <v>99</v>
      </c>
      <c r="F61" t="s">
        <v>81</v>
      </c>
      <c r="G61">
        <v>110.1</v>
      </c>
      <c r="H61">
        <v>13486.8</v>
      </c>
      <c r="I61">
        <f t="shared" si="12"/>
        <v>13376.699999999999</v>
      </c>
      <c r="J61">
        <f>(I61/13376.7)*100</f>
        <v>99.999999999999986</v>
      </c>
    </row>
    <row r="62" spans="1:10" x14ac:dyDescent="0.25">
      <c r="A62" t="s">
        <v>374</v>
      </c>
      <c r="F62" t="s">
        <v>82</v>
      </c>
      <c r="G62">
        <v>110.1</v>
      </c>
      <c r="H62">
        <v>5870.5</v>
      </c>
      <c r="I62">
        <f t="shared" si="12"/>
        <v>5760.4</v>
      </c>
      <c r="J62">
        <f t="shared" ref="J62:J63" si="20">(I62/13376.7)*100</f>
        <v>43.062937794822339</v>
      </c>
    </row>
    <row r="63" spans="1:10" x14ac:dyDescent="0.25">
      <c r="A63" t="s">
        <v>375</v>
      </c>
      <c r="F63" t="s">
        <v>89</v>
      </c>
      <c r="G63">
        <v>110.1</v>
      </c>
      <c r="H63">
        <v>2888.6</v>
      </c>
      <c r="I63">
        <f t="shared" si="12"/>
        <v>2778.5</v>
      </c>
      <c r="J63">
        <f t="shared" si="20"/>
        <v>20.771191698999004</v>
      </c>
    </row>
    <row r="64" spans="1:10" x14ac:dyDescent="0.25">
      <c r="A64" t="s">
        <v>376</v>
      </c>
      <c r="D64" s="5" t="s">
        <v>100</v>
      </c>
      <c r="E64" s="6" t="s">
        <v>101</v>
      </c>
      <c r="F64" t="s">
        <v>81</v>
      </c>
      <c r="G64">
        <v>111.3</v>
      </c>
      <c r="H64">
        <v>15748.8</v>
      </c>
      <c r="I64">
        <f t="shared" si="12"/>
        <v>15637.5</v>
      </c>
      <c r="J64">
        <f>(I64/15637.5)*100</f>
        <v>100</v>
      </c>
    </row>
    <row r="65" spans="1:10" x14ac:dyDescent="0.25">
      <c r="A65" t="s">
        <v>377</v>
      </c>
      <c r="F65" t="s">
        <v>82</v>
      </c>
      <c r="G65">
        <v>111.3</v>
      </c>
      <c r="H65">
        <v>5215.6000000000004</v>
      </c>
      <c r="I65">
        <f t="shared" si="12"/>
        <v>5104.3</v>
      </c>
      <c r="J65">
        <f t="shared" ref="J65:J66" si="21">(I65/15637.5)*100</f>
        <v>32.641406874500397</v>
      </c>
    </row>
    <row r="66" spans="1:10" x14ac:dyDescent="0.25">
      <c r="A66" t="s">
        <v>378</v>
      </c>
      <c r="F66" t="s">
        <v>89</v>
      </c>
      <c r="G66">
        <v>111.3</v>
      </c>
      <c r="H66">
        <v>2890.8</v>
      </c>
      <c r="I66">
        <f t="shared" si="12"/>
        <v>2779.5</v>
      </c>
      <c r="J66">
        <f t="shared" si="21"/>
        <v>17.774580335731414</v>
      </c>
    </row>
    <row r="67" spans="1:10" x14ac:dyDescent="0.25">
      <c r="A67" t="s">
        <v>379</v>
      </c>
    </row>
    <row r="68" spans="1:10" x14ac:dyDescent="0.25">
      <c r="A68" t="s">
        <v>380</v>
      </c>
    </row>
    <row r="69" spans="1:10" x14ac:dyDescent="0.25">
      <c r="A69" t="s">
        <v>381</v>
      </c>
    </row>
    <row r="70" spans="1:10" x14ac:dyDescent="0.25">
      <c r="A70" t="s">
        <v>382</v>
      </c>
    </row>
    <row r="71" spans="1:10" x14ac:dyDescent="0.25">
      <c r="A71" t="s">
        <v>383</v>
      </c>
    </row>
    <row r="72" spans="1:10" x14ac:dyDescent="0.25">
      <c r="A72" t="s">
        <v>384</v>
      </c>
    </row>
    <row r="73" spans="1:10" x14ac:dyDescent="0.25">
      <c r="A73" t="s">
        <v>385</v>
      </c>
    </row>
    <row r="74" spans="1:10" x14ac:dyDescent="0.25">
      <c r="A74" t="s">
        <v>386</v>
      </c>
    </row>
    <row r="75" spans="1:10" x14ac:dyDescent="0.25">
      <c r="A75" t="s">
        <v>387</v>
      </c>
    </row>
    <row r="76" spans="1:10" x14ac:dyDescent="0.25">
      <c r="A76" t="s">
        <v>388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F2DF-0A6D-4AF5-BC6F-92DC6953A34F}">
  <dimension ref="A3:T76"/>
  <sheetViews>
    <sheetView tabSelected="1" workbookViewId="0">
      <selection activeCell="M4" sqref="M4"/>
    </sheetView>
  </sheetViews>
  <sheetFormatPr defaultRowHeight="15" x14ac:dyDescent="0.25"/>
  <cols>
    <col min="1" max="1" width="47.42578125" bestFit="1" customWidth="1"/>
    <col min="4" max="4" width="21.85546875" bestFit="1" customWidth="1"/>
    <col min="5" max="5" width="23.5703125" bestFit="1" customWidth="1"/>
    <col min="7" max="7" width="12.5703125" customWidth="1"/>
    <col min="8" max="8" width="9.42578125" customWidth="1"/>
    <col min="9" max="9" width="12.140625" customWidth="1"/>
    <col min="10" max="10" width="11.28515625" customWidth="1"/>
    <col min="13" max="13" width="11.140625" bestFit="1" customWidth="1"/>
    <col min="14" max="14" width="10.85546875" bestFit="1" customWidth="1"/>
  </cols>
  <sheetData>
    <row r="3" spans="1:20" x14ac:dyDescent="0.25">
      <c r="A3" t="s">
        <v>0</v>
      </c>
    </row>
    <row r="4" spans="1:20" ht="42.75" x14ac:dyDescent="0.25">
      <c r="D4" s="2" t="s">
        <v>74</v>
      </c>
      <c r="G4" s="3" t="s">
        <v>75</v>
      </c>
      <c r="H4" s="4" t="s">
        <v>76</v>
      </c>
      <c r="I4" s="3" t="s">
        <v>77</v>
      </c>
      <c r="J4" s="3" t="s">
        <v>78</v>
      </c>
      <c r="M4" s="11"/>
      <c r="N4" s="12"/>
      <c r="O4" s="14">
        <v>45251</v>
      </c>
      <c r="P4" s="14">
        <v>45252</v>
      </c>
      <c r="Q4" s="14">
        <v>45300</v>
      </c>
      <c r="R4" s="14">
        <v>45305</v>
      </c>
      <c r="S4" s="14">
        <v>45307</v>
      </c>
      <c r="T4" s="14">
        <v>45315</v>
      </c>
    </row>
    <row r="5" spans="1:20" x14ac:dyDescent="0.25">
      <c r="A5" t="s">
        <v>1</v>
      </c>
      <c r="D5" s="5" t="s">
        <v>79</v>
      </c>
      <c r="E5" s="6" t="s">
        <v>80</v>
      </c>
      <c r="F5" t="s">
        <v>81</v>
      </c>
      <c r="G5">
        <v>112.8</v>
      </c>
      <c r="H5">
        <v>10766.1</v>
      </c>
      <c r="I5">
        <f>H5-G5</f>
        <v>10653.300000000001</v>
      </c>
      <c r="J5">
        <f>(I5/10653.3)*100</f>
        <v>100.00000000000003</v>
      </c>
      <c r="M5" s="11" t="s">
        <v>173</v>
      </c>
      <c r="N5" s="12" t="s">
        <v>174</v>
      </c>
      <c r="O5">
        <v>14.31</v>
      </c>
      <c r="P5">
        <v>10.7</v>
      </c>
      <c r="Q5">
        <v>18.68</v>
      </c>
      <c r="R5">
        <v>21.99</v>
      </c>
      <c r="S5">
        <v>20.69</v>
      </c>
      <c r="T5">
        <v>17.72</v>
      </c>
    </row>
    <row r="6" spans="1:20" x14ac:dyDescent="0.25">
      <c r="A6" t="s">
        <v>177</v>
      </c>
      <c r="F6" t="s">
        <v>82</v>
      </c>
      <c r="G6">
        <v>112.8</v>
      </c>
      <c r="H6">
        <v>2000.2</v>
      </c>
      <c r="I6">
        <f t="shared" ref="I6:I34" si="0">H6-G6</f>
        <v>1887.4</v>
      </c>
      <c r="J6">
        <f t="shared" ref="J6:J7" si="1">(I6/10653.3)*100</f>
        <v>17.716576084405773</v>
      </c>
      <c r="M6" s="11"/>
      <c r="N6" s="12" t="s">
        <v>175</v>
      </c>
      <c r="O6">
        <v>12.76</v>
      </c>
      <c r="P6">
        <v>10.23</v>
      </c>
      <c r="Q6">
        <v>20.61</v>
      </c>
      <c r="R6">
        <v>21.99</v>
      </c>
      <c r="S6">
        <v>23.21</v>
      </c>
      <c r="T6">
        <v>17.62</v>
      </c>
    </row>
    <row r="7" spans="1:20" x14ac:dyDescent="0.25">
      <c r="A7" t="s">
        <v>390</v>
      </c>
      <c r="F7" t="s">
        <v>89</v>
      </c>
      <c r="G7">
        <v>112.8</v>
      </c>
      <c r="H7">
        <v>1343.2</v>
      </c>
      <c r="I7">
        <f t="shared" si="0"/>
        <v>1230.4000000000001</v>
      </c>
      <c r="J7">
        <f t="shared" si="1"/>
        <v>11.549472933269506</v>
      </c>
      <c r="M7" s="11"/>
      <c r="N7" s="13" t="s">
        <v>91</v>
      </c>
      <c r="O7">
        <v>18.09</v>
      </c>
      <c r="P7">
        <v>17.079999999999998</v>
      </c>
      <c r="Q7">
        <v>27.68</v>
      </c>
      <c r="R7">
        <v>26.62</v>
      </c>
      <c r="S7">
        <v>30.42</v>
      </c>
      <c r="T7">
        <v>22.23</v>
      </c>
    </row>
    <row r="8" spans="1:20" x14ac:dyDescent="0.25">
      <c r="A8" t="s">
        <v>391</v>
      </c>
      <c r="D8" s="5" t="s">
        <v>83</v>
      </c>
      <c r="E8" s="6" t="s">
        <v>84</v>
      </c>
      <c r="F8" t="s">
        <v>81</v>
      </c>
      <c r="G8">
        <v>83.1</v>
      </c>
      <c r="H8">
        <v>8157</v>
      </c>
      <c r="I8">
        <f t="shared" si="0"/>
        <v>8073.9</v>
      </c>
      <c r="J8">
        <f>(I8/8073.9)*100</f>
        <v>100</v>
      </c>
      <c r="M8" s="11"/>
      <c r="N8" s="13" t="s">
        <v>86</v>
      </c>
      <c r="O8">
        <v>17.059999999999999</v>
      </c>
      <c r="P8">
        <v>17.100000000000001</v>
      </c>
      <c r="Q8">
        <v>34.93</v>
      </c>
      <c r="R8">
        <v>26.07</v>
      </c>
      <c r="S8">
        <v>31.42</v>
      </c>
      <c r="T8">
        <v>25.41</v>
      </c>
    </row>
    <row r="9" spans="1:20" x14ac:dyDescent="0.25">
      <c r="A9" t="s">
        <v>392</v>
      </c>
      <c r="F9" t="s">
        <v>82</v>
      </c>
      <c r="G9">
        <v>83.1</v>
      </c>
      <c r="H9">
        <v>1505.4</v>
      </c>
      <c r="I9">
        <f t="shared" si="0"/>
        <v>1422.3000000000002</v>
      </c>
      <c r="J9">
        <f t="shared" ref="J9:J10" si="2">(I9/8073.9)*100</f>
        <v>17.61602199680452</v>
      </c>
      <c r="M9" s="11"/>
      <c r="N9" s="13" t="s">
        <v>95</v>
      </c>
      <c r="O9">
        <v>17.04</v>
      </c>
      <c r="P9">
        <v>13.44</v>
      </c>
      <c r="Q9">
        <v>30.35</v>
      </c>
      <c r="R9">
        <v>23.55</v>
      </c>
      <c r="S9">
        <v>31.65</v>
      </c>
      <c r="T9">
        <v>21.44</v>
      </c>
    </row>
    <row r="10" spans="1:20" x14ac:dyDescent="0.25">
      <c r="A10" t="s">
        <v>393</v>
      </c>
      <c r="F10" t="s">
        <v>89</v>
      </c>
      <c r="G10">
        <v>83.1</v>
      </c>
      <c r="H10">
        <v>903.3</v>
      </c>
      <c r="I10">
        <f>H10-G10</f>
        <v>820.19999999999993</v>
      </c>
      <c r="J10">
        <f t="shared" si="2"/>
        <v>10.158659383940845</v>
      </c>
      <c r="M10" s="11"/>
      <c r="N10" s="13" t="s">
        <v>96</v>
      </c>
      <c r="O10">
        <v>15.05</v>
      </c>
      <c r="P10">
        <v>10.69</v>
      </c>
      <c r="Q10">
        <v>27.07</v>
      </c>
      <c r="R10">
        <v>19.82</v>
      </c>
      <c r="S10">
        <v>29.66</v>
      </c>
      <c r="T10">
        <v>18.89</v>
      </c>
    </row>
    <row r="11" spans="1:20" x14ac:dyDescent="0.25">
      <c r="A11" t="s">
        <v>394</v>
      </c>
      <c r="D11" s="5" t="s">
        <v>90</v>
      </c>
      <c r="E11" s="6" t="s">
        <v>91</v>
      </c>
      <c r="F11" t="s">
        <v>81</v>
      </c>
      <c r="G11">
        <v>89.6</v>
      </c>
      <c r="H11">
        <v>9694.2000000000007</v>
      </c>
      <c r="I11">
        <f t="shared" si="0"/>
        <v>9604.6</v>
      </c>
      <c r="J11">
        <f>(I11/9604.6)*100</f>
        <v>100</v>
      </c>
      <c r="M11" s="11"/>
      <c r="N11" s="13" t="s">
        <v>99</v>
      </c>
      <c r="O11">
        <v>13.58</v>
      </c>
      <c r="P11">
        <v>11.02</v>
      </c>
      <c r="Q11">
        <v>26.72</v>
      </c>
      <c r="R11">
        <v>22.08</v>
      </c>
      <c r="S11">
        <v>22.09</v>
      </c>
      <c r="T11">
        <v>19.73</v>
      </c>
    </row>
    <row r="12" spans="1:20" x14ac:dyDescent="0.25">
      <c r="A12" t="s">
        <v>395</v>
      </c>
      <c r="F12" t="s">
        <v>82</v>
      </c>
      <c r="G12">
        <v>89.6</v>
      </c>
      <c r="H12">
        <v>2224.6999999999998</v>
      </c>
      <c r="I12">
        <f t="shared" si="0"/>
        <v>2135.1</v>
      </c>
      <c r="J12">
        <f t="shared" ref="J12:J13" si="3">(I12/9604.6)*100</f>
        <v>22.229973137871433</v>
      </c>
      <c r="M12" s="11"/>
      <c r="N12" s="13" t="s">
        <v>101</v>
      </c>
      <c r="O12">
        <v>11.53</v>
      </c>
      <c r="P12">
        <v>13.42</v>
      </c>
      <c r="Q12">
        <v>21.96</v>
      </c>
      <c r="R12">
        <v>18.62</v>
      </c>
      <c r="S12">
        <v>24.1</v>
      </c>
      <c r="T12">
        <v>19.64</v>
      </c>
    </row>
    <row r="13" spans="1:20" x14ac:dyDescent="0.25">
      <c r="A13" t="s">
        <v>396</v>
      </c>
      <c r="F13" t="s">
        <v>89</v>
      </c>
      <c r="G13">
        <v>89.6</v>
      </c>
      <c r="H13">
        <v>1299.5</v>
      </c>
      <c r="I13">
        <f t="shared" si="0"/>
        <v>1209.9000000000001</v>
      </c>
      <c r="J13">
        <f t="shared" si="3"/>
        <v>12.597088894904527</v>
      </c>
      <c r="M13" s="11"/>
      <c r="N13" s="13" t="s">
        <v>88</v>
      </c>
      <c r="O13">
        <v>21.8</v>
      </c>
      <c r="P13">
        <v>17.11</v>
      </c>
      <c r="Q13">
        <v>25.44</v>
      </c>
      <c r="R13">
        <v>22.55</v>
      </c>
      <c r="S13">
        <v>31.47</v>
      </c>
      <c r="T13">
        <v>25.03</v>
      </c>
    </row>
    <row r="14" spans="1:20" x14ac:dyDescent="0.25">
      <c r="A14" t="s">
        <v>397</v>
      </c>
      <c r="D14" s="5" t="s">
        <v>85</v>
      </c>
      <c r="E14" s="6" t="s">
        <v>86</v>
      </c>
      <c r="F14" t="s">
        <v>81</v>
      </c>
      <c r="G14">
        <v>83.1</v>
      </c>
      <c r="H14">
        <v>11818.8</v>
      </c>
      <c r="I14">
        <f t="shared" si="0"/>
        <v>11735.699999999999</v>
      </c>
      <c r="J14">
        <f>(I14/11735.7)*100</f>
        <v>99.999999999999986</v>
      </c>
      <c r="M14" s="11"/>
      <c r="N14" s="13" t="s">
        <v>93</v>
      </c>
      <c r="O14">
        <v>17.11</v>
      </c>
      <c r="P14">
        <v>16.93</v>
      </c>
      <c r="Q14">
        <v>29.98</v>
      </c>
      <c r="R14">
        <v>28.61</v>
      </c>
      <c r="S14">
        <v>30.79</v>
      </c>
      <c r="T14">
        <v>25.85</v>
      </c>
    </row>
    <row r="15" spans="1:20" x14ac:dyDescent="0.25">
      <c r="A15" t="s">
        <v>398</v>
      </c>
      <c r="F15" t="s">
        <v>82</v>
      </c>
      <c r="G15">
        <v>83.1</v>
      </c>
      <c r="H15">
        <v>3065.7</v>
      </c>
      <c r="I15">
        <f t="shared" si="0"/>
        <v>2982.6</v>
      </c>
      <c r="J15">
        <f t="shared" ref="J15:J16" si="4">(I15/11735.7)*100</f>
        <v>25.414760091004368</v>
      </c>
      <c r="M15" s="11" t="s">
        <v>176</v>
      </c>
      <c r="N15" s="12" t="s">
        <v>174</v>
      </c>
      <c r="O15">
        <v>24.33</v>
      </c>
      <c r="P15">
        <v>19.66</v>
      </c>
      <c r="Q15">
        <v>34.950000000000003</v>
      </c>
      <c r="R15">
        <v>44.31</v>
      </c>
      <c r="S15">
        <v>47.15</v>
      </c>
      <c r="T15">
        <v>36.659999999999997</v>
      </c>
    </row>
    <row r="16" spans="1:20" x14ac:dyDescent="0.25">
      <c r="A16" t="s">
        <v>399</v>
      </c>
      <c r="F16" t="s">
        <v>89</v>
      </c>
      <c r="G16">
        <v>83.1</v>
      </c>
      <c r="H16">
        <v>1381.6</v>
      </c>
      <c r="I16">
        <f t="shared" si="0"/>
        <v>1298.5</v>
      </c>
      <c r="J16">
        <f t="shared" si="4"/>
        <v>11.064529597723185</v>
      </c>
      <c r="M16" s="11"/>
      <c r="N16" s="12" t="s">
        <v>175</v>
      </c>
      <c r="O16">
        <v>21.17</v>
      </c>
      <c r="P16">
        <v>18.100000000000001</v>
      </c>
      <c r="Q16">
        <v>35.229999999999997</v>
      </c>
      <c r="R16">
        <v>43.68</v>
      </c>
      <c r="S16">
        <v>43.83</v>
      </c>
      <c r="T16">
        <v>35.869999999999997</v>
      </c>
    </row>
    <row r="17" spans="1:20" x14ac:dyDescent="0.25">
      <c r="A17" t="s">
        <v>400</v>
      </c>
      <c r="D17" s="5" t="s">
        <v>87</v>
      </c>
      <c r="E17" s="6" t="s">
        <v>88</v>
      </c>
      <c r="F17" t="s">
        <v>81</v>
      </c>
      <c r="G17">
        <v>66.8</v>
      </c>
      <c r="H17">
        <v>6620.4</v>
      </c>
      <c r="I17">
        <f t="shared" si="0"/>
        <v>6553.5999999999995</v>
      </c>
      <c r="J17">
        <f>(I17/6553.6)*100</f>
        <v>99.999999999999986</v>
      </c>
      <c r="M17" s="11"/>
      <c r="N17" s="13" t="s">
        <v>91</v>
      </c>
      <c r="O17">
        <v>17.68</v>
      </c>
      <c r="P17">
        <v>20.079999999999998</v>
      </c>
      <c r="Q17">
        <v>40.33</v>
      </c>
      <c r="R17">
        <v>45.61</v>
      </c>
      <c r="S17">
        <v>47.16</v>
      </c>
      <c r="T17">
        <v>41.04</v>
      </c>
    </row>
    <row r="18" spans="1:20" x14ac:dyDescent="0.25">
      <c r="A18" t="s">
        <v>401</v>
      </c>
      <c r="F18" t="s">
        <v>82</v>
      </c>
      <c r="G18">
        <v>66.8</v>
      </c>
      <c r="H18">
        <v>1707.1</v>
      </c>
      <c r="I18">
        <f t="shared" si="0"/>
        <v>1640.3</v>
      </c>
      <c r="J18">
        <f t="shared" ref="J18:J19" si="5">(I18/6553.6)*100</f>
        <v>25.02899169921875</v>
      </c>
      <c r="M18" s="11"/>
      <c r="N18" s="13" t="s">
        <v>86</v>
      </c>
      <c r="O18">
        <v>26.73</v>
      </c>
      <c r="P18">
        <v>16.170000000000002</v>
      </c>
      <c r="Q18">
        <v>42.24</v>
      </c>
      <c r="R18">
        <v>46.75</v>
      </c>
      <c r="S18">
        <v>50.35</v>
      </c>
      <c r="T18">
        <v>42.63</v>
      </c>
    </row>
    <row r="19" spans="1:20" x14ac:dyDescent="0.25">
      <c r="A19" t="s">
        <v>402</v>
      </c>
      <c r="F19" t="s">
        <v>89</v>
      </c>
      <c r="G19">
        <v>66.8</v>
      </c>
      <c r="H19">
        <v>811.6</v>
      </c>
      <c r="I19">
        <f t="shared" si="0"/>
        <v>744.80000000000007</v>
      </c>
      <c r="J19">
        <f t="shared" si="5"/>
        <v>11.36474609375</v>
      </c>
      <c r="M19" s="11"/>
      <c r="N19" s="13" t="s">
        <v>95</v>
      </c>
      <c r="O19">
        <v>29.51</v>
      </c>
      <c r="P19">
        <v>20.56</v>
      </c>
      <c r="Q19">
        <v>38.86</v>
      </c>
      <c r="R19">
        <v>39.64</v>
      </c>
      <c r="S19">
        <v>44.16</v>
      </c>
      <c r="T19">
        <v>35.950000000000003</v>
      </c>
    </row>
    <row r="20" spans="1:20" x14ac:dyDescent="0.25">
      <c r="A20" t="s">
        <v>403</v>
      </c>
      <c r="D20" s="5" t="s">
        <v>92</v>
      </c>
      <c r="E20" s="6" t="s">
        <v>93</v>
      </c>
      <c r="F20" t="s">
        <v>81</v>
      </c>
      <c r="G20">
        <v>77</v>
      </c>
      <c r="H20">
        <v>10393.799999999999</v>
      </c>
      <c r="I20">
        <f t="shared" si="0"/>
        <v>10316.799999999999</v>
      </c>
      <c r="J20">
        <f>(I20/10316.8)*100</f>
        <v>100</v>
      </c>
      <c r="M20" s="11"/>
      <c r="N20" s="13" t="s">
        <v>96</v>
      </c>
      <c r="O20">
        <v>32.17</v>
      </c>
      <c r="P20">
        <v>31.3</v>
      </c>
      <c r="Q20">
        <v>32.51</v>
      </c>
      <c r="R20">
        <v>37.81</v>
      </c>
      <c r="S20">
        <v>38.72</v>
      </c>
      <c r="T20">
        <v>29.54</v>
      </c>
    </row>
    <row r="21" spans="1:20" x14ac:dyDescent="0.25">
      <c r="A21" t="s">
        <v>404</v>
      </c>
      <c r="F21" t="s">
        <v>82</v>
      </c>
      <c r="G21">
        <v>77</v>
      </c>
      <c r="H21">
        <v>2743.8</v>
      </c>
      <c r="I21">
        <f t="shared" si="0"/>
        <v>2666.8</v>
      </c>
      <c r="J21">
        <f t="shared" ref="J21:J22" si="6">(I21/10316.8)*100</f>
        <v>25.84910049627792</v>
      </c>
      <c r="M21" s="11"/>
      <c r="N21" s="13" t="s">
        <v>99</v>
      </c>
      <c r="O21">
        <v>30.73</v>
      </c>
      <c r="P21">
        <v>21.43</v>
      </c>
      <c r="Q21">
        <v>36.68</v>
      </c>
      <c r="R21">
        <v>38.5</v>
      </c>
      <c r="S21">
        <v>43.06</v>
      </c>
      <c r="T21">
        <v>30.43</v>
      </c>
    </row>
    <row r="22" spans="1:20" x14ac:dyDescent="0.25">
      <c r="A22" t="s">
        <v>405</v>
      </c>
      <c r="F22" t="s">
        <v>89</v>
      </c>
      <c r="G22">
        <v>77</v>
      </c>
      <c r="H22">
        <v>1236.8</v>
      </c>
      <c r="I22">
        <f>H22-G22</f>
        <v>1159.8</v>
      </c>
      <c r="J22">
        <f t="shared" si="6"/>
        <v>11.24185794044665</v>
      </c>
      <c r="M22" s="11"/>
      <c r="N22" s="13" t="s">
        <v>101</v>
      </c>
      <c r="O22">
        <v>28.01</v>
      </c>
      <c r="P22">
        <v>20.93</v>
      </c>
      <c r="Q22">
        <v>32.340000000000003</v>
      </c>
      <c r="R22">
        <v>38.409999999999997</v>
      </c>
      <c r="S22">
        <v>32.64</v>
      </c>
      <c r="T22">
        <v>30.41</v>
      </c>
    </row>
    <row r="23" spans="1:20" x14ac:dyDescent="0.25">
      <c r="A23" t="s">
        <v>406</v>
      </c>
      <c r="D23" s="5" t="s">
        <v>94</v>
      </c>
      <c r="E23" s="6" t="s">
        <v>95</v>
      </c>
      <c r="F23" t="s">
        <v>81</v>
      </c>
      <c r="G23">
        <v>88.2</v>
      </c>
      <c r="H23">
        <v>10011</v>
      </c>
      <c r="I23">
        <f t="shared" si="0"/>
        <v>9922.7999999999993</v>
      </c>
      <c r="J23">
        <f>(I23/9922.8)*100</f>
        <v>100</v>
      </c>
      <c r="M23" s="11"/>
      <c r="N23" s="13" t="s">
        <v>88</v>
      </c>
      <c r="O23">
        <v>74.27</v>
      </c>
      <c r="P23">
        <v>60.77</v>
      </c>
      <c r="Q23">
        <v>71.08</v>
      </c>
      <c r="R23">
        <v>75.63</v>
      </c>
      <c r="S23">
        <v>83.85</v>
      </c>
      <c r="T23">
        <v>64.540000000000006</v>
      </c>
    </row>
    <row r="24" spans="1:20" x14ac:dyDescent="0.25">
      <c r="A24" t="s">
        <v>407</v>
      </c>
      <c r="F24" t="s">
        <v>82</v>
      </c>
      <c r="G24">
        <v>88.2</v>
      </c>
      <c r="H24">
        <v>2216</v>
      </c>
      <c r="I24">
        <f t="shared" si="0"/>
        <v>2127.8000000000002</v>
      </c>
      <c r="J24">
        <f t="shared" ref="J24:J25" si="7">(I24/9922.8)*100</f>
        <v>21.443544160922322</v>
      </c>
      <c r="M24" s="11"/>
      <c r="N24" s="13" t="s">
        <v>93</v>
      </c>
      <c r="O24">
        <v>65.89</v>
      </c>
      <c r="P24">
        <v>55.7</v>
      </c>
      <c r="Q24">
        <v>70.959999999999994</v>
      </c>
      <c r="R24">
        <v>75.56</v>
      </c>
      <c r="S24">
        <v>80.36</v>
      </c>
      <c r="T24">
        <v>66.430000000000007</v>
      </c>
    </row>
    <row r="25" spans="1:20" x14ac:dyDescent="0.25">
      <c r="A25" t="s">
        <v>408</v>
      </c>
      <c r="F25" t="s">
        <v>89</v>
      </c>
      <c r="G25">
        <v>88.2</v>
      </c>
      <c r="H25">
        <v>1406</v>
      </c>
      <c r="I25">
        <f t="shared" si="0"/>
        <v>1317.8</v>
      </c>
      <c r="J25">
        <f t="shared" si="7"/>
        <v>13.28052565808038</v>
      </c>
      <c r="M25" s="11"/>
      <c r="N25" s="12"/>
    </row>
    <row r="26" spans="1:20" x14ac:dyDescent="0.25">
      <c r="A26" t="s">
        <v>409</v>
      </c>
      <c r="D26" s="5" t="s">
        <v>97</v>
      </c>
      <c r="E26" s="6" t="s">
        <v>96</v>
      </c>
      <c r="F26" t="s">
        <v>81</v>
      </c>
      <c r="G26">
        <v>109.4</v>
      </c>
      <c r="H26">
        <v>7798.6</v>
      </c>
      <c r="I26">
        <f t="shared" si="0"/>
        <v>7689.2000000000007</v>
      </c>
      <c r="J26">
        <f>(I26/7689.2)*100</f>
        <v>100.00000000000003</v>
      </c>
      <c r="M26" s="11" t="s">
        <v>89</v>
      </c>
      <c r="N26" s="12" t="s">
        <v>174</v>
      </c>
      <c r="O26">
        <v>5.97</v>
      </c>
      <c r="P26">
        <v>4.4800000000000004</v>
      </c>
      <c r="Q26">
        <v>13.59</v>
      </c>
      <c r="R26">
        <v>14.49</v>
      </c>
      <c r="S26">
        <v>12.89</v>
      </c>
      <c r="T26">
        <v>11.55</v>
      </c>
    </row>
    <row r="27" spans="1:20" x14ac:dyDescent="0.25">
      <c r="A27" t="s">
        <v>410</v>
      </c>
      <c r="F27" t="s">
        <v>82</v>
      </c>
      <c r="G27">
        <v>109.4</v>
      </c>
      <c r="H27">
        <v>1561.6</v>
      </c>
      <c r="I27">
        <f t="shared" si="0"/>
        <v>1452.1999999999998</v>
      </c>
      <c r="J27">
        <f t="shared" ref="J27:J28" si="8">(I27/7689.2)*100</f>
        <v>18.886230036934919</v>
      </c>
      <c r="M27" s="11"/>
      <c r="N27" s="12" t="s">
        <v>175</v>
      </c>
      <c r="O27">
        <v>5.42</v>
      </c>
      <c r="P27">
        <v>4.0999999999999996</v>
      </c>
      <c r="Q27">
        <v>13.16</v>
      </c>
      <c r="R27">
        <v>16.510000000000002</v>
      </c>
      <c r="S27">
        <v>16.25</v>
      </c>
      <c r="T27">
        <v>10.16</v>
      </c>
    </row>
    <row r="28" spans="1:20" x14ac:dyDescent="0.25">
      <c r="A28" t="s">
        <v>411</v>
      </c>
      <c r="F28" t="s">
        <v>89</v>
      </c>
      <c r="G28">
        <v>109.4</v>
      </c>
      <c r="H28">
        <v>1054.3</v>
      </c>
      <c r="I28">
        <f t="shared" si="0"/>
        <v>944.9</v>
      </c>
      <c r="J28">
        <f t="shared" si="8"/>
        <v>12.288664620506683</v>
      </c>
      <c r="M28" s="11"/>
      <c r="N28" s="13" t="s">
        <v>91</v>
      </c>
      <c r="O28">
        <v>5.7</v>
      </c>
      <c r="P28">
        <v>5.78</v>
      </c>
      <c r="Q28">
        <v>16.03</v>
      </c>
      <c r="R28">
        <v>15.27</v>
      </c>
      <c r="S28">
        <v>17.72</v>
      </c>
      <c r="T28">
        <v>12.6</v>
      </c>
    </row>
    <row r="29" spans="1:20" x14ac:dyDescent="0.25">
      <c r="A29" t="s">
        <v>412</v>
      </c>
      <c r="D29" s="5" t="s">
        <v>98</v>
      </c>
      <c r="E29" s="6" t="s">
        <v>99</v>
      </c>
      <c r="F29" t="s">
        <v>81</v>
      </c>
      <c r="G29">
        <v>79.7</v>
      </c>
      <c r="H29">
        <v>6681</v>
      </c>
      <c r="I29">
        <f t="shared" si="0"/>
        <v>6601.3</v>
      </c>
      <c r="J29">
        <f>(I29/6601.3)*100</f>
        <v>100</v>
      </c>
      <c r="M29" s="11"/>
      <c r="N29" s="13" t="s">
        <v>86</v>
      </c>
      <c r="O29">
        <v>6.31</v>
      </c>
      <c r="P29">
        <v>4.9800000000000004</v>
      </c>
      <c r="Q29">
        <v>21.95</v>
      </c>
      <c r="R29">
        <v>14.61</v>
      </c>
      <c r="S29">
        <v>21.04</v>
      </c>
      <c r="T29">
        <v>11.06</v>
      </c>
    </row>
    <row r="30" spans="1:20" x14ac:dyDescent="0.25">
      <c r="A30" t="s">
        <v>413</v>
      </c>
      <c r="F30" t="s">
        <v>82</v>
      </c>
      <c r="G30">
        <v>79.7</v>
      </c>
      <c r="H30">
        <v>1382</v>
      </c>
      <c r="I30">
        <f t="shared" si="0"/>
        <v>1302.3</v>
      </c>
      <c r="J30">
        <f t="shared" ref="J30:J31" si="9">(I30/6601.3)*100</f>
        <v>19.727932376956055</v>
      </c>
      <c r="M30" s="11"/>
      <c r="N30" s="13" t="s">
        <v>95</v>
      </c>
      <c r="O30">
        <v>12.08</v>
      </c>
      <c r="P30">
        <v>6.15</v>
      </c>
      <c r="Q30">
        <v>18.45</v>
      </c>
      <c r="R30">
        <v>17.57</v>
      </c>
      <c r="S30">
        <v>23.71</v>
      </c>
      <c r="T30">
        <v>13.28</v>
      </c>
    </row>
    <row r="31" spans="1:20" x14ac:dyDescent="0.25">
      <c r="A31" t="s">
        <v>414</v>
      </c>
      <c r="F31" t="s">
        <v>89</v>
      </c>
      <c r="G31">
        <v>79.7</v>
      </c>
      <c r="H31">
        <v>805.6</v>
      </c>
      <c r="I31">
        <f t="shared" si="0"/>
        <v>725.9</v>
      </c>
      <c r="J31">
        <f t="shared" si="9"/>
        <v>10.996318906881978</v>
      </c>
      <c r="M31" s="11"/>
      <c r="N31" s="13" t="s">
        <v>96</v>
      </c>
      <c r="O31">
        <v>11.87</v>
      </c>
      <c r="P31">
        <v>4.16</v>
      </c>
      <c r="Q31">
        <v>13.46</v>
      </c>
      <c r="R31">
        <v>13.12</v>
      </c>
      <c r="S31">
        <v>20.88</v>
      </c>
      <c r="T31">
        <v>12.29</v>
      </c>
    </row>
    <row r="32" spans="1:20" x14ac:dyDescent="0.25">
      <c r="A32" t="s">
        <v>415</v>
      </c>
      <c r="D32" s="5" t="s">
        <v>100</v>
      </c>
      <c r="E32" s="6" t="s">
        <v>101</v>
      </c>
      <c r="F32" t="s">
        <v>81</v>
      </c>
      <c r="G32">
        <v>102.7</v>
      </c>
      <c r="H32">
        <v>10983.1</v>
      </c>
      <c r="I32">
        <f t="shared" si="0"/>
        <v>10880.4</v>
      </c>
      <c r="J32">
        <f>(I32/10880.4)*100</f>
        <v>100</v>
      </c>
      <c r="M32" s="11"/>
      <c r="N32" s="13" t="s">
        <v>99</v>
      </c>
      <c r="O32">
        <v>10.91</v>
      </c>
      <c r="P32">
        <v>5.01</v>
      </c>
      <c r="Q32">
        <v>13.61</v>
      </c>
      <c r="R32">
        <v>15.06</v>
      </c>
      <c r="S32">
        <v>18.100000000000001</v>
      </c>
      <c r="T32">
        <v>11</v>
      </c>
    </row>
    <row r="33" spans="1:20" x14ac:dyDescent="0.25">
      <c r="A33" t="s">
        <v>416</v>
      </c>
      <c r="F33" t="s">
        <v>82</v>
      </c>
      <c r="G33">
        <v>102.7</v>
      </c>
      <c r="H33">
        <v>2239.5</v>
      </c>
      <c r="I33">
        <f t="shared" si="0"/>
        <v>2136.8000000000002</v>
      </c>
      <c r="J33">
        <f t="shared" ref="J33:J34" si="10">(I33/10880.4)*100</f>
        <v>19.638983860887468</v>
      </c>
      <c r="M33" s="11"/>
      <c r="N33" s="13" t="s">
        <v>101</v>
      </c>
      <c r="O33">
        <v>8.99</v>
      </c>
      <c r="P33">
        <v>5.64</v>
      </c>
      <c r="Q33">
        <v>9.09</v>
      </c>
      <c r="R33">
        <v>13.75</v>
      </c>
      <c r="S33">
        <v>16.71</v>
      </c>
      <c r="T33">
        <v>11.29</v>
      </c>
    </row>
    <row r="34" spans="1:20" x14ac:dyDescent="0.25">
      <c r="A34" t="s">
        <v>417</v>
      </c>
      <c r="F34" t="s">
        <v>89</v>
      </c>
      <c r="G34">
        <v>102.7</v>
      </c>
      <c r="H34">
        <v>1331.5</v>
      </c>
      <c r="I34">
        <f t="shared" si="0"/>
        <v>1228.8</v>
      </c>
      <c r="J34">
        <f t="shared" si="10"/>
        <v>11.29370243741039</v>
      </c>
      <c r="M34" s="11"/>
      <c r="N34" s="13" t="s">
        <v>88</v>
      </c>
      <c r="O34">
        <v>8.74</v>
      </c>
      <c r="P34">
        <v>7.96</v>
      </c>
      <c r="Q34">
        <v>18</v>
      </c>
      <c r="R34">
        <v>15.49</v>
      </c>
      <c r="S34">
        <v>22.82</v>
      </c>
      <c r="T34">
        <v>11.36</v>
      </c>
    </row>
    <row r="35" spans="1:20" x14ac:dyDescent="0.25">
      <c r="A35" t="s">
        <v>418</v>
      </c>
      <c r="M35" s="11"/>
      <c r="N35" s="13" t="s">
        <v>93</v>
      </c>
      <c r="O35">
        <v>6.61</v>
      </c>
      <c r="P35">
        <v>5.93</v>
      </c>
      <c r="Q35">
        <v>13.57</v>
      </c>
      <c r="R35">
        <v>18.25</v>
      </c>
      <c r="S35">
        <v>21.02</v>
      </c>
      <c r="T35">
        <v>11.24</v>
      </c>
    </row>
    <row r="36" spans="1:20" x14ac:dyDescent="0.25">
      <c r="A36" t="s">
        <v>419</v>
      </c>
      <c r="D36" s="2" t="s">
        <v>74</v>
      </c>
      <c r="E36" t="s">
        <v>102</v>
      </c>
      <c r="M36" s="11"/>
      <c r="N36" s="12" t="s">
        <v>174</v>
      </c>
      <c r="O36">
        <v>7.88</v>
      </c>
      <c r="P36">
        <v>5.73</v>
      </c>
      <c r="Q36">
        <v>14.66</v>
      </c>
      <c r="R36">
        <v>18.36</v>
      </c>
      <c r="S36">
        <v>20.11</v>
      </c>
      <c r="T36">
        <v>13.84</v>
      </c>
    </row>
    <row r="37" spans="1:20" x14ac:dyDescent="0.25">
      <c r="A37" t="s">
        <v>420</v>
      </c>
      <c r="D37" s="5" t="s">
        <v>79</v>
      </c>
      <c r="E37" s="6" t="s">
        <v>80</v>
      </c>
      <c r="F37" t="s">
        <v>81</v>
      </c>
      <c r="G37">
        <v>112.8</v>
      </c>
      <c r="H37">
        <v>9618.4</v>
      </c>
      <c r="I37">
        <f>H37-G37</f>
        <v>9505.6</v>
      </c>
      <c r="J37">
        <f>(I37/9505.6)*100</f>
        <v>100</v>
      </c>
      <c r="M37" s="11"/>
      <c r="N37" s="12" t="s">
        <v>175</v>
      </c>
      <c r="O37">
        <v>7.98</v>
      </c>
      <c r="P37">
        <v>6.08</v>
      </c>
      <c r="Q37">
        <v>18.41</v>
      </c>
      <c r="R37">
        <v>19.920000000000002</v>
      </c>
      <c r="S37">
        <v>21.93</v>
      </c>
      <c r="T37">
        <v>13.23</v>
      </c>
    </row>
    <row r="38" spans="1:20" x14ac:dyDescent="0.25">
      <c r="A38" t="s">
        <v>421</v>
      </c>
      <c r="F38" t="s">
        <v>82</v>
      </c>
      <c r="G38">
        <v>112.8</v>
      </c>
      <c r="H38">
        <v>3597.1</v>
      </c>
      <c r="I38">
        <f>H38-G38</f>
        <v>3484.2999999999997</v>
      </c>
      <c r="J38">
        <f t="shared" ref="J38:J39" si="11">(I38/9505.6)*100</f>
        <v>36.655234808954717</v>
      </c>
      <c r="M38" s="11"/>
      <c r="N38" s="13" t="s">
        <v>91</v>
      </c>
      <c r="O38">
        <v>8.76</v>
      </c>
      <c r="P38">
        <v>8.1199999999999992</v>
      </c>
      <c r="Q38">
        <v>20.6</v>
      </c>
      <c r="R38">
        <v>19.46</v>
      </c>
      <c r="S38">
        <v>27.8</v>
      </c>
      <c r="T38">
        <v>17.68</v>
      </c>
    </row>
    <row r="39" spans="1:20" x14ac:dyDescent="0.25">
      <c r="A39" t="s">
        <v>422</v>
      </c>
      <c r="F39" t="s">
        <v>89</v>
      </c>
      <c r="G39">
        <v>112.8</v>
      </c>
      <c r="H39">
        <v>1428.2</v>
      </c>
      <c r="I39">
        <f t="shared" ref="I39:I66" si="12">H39-G39</f>
        <v>1315.4</v>
      </c>
      <c r="J39">
        <f t="shared" si="11"/>
        <v>13.838158559165123</v>
      </c>
      <c r="M39" s="11"/>
      <c r="N39" s="13" t="s">
        <v>86</v>
      </c>
      <c r="O39">
        <v>10.18</v>
      </c>
      <c r="P39">
        <v>8.5299999999999994</v>
      </c>
      <c r="Q39">
        <v>22.08</v>
      </c>
      <c r="R39">
        <v>22.98</v>
      </c>
      <c r="S39">
        <v>30.18</v>
      </c>
      <c r="T39">
        <v>16.03</v>
      </c>
    </row>
    <row r="40" spans="1:20" x14ac:dyDescent="0.25">
      <c r="A40" t="s">
        <v>423</v>
      </c>
      <c r="D40" s="5" t="s">
        <v>83</v>
      </c>
      <c r="E40" s="6" t="s">
        <v>84</v>
      </c>
      <c r="F40" t="s">
        <v>81</v>
      </c>
      <c r="G40">
        <v>83.1</v>
      </c>
      <c r="H40">
        <v>7447.4</v>
      </c>
      <c r="I40">
        <f t="shared" si="12"/>
        <v>7364.2999999999993</v>
      </c>
      <c r="J40">
        <f>(I40/7364.3)*100</f>
        <v>99.999999999999986</v>
      </c>
      <c r="M40" s="11"/>
      <c r="N40" s="13" t="s">
        <v>95</v>
      </c>
      <c r="O40">
        <v>8.0399999999999991</v>
      </c>
      <c r="P40">
        <v>7.44</v>
      </c>
      <c r="Q40">
        <v>22.18</v>
      </c>
      <c r="R40">
        <v>17.23</v>
      </c>
      <c r="S40">
        <v>27.74</v>
      </c>
      <c r="T40">
        <v>16.329999999999998</v>
      </c>
    </row>
    <row r="41" spans="1:20" x14ac:dyDescent="0.25">
      <c r="A41" t="s">
        <v>424</v>
      </c>
      <c r="F41" t="s">
        <v>82</v>
      </c>
      <c r="G41">
        <v>83.1</v>
      </c>
      <c r="H41">
        <v>2724.4</v>
      </c>
      <c r="I41">
        <f t="shared" si="12"/>
        <v>2641.3</v>
      </c>
      <c r="J41">
        <f t="shared" ref="J41:J42" si="13">(I41/7364.3)*100</f>
        <v>35.866273780264251</v>
      </c>
      <c r="M41" s="11"/>
      <c r="N41" s="13" t="s">
        <v>96</v>
      </c>
      <c r="O41">
        <v>11.96</v>
      </c>
      <c r="P41">
        <v>12.61</v>
      </c>
      <c r="Q41">
        <v>17.850000000000001</v>
      </c>
      <c r="R41">
        <v>16.190000000000001</v>
      </c>
      <c r="S41">
        <v>22.34</v>
      </c>
      <c r="T41">
        <v>12.94</v>
      </c>
    </row>
    <row r="42" spans="1:20" x14ac:dyDescent="0.25">
      <c r="A42" t="s">
        <v>425</v>
      </c>
      <c r="F42" t="s">
        <v>89</v>
      </c>
      <c r="G42">
        <v>83.1</v>
      </c>
      <c r="H42">
        <v>1057.7</v>
      </c>
      <c r="I42">
        <f t="shared" si="12"/>
        <v>974.6</v>
      </c>
      <c r="J42">
        <f t="shared" si="13"/>
        <v>13.234115937699443</v>
      </c>
      <c r="M42" s="11"/>
      <c r="N42" s="13" t="s">
        <v>99</v>
      </c>
      <c r="O42">
        <v>10.57</v>
      </c>
      <c r="P42">
        <v>6.73</v>
      </c>
      <c r="Q42">
        <v>18.34</v>
      </c>
      <c r="R42">
        <v>18</v>
      </c>
      <c r="S42">
        <v>20.77</v>
      </c>
      <c r="T42">
        <v>15.76</v>
      </c>
    </row>
    <row r="43" spans="1:20" x14ac:dyDescent="0.25">
      <c r="A43" t="s">
        <v>426</v>
      </c>
      <c r="D43" s="5" t="s">
        <v>90</v>
      </c>
      <c r="E43" s="6" t="s">
        <v>91</v>
      </c>
      <c r="F43" t="s">
        <v>81</v>
      </c>
      <c r="G43">
        <v>89.6</v>
      </c>
      <c r="H43">
        <v>7569.5</v>
      </c>
      <c r="I43">
        <f t="shared" si="12"/>
        <v>7479.9</v>
      </c>
      <c r="J43">
        <f>(I43/7479.9)*100</f>
        <v>100</v>
      </c>
      <c r="M43" s="11"/>
      <c r="N43" s="13" t="s">
        <v>101</v>
      </c>
      <c r="O43">
        <v>9.52</v>
      </c>
      <c r="P43">
        <v>8.94</v>
      </c>
      <c r="Q43">
        <v>13.96</v>
      </c>
      <c r="R43">
        <v>16.649999999999999</v>
      </c>
      <c r="S43">
        <v>17.77</v>
      </c>
      <c r="T43">
        <v>13.93</v>
      </c>
    </row>
    <row r="44" spans="1:20" x14ac:dyDescent="0.25">
      <c r="A44" t="s">
        <v>427</v>
      </c>
      <c r="F44" t="s">
        <v>82</v>
      </c>
      <c r="G44">
        <v>89.6</v>
      </c>
      <c r="H44">
        <v>3159.7</v>
      </c>
      <c r="I44">
        <f t="shared" si="12"/>
        <v>3070.1</v>
      </c>
      <c r="J44">
        <f t="shared" ref="J44:J45" si="14">(I44/7479.9)*100</f>
        <v>41.044666372545088</v>
      </c>
      <c r="M44" s="11"/>
      <c r="N44" s="13" t="s">
        <v>88</v>
      </c>
      <c r="O44">
        <v>59.52</v>
      </c>
      <c r="P44">
        <v>42.62</v>
      </c>
      <c r="Q44">
        <v>58.79</v>
      </c>
      <c r="R44">
        <v>58.81</v>
      </c>
      <c r="S44">
        <v>62.17</v>
      </c>
      <c r="T44">
        <v>46.2</v>
      </c>
    </row>
    <row r="45" spans="1:20" x14ac:dyDescent="0.25">
      <c r="A45" t="s">
        <v>428</v>
      </c>
      <c r="F45" t="s">
        <v>89</v>
      </c>
      <c r="G45">
        <v>89.6</v>
      </c>
      <c r="H45">
        <v>1412.4</v>
      </c>
      <c r="I45">
        <f t="shared" si="12"/>
        <v>1322.8000000000002</v>
      </c>
      <c r="J45">
        <f t="shared" si="14"/>
        <v>17.684728405459971</v>
      </c>
      <c r="M45" s="11"/>
      <c r="N45" s="13" t="s">
        <v>93</v>
      </c>
      <c r="O45">
        <v>47.42</v>
      </c>
      <c r="P45">
        <v>38.630000000000003</v>
      </c>
      <c r="Q45">
        <v>58.28</v>
      </c>
      <c r="R45">
        <v>54.49</v>
      </c>
      <c r="S45">
        <v>58.68</v>
      </c>
      <c r="T45">
        <v>47.2</v>
      </c>
    </row>
    <row r="46" spans="1:20" x14ac:dyDescent="0.25">
      <c r="A46" t="s">
        <v>429</v>
      </c>
      <c r="D46" s="5" t="s">
        <v>85</v>
      </c>
      <c r="E46" s="6" t="s">
        <v>86</v>
      </c>
      <c r="F46" t="s">
        <v>81</v>
      </c>
      <c r="G46">
        <v>83.1</v>
      </c>
      <c r="H46">
        <v>12419.5</v>
      </c>
      <c r="I46">
        <f t="shared" si="12"/>
        <v>12336.4</v>
      </c>
      <c r="J46">
        <f>(I46/12336.4)*100</f>
        <v>100</v>
      </c>
    </row>
    <row r="47" spans="1:20" x14ac:dyDescent="0.25">
      <c r="A47" t="s">
        <v>430</v>
      </c>
      <c r="F47" t="s">
        <v>82</v>
      </c>
      <c r="G47">
        <v>83.1</v>
      </c>
      <c r="H47">
        <v>5342.5</v>
      </c>
      <c r="I47">
        <f t="shared" si="12"/>
        <v>5259.4</v>
      </c>
      <c r="J47">
        <f t="shared" ref="J47:J48" si="15">(I47/12336.4)*100</f>
        <v>42.633183100418272</v>
      </c>
    </row>
    <row r="48" spans="1:20" x14ac:dyDescent="0.25">
      <c r="A48" t="s">
        <v>431</v>
      </c>
      <c r="F48" t="s">
        <v>89</v>
      </c>
      <c r="G48">
        <v>83.1</v>
      </c>
      <c r="H48">
        <v>2061.1</v>
      </c>
      <c r="I48">
        <f t="shared" si="12"/>
        <v>1978</v>
      </c>
      <c r="J48">
        <f t="shared" si="15"/>
        <v>16.033851042443501</v>
      </c>
    </row>
    <row r="49" spans="1:10" x14ac:dyDescent="0.25">
      <c r="A49" t="s">
        <v>432</v>
      </c>
      <c r="D49" s="5" t="s">
        <v>87</v>
      </c>
      <c r="E49" s="6" t="s">
        <v>88</v>
      </c>
      <c r="F49" t="s">
        <v>81</v>
      </c>
      <c r="G49">
        <v>66.8</v>
      </c>
      <c r="H49">
        <v>7164.8</v>
      </c>
      <c r="I49" s="10">
        <f t="shared" si="12"/>
        <v>7098</v>
      </c>
      <c r="J49" s="7">
        <f>(I49/7098)*100</f>
        <v>100</v>
      </c>
    </row>
    <row r="50" spans="1:10" x14ac:dyDescent="0.25">
      <c r="A50" t="s">
        <v>433</v>
      </c>
      <c r="F50" t="s">
        <v>82</v>
      </c>
      <c r="G50">
        <v>66.8</v>
      </c>
      <c r="H50">
        <v>4647.5</v>
      </c>
      <c r="I50">
        <f t="shared" si="12"/>
        <v>4580.7</v>
      </c>
      <c r="J50" s="7">
        <f t="shared" ref="J50:J51" si="16">(I50/7098)*100</f>
        <v>64.535080304311066</v>
      </c>
    </row>
    <row r="51" spans="1:10" x14ac:dyDescent="0.25">
      <c r="A51" t="s">
        <v>434</v>
      </c>
      <c r="F51" t="s">
        <v>89</v>
      </c>
      <c r="G51">
        <v>66.8</v>
      </c>
      <c r="H51">
        <v>3346</v>
      </c>
      <c r="I51">
        <f t="shared" si="12"/>
        <v>3279.2</v>
      </c>
      <c r="J51" s="7">
        <f t="shared" si="16"/>
        <v>46.19892927585235</v>
      </c>
    </row>
    <row r="52" spans="1:10" x14ac:dyDescent="0.25">
      <c r="A52" t="s">
        <v>435</v>
      </c>
      <c r="D52" s="5" t="s">
        <v>92</v>
      </c>
      <c r="E52" s="6" t="s">
        <v>93</v>
      </c>
      <c r="F52" t="s">
        <v>81</v>
      </c>
      <c r="G52">
        <v>77</v>
      </c>
      <c r="H52">
        <v>11651.6</v>
      </c>
      <c r="I52">
        <f t="shared" si="12"/>
        <v>11574.6</v>
      </c>
      <c r="J52" s="7">
        <f>(I52/11574.6)*100</f>
        <v>100</v>
      </c>
    </row>
    <row r="53" spans="1:10" x14ac:dyDescent="0.25">
      <c r="A53" t="s">
        <v>436</v>
      </c>
      <c r="F53" t="s">
        <v>82</v>
      </c>
      <c r="G53">
        <v>77</v>
      </c>
      <c r="H53">
        <v>7765.6</v>
      </c>
      <c r="I53">
        <f t="shared" si="12"/>
        <v>7688.6</v>
      </c>
      <c r="J53" s="7">
        <f t="shared" ref="J53:J54" si="17">(I53/11574.6)*100</f>
        <v>66.426485580495225</v>
      </c>
    </row>
    <row r="54" spans="1:10" x14ac:dyDescent="0.25">
      <c r="A54" t="s">
        <v>437</v>
      </c>
      <c r="F54" t="s">
        <v>89</v>
      </c>
      <c r="G54">
        <v>77</v>
      </c>
      <c r="H54">
        <v>5540.7</v>
      </c>
      <c r="I54">
        <f t="shared" si="12"/>
        <v>5463.7</v>
      </c>
      <c r="J54" s="7">
        <f t="shared" si="17"/>
        <v>47.204223040105056</v>
      </c>
    </row>
    <row r="55" spans="1:10" x14ac:dyDescent="0.25">
      <c r="A55" t="s">
        <v>438</v>
      </c>
      <c r="D55" s="5" t="s">
        <v>94</v>
      </c>
      <c r="E55" s="6" t="s">
        <v>95</v>
      </c>
      <c r="F55" t="s">
        <v>81</v>
      </c>
      <c r="G55">
        <v>88.2</v>
      </c>
      <c r="H55">
        <v>10453.700000000001</v>
      </c>
      <c r="I55">
        <f t="shared" si="12"/>
        <v>10365.5</v>
      </c>
      <c r="J55">
        <f>(I55/10365.5)*100</f>
        <v>100</v>
      </c>
    </row>
    <row r="56" spans="1:10" x14ac:dyDescent="0.25">
      <c r="A56" t="s">
        <v>439</v>
      </c>
      <c r="F56" t="s">
        <v>82</v>
      </c>
      <c r="G56">
        <v>88.2</v>
      </c>
      <c r="H56">
        <v>3815</v>
      </c>
      <c r="I56">
        <f t="shared" si="12"/>
        <v>3726.8</v>
      </c>
      <c r="J56">
        <f t="shared" ref="J56:J57" si="18">(I56/10365.5)*100</f>
        <v>35.953885485504799</v>
      </c>
    </row>
    <row r="57" spans="1:10" x14ac:dyDescent="0.25">
      <c r="A57" t="s">
        <v>440</v>
      </c>
      <c r="F57" t="s">
        <v>89</v>
      </c>
      <c r="G57">
        <v>88.2</v>
      </c>
      <c r="H57">
        <v>1781</v>
      </c>
      <c r="I57">
        <f t="shared" si="12"/>
        <v>1692.8</v>
      </c>
      <c r="J57">
        <f t="shared" si="18"/>
        <v>16.331098355120353</v>
      </c>
    </row>
    <row r="58" spans="1:10" x14ac:dyDescent="0.25">
      <c r="A58" t="s">
        <v>441</v>
      </c>
      <c r="D58" s="5" t="s">
        <v>97</v>
      </c>
      <c r="E58" s="6" t="s">
        <v>96</v>
      </c>
      <c r="F58" t="s">
        <v>81</v>
      </c>
      <c r="G58">
        <v>109.4</v>
      </c>
      <c r="H58">
        <v>7826.1</v>
      </c>
      <c r="I58">
        <f t="shared" si="12"/>
        <v>7716.7000000000007</v>
      </c>
      <c r="J58">
        <f>(I58/7716.7)*100</f>
        <v>100.00000000000003</v>
      </c>
    </row>
    <row r="59" spans="1:10" x14ac:dyDescent="0.25">
      <c r="A59" t="s">
        <v>442</v>
      </c>
      <c r="F59" t="s">
        <v>82</v>
      </c>
      <c r="G59">
        <v>109.4</v>
      </c>
      <c r="H59">
        <v>2388.6999999999998</v>
      </c>
      <c r="I59">
        <f t="shared" si="12"/>
        <v>2279.2999999999997</v>
      </c>
      <c r="J59">
        <f t="shared" ref="J59:J60" si="19">(I59/7716.7)*100</f>
        <v>29.537237420140734</v>
      </c>
    </row>
    <row r="60" spans="1:10" x14ac:dyDescent="0.25">
      <c r="A60" t="s">
        <v>443</v>
      </c>
      <c r="F60" t="s">
        <v>89</v>
      </c>
      <c r="G60">
        <v>109.4</v>
      </c>
      <c r="H60">
        <v>1108.0999999999999</v>
      </c>
      <c r="I60">
        <f t="shared" si="12"/>
        <v>998.69999999999993</v>
      </c>
      <c r="J60">
        <f t="shared" si="19"/>
        <v>12.94206072543963</v>
      </c>
    </row>
    <row r="61" spans="1:10" x14ac:dyDescent="0.25">
      <c r="A61" t="s">
        <v>444</v>
      </c>
      <c r="D61" s="5" t="s">
        <v>98</v>
      </c>
      <c r="E61" s="6" t="s">
        <v>99</v>
      </c>
      <c r="F61" t="s">
        <v>81</v>
      </c>
      <c r="G61">
        <v>79.7</v>
      </c>
      <c r="H61">
        <v>7087.7</v>
      </c>
      <c r="I61">
        <f t="shared" si="12"/>
        <v>7008</v>
      </c>
      <c r="J61">
        <f>(I61/7008)*100</f>
        <v>100</v>
      </c>
    </row>
    <row r="62" spans="1:10" x14ac:dyDescent="0.25">
      <c r="A62" t="s">
        <v>445</v>
      </c>
      <c r="F62" t="s">
        <v>82</v>
      </c>
      <c r="G62">
        <v>79.7</v>
      </c>
      <c r="H62">
        <v>2212.4</v>
      </c>
      <c r="I62">
        <f t="shared" si="12"/>
        <v>2132.7000000000003</v>
      </c>
      <c r="J62">
        <f t="shared" ref="J62:J63" si="20">(I62/7008)*100</f>
        <v>30.432363013698634</v>
      </c>
    </row>
    <row r="63" spans="1:10" x14ac:dyDescent="0.25">
      <c r="A63" t="s">
        <v>446</v>
      </c>
      <c r="F63" t="s">
        <v>89</v>
      </c>
      <c r="G63">
        <v>79.7</v>
      </c>
      <c r="H63">
        <v>1184.0999999999999</v>
      </c>
      <c r="I63">
        <f t="shared" si="12"/>
        <v>1104.3999999999999</v>
      </c>
      <c r="J63">
        <f t="shared" si="20"/>
        <v>15.759132420091323</v>
      </c>
    </row>
    <row r="64" spans="1:10" x14ac:dyDescent="0.25">
      <c r="A64" t="s">
        <v>447</v>
      </c>
      <c r="D64" s="5" t="s">
        <v>100</v>
      </c>
      <c r="E64" s="6" t="s">
        <v>101</v>
      </c>
      <c r="F64" t="s">
        <v>81</v>
      </c>
      <c r="G64">
        <v>102.7</v>
      </c>
      <c r="H64">
        <v>10553.4</v>
      </c>
      <c r="I64">
        <f t="shared" si="12"/>
        <v>10450.699999999999</v>
      </c>
      <c r="J64">
        <f>(I64/10450.7)*100</f>
        <v>99.999999999999972</v>
      </c>
    </row>
    <row r="65" spans="1:10" x14ac:dyDescent="0.25">
      <c r="A65" t="s">
        <v>448</v>
      </c>
      <c r="F65" t="s">
        <v>82</v>
      </c>
      <c r="G65">
        <v>102.7</v>
      </c>
      <c r="H65">
        <v>3280.7</v>
      </c>
      <c r="I65">
        <f t="shared" si="12"/>
        <v>3178</v>
      </c>
      <c r="J65">
        <f t="shared" ref="J65:J66" si="21">(I65/10450.7)*100</f>
        <v>30.40944625718851</v>
      </c>
    </row>
    <row r="66" spans="1:10" x14ac:dyDescent="0.25">
      <c r="A66" t="s">
        <v>449</v>
      </c>
      <c r="F66" t="s">
        <v>89</v>
      </c>
      <c r="G66">
        <v>102.7</v>
      </c>
      <c r="H66">
        <v>1558.1</v>
      </c>
      <c r="I66">
        <f t="shared" si="12"/>
        <v>1455.3999999999999</v>
      </c>
      <c r="J66">
        <f t="shared" si="21"/>
        <v>13.92633986240156</v>
      </c>
    </row>
    <row r="67" spans="1:10" x14ac:dyDescent="0.25">
      <c r="A67" t="s">
        <v>450</v>
      </c>
    </row>
    <row r="68" spans="1:10" x14ac:dyDescent="0.25">
      <c r="A68" t="s">
        <v>451</v>
      </c>
    </row>
    <row r="69" spans="1:10" x14ac:dyDescent="0.25">
      <c r="A69" t="s">
        <v>452</v>
      </c>
    </row>
    <row r="70" spans="1:10" x14ac:dyDescent="0.25">
      <c r="A70" t="s">
        <v>453</v>
      </c>
    </row>
    <row r="71" spans="1:10" x14ac:dyDescent="0.25">
      <c r="A71" t="s">
        <v>454</v>
      </c>
    </row>
    <row r="72" spans="1:10" x14ac:dyDescent="0.25">
      <c r="A72" t="s">
        <v>455</v>
      </c>
    </row>
    <row r="73" spans="1:10" x14ac:dyDescent="0.25">
      <c r="A73" t="s">
        <v>456</v>
      </c>
    </row>
    <row r="74" spans="1:10" x14ac:dyDescent="0.25">
      <c r="A74" t="s">
        <v>457</v>
      </c>
    </row>
    <row r="75" spans="1:10" x14ac:dyDescent="0.25">
      <c r="A75" t="s">
        <v>458</v>
      </c>
    </row>
    <row r="76" spans="1:10" x14ac:dyDescent="0.25">
      <c r="A7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F11-21-23</vt:lpstr>
      <vt:lpstr>F11-22-23</vt:lpstr>
      <vt:lpstr>F_LSR01-09-24</vt:lpstr>
      <vt:lpstr>LSR01-14-24</vt:lpstr>
      <vt:lpstr>LSR01-16-24</vt:lpstr>
      <vt:lpstr>LSR01-24-24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 AKDOGAN</dc:creator>
  <cp:lastModifiedBy>EMEL AKDOGAN</cp:lastModifiedBy>
  <dcterms:created xsi:type="dcterms:W3CDTF">2023-11-22T05:53:44Z</dcterms:created>
  <dcterms:modified xsi:type="dcterms:W3CDTF">2025-03-20T22:37:47Z</dcterms:modified>
</cp:coreProperties>
</file>