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l\Downloads\"/>
    </mc:Choice>
  </mc:AlternateContent>
  <xr:revisionPtr revIDLastSave="0" documentId="13_ncr:1_{23DA210A-8B0F-4128-9EA9-FEE4C31AD4F5}" xr6:coauthVersionLast="47" xr6:coauthVersionMax="47" xr10:uidLastSave="{00000000-0000-0000-0000-000000000000}"/>
  <bookViews>
    <workbookView xWindow="-120" yWindow="-120" windowWidth="29040" windowHeight="15840" activeTab="7" xr2:uid="{2066E087-0F0E-4AA3-9BA9-3F8D90C99E4F}"/>
  </bookViews>
  <sheets>
    <sheet name="8-31-23" sheetId="3" r:id="rId1"/>
    <sheet name="9-3-23" sheetId="4" r:id="rId2"/>
    <sheet name="9-8-23" sheetId="5" r:id="rId3"/>
    <sheet name="9-9-23" sheetId="6" r:id="rId4"/>
    <sheet name="9-11-23" sheetId="7" r:id="rId5"/>
    <sheet name="9-13-23" sheetId="8" r:id="rId6"/>
    <sheet name="9-15-23" sheetId="9" r:id="rId7"/>
    <sheet name="9-22-23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0" l="1"/>
  <c r="I31" i="10"/>
  <c r="I29" i="10"/>
  <c r="I27" i="10"/>
  <c r="I28" i="10"/>
  <c r="I26" i="10"/>
  <c r="I24" i="10"/>
  <c r="I25" i="10"/>
  <c r="I23" i="10"/>
  <c r="I21" i="10"/>
  <c r="I22" i="10"/>
  <c r="I20" i="10"/>
  <c r="I18" i="10"/>
  <c r="I19" i="10"/>
  <c r="I17" i="10"/>
  <c r="I15" i="10"/>
  <c r="I16" i="10"/>
  <c r="I14" i="10"/>
  <c r="I12" i="10"/>
  <c r="I13" i="10"/>
  <c r="I11" i="10"/>
  <c r="I9" i="10"/>
  <c r="I10" i="10"/>
  <c r="I8" i="10"/>
  <c r="I6" i="10"/>
  <c r="I7" i="10"/>
  <c r="I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I30" i="9"/>
  <c r="I31" i="9"/>
  <c r="I29" i="9"/>
  <c r="I27" i="9"/>
  <c r="I28" i="9"/>
  <c r="I26" i="9"/>
  <c r="I24" i="9"/>
  <c r="I25" i="9"/>
  <c r="I23" i="9"/>
  <c r="I21" i="9"/>
  <c r="I22" i="9"/>
  <c r="I20" i="9"/>
  <c r="I18" i="9"/>
  <c r="I19" i="9"/>
  <c r="I17" i="9"/>
  <c r="I15" i="9"/>
  <c r="I16" i="9"/>
  <c r="I14" i="9"/>
  <c r="I12" i="9"/>
  <c r="I13" i="9"/>
  <c r="I11" i="9"/>
  <c r="I9" i="9"/>
  <c r="I10" i="9"/>
  <c r="I8" i="9"/>
  <c r="I6" i="9"/>
  <c r="I7" i="9"/>
  <c r="I5" i="9"/>
  <c r="H22" i="9"/>
  <c r="H23" i="9"/>
  <c r="H31" i="9"/>
  <c r="H30" i="9"/>
  <c r="H29" i="9"/>
  <c r="H28" i="9"/>
  <c r="H27" i="9"/>
  <c r="H26" i="9"/>
  <c r="H25" i="9"/>
  <c r="H24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I29" i="8"/>
  <c r="I27" i="8"/>
  <c r="I28" i="8"/>
  <c r="I26" i="8"/>
  <c r="I25" i="8"/>
  <c r="I23" i="8"/>
  <c r="I22" i="8"/>
  <c r="I20" i="8"/>
  <c r="I19" i="8"/>
  <c r="I17" i="8"/>
  <c r="I16" i="8"/>
  <c r="I14" i="8"/>
  <c r="I13" i="8"/>
  <c r="I11" i="8"/>
  <c r="I9" i="8"/>
  <c r="I10" i="8"/>
  <c r="I8" i="8"/>
  <c r="I6" i="8"/>
  <c r="I7" i="8"/>
  <c r="I5" i="8"/>
  <c r="H31" i="8"/>
  <c r="I31" i="8" s="1"/>
  <c r="H30" i="8"/>
  <c r="I30" i="8" s="1"/>
  <c r="H29" i="8"/>
  <c r="H28" i="8"/>
  <c r="H27" i="8"/>
  <c r="H26" i="8"/>
  <c r="H25" i="8"/>
  <c r="H24" i="8"/>
  <c r="I24" i="8" s="1"/>
  <c r="H23" i="8"/>
  <c r="H21" i="8"/>
  <c r="I21" i="8" s="1"/>
  <c r="H20" i="8"/>
  <c r="H19" i="8"/>
  <c r="H18" i="8"/>
  <c r="I18" i="8" s="1"/>
  <c r="H17" i="8"/>
  <c r="H16" i="8"/>
  <c r="H15" i="8"/>
  <c r="I15" i="8" s="1"/>
  <c r="H14" i="8"/>
  <c r="H13" i="8"/>
  <c r="H12" i="8"/>
  <c r="I12" i="8" s="1"/>
  <c r="H11" i="8"/>
  <c r="H10" i="8"/>
  <c r="H9" i="8"/>
  <c r="H8" i="8"/>
  <c r="H7" i="8"/>
  <c r="H6" i="8"/>
  <c r="H5" i="8"/>
  <c r="I30" i="7"/>
  <c r="I31" i="7"/>
  <c r="I29" i="7"/>
  <c r="I27" i="7"/>
  <c r="I28" i="7"/>
  <c r="I26" i="7"/>
  <c r="I24" i="7"/>
  <c r="I25" i="7"/>
  <c r="I23" i="7"/>
  <c r="I21" i="7"/>
  <c r="I22" i="7"/>
  <c r="I20" i="7"/>
  <c r="I18" i="7"/>
  <c r="I19" i="7"/>
  <c r="I17" i="7"/>
  <c r="I15" i="7"/>
  <c r="I16" i="7"/>
  <c r="I14" i="7"/>
  <c r="I12" i="7"/>
  <c r="I13" i="7"/>
  <c r="I11" i="7"/>
  <c r="I9" i="7"/>
  <c r="I10" i="7"/>
  <c r="I8" i="7"/>
  <c r="I6" i="7"/>
  <c r="I7" i="7"/>
  <c r="I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I30" i="6"/>
  <c r="I31" i="6"/>
  <c r="I29" i="6"/>
  <c r="I27" i="6"/>
  <c r="I28" i="6"/>
  <c r="I26" i="6"/>
  <c r="I24" i="6"/>
  <c r="I25" i="6"/>
  <c r="I23" i="6"/>
  <c r="I21" i="6"/>
  <c r="I22" i="6"/>
  <c r="I20" i="6"/>
  <c r="I18" i="6"/>
  <c r="I19" i="6"/>
  <c r="I17" i="6"/>
  <c r="I15" i="6"/>
  <c r="I16" i="6"/>
  <c r="I14" i="6"/>
  <c r="I12" i="6"/>
  <c r="I13" i="6"/>
  <c r="I11" i="6"/>
  <c r="I9" i="6"/>
  <c r="I10" i="6"/>
  <c r="I8" i="6"/>
  <c r="I6" i="6"/>
  <c r="I7" i="6"/>
  <c r="I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I30" i="5"/>
  <c r="I31" i="5"/>
  <c r="I29" i="5"/>
  <c r="I27" i="5"/>
  <c r="I28" i="5"/>
  <c r="I26" i="5"/>
  <c r="I24" i="5"/>
  <c r="I25" i="5"/>
  <c r="I23" i="5"/>
  <c r="I21" i="5"/>
  <c r="I22" i="5"/>
  <c r="I20" i="5"/>
  <c r="I18" i="5"/>
  <c r="I19" i="5"/>
  <c r="I17" i="5"/>
  <c r="I15" i="5"/>
  <c r="I16" i="5"/>
  <c r="I14" i="5"/>
  <c r="I12" i="5"/>
  <c r="I13" i="5"/>
  <c r="I11" i="5"/>
  <c r="I9" i="5"/>
  <c r="I10" i="5"/>
  <c r="I8" i="5"/>
  <c r="I6" i="5"/>
  <c r="I7" i="5"/>
  <c r="I5" i="5"/>
  <c r="H7" i="5"/>
  <c r="H6" i="5"/>
  <c r="H5" i="5"/>
  <c r="I30" i="4"/>
  <c r="I31" i="4"/>
  <c r="I29" i="4"/>
  <c r="I27" i="4"/>
  <c r="I28" i="4"/>
  <c r="I26" i="4"/>
  <c r="I24" i="4"/>
  <c r="I25" i="4"/>
  <c r="I23" i="4"/>
  <c r="I21" i="4"/>
  <c r="I22" i="4"/>
  <c r="I20" i="4"/>
  <c r="I18" i="4"/>
  <c r="I19" i="4"/>
  <c r="I17" i="4"/>
  <c r="I15" i="4"/>
  <c r="I16" i="4"/>
  <c r="I14" i="4"/>
  <c r="I12" i="4"/>
  <c r="I13" i="4"/>
  <c r="I11" i="4"/>
  <c r="I9" i="4"/>
  <c r="I10" i="4"/>
  <c r="I8" i="4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22" i="4"/>
  <c r="H21" i="4"/>
  <c r="H20" i="4"/>
  <c r="H19" i="4"/>
  <c r="H18" i="4"/>
  <c r="H17" i="4"/>
  <c r="H31" i="4"/>
  <c r="H30" i="4"/>
  <c r="H29" i="4"/>
  <c r="H28" i="4"/>
  <c r="H27" i="4"/>
  <c r="H26" i="4"/>
  <c r="H25" i="4"/>
  <c r="H24" i="4"/>
  <c r="H23" i="4"/>
  <c r="H16" i="4"/>
  <c r="H15" i="4"/>
  <c r="H14" i="4"/>
  <c r="H13" i="4"/>
  <c r="H12" i="4"/>
  <c r="H11" i="4"/>
  <c r="H10" i="4"/>
  <c r="H9" i="4"/>
  <c r="H8" i="4"/>
  <c r="I23" i="3"/>
  <c r="I24" i="3"/>
  <c r="I22" i="3"/>
  <c r="I20" i="3"/>
  <c r="I21" i="3"/>
  <c r="I19" i="3"/>
  <c r="I17" i="3"/>
  <c r="I18" i="3"/>
  <c r="I16" i="3"/>
  <c r="H16" i="3"/>
  <c r="H17" i="3"/>
  <c r="H18" i="3"/>
  <c r="H19" i="3"/>
  <c r="H20" i="3"/>
  <c r="H21" i="3"/>
  <c r="H22" i="3"/>
  <c r="H23" i="3"/>
  <c r="H24" i="3"/>
  <c r="I14" i="3"/>
  <c r="I15" i="3"/>
  <c r="I13" i="3"/>
  <c r="H13" i="3"/>
  <c r="H14" i="3"/>
  <c r="H15" i="3"/>
  <c r="H12" i="3"/>
  <c r="I11" i="3"/>
  <c r="I12" i="3"/>
  <c r="I10" i="3"/>
  <c r="I8" i="3"/>
  <c r="I9" i="3"/>
  <c r="I7" i="3"/>
  <c r="I5" i="3"/>
  <c r="I6" i="3"/>
  <c r="I4" i="3"/>
  <c r="H11" i="3"/>
  <c r="H10" i="3"/>
  <c r="H9" i="3"/>
  <c r="H8" i="3"/>
  <c r="H7" i="3"/>
  <c r="H6" i="3"/>
  <c r="H5" i="3"/>
  <c r="H4" i="3"/>
</calcChain>
</file>

<file path=xl/sharedStrings.xml><?xml version="1.0" encoding="utf-8"?>
<sst xmlns="http://schemas.openxmlformats.org/spreadsheetml/2006/main" count="719" uniqueCount="383">
  <si>
    <t>Applying gate R1</t>
  </si>
  <si>
    <t>SUMMARY TABLE:</t>
  </si>
  <si>
    <t>Sample                        Gated  APC-A-mean  APC-A-frac</t>
  </si>
  <si>
    <t xml:space="preserve">SC701 </t>
  </si>
  <si>
    <t>medium</t>
  </si>
  <si>
    <t>100 nM</t>
  </si>
  <si>
    <t>SC842</t>
  </si>
  <si>
    <t>SC843</t>
  </si>
  <si>
    <t>SC845</t>
  </si>
  <si>
    <t>Background</t>
  </si>
  <si>
    <t>APC</t>
  </si>
  <si>
    <t>Background Substracted</t>
  </si>
  <si>
    <t>% FPR1 on Surface</t>
  </si>
  <si>
    <t>100nM_fMLF_SC701.fcs           0.77      1416.1        0.53</t>
  </si>
  <si>
    <t>100nM_fMLF_SC823.fcs           0.84      1405.1        0.49</t>
  </si>
  <si>
    <t>100nM_fMLF_SC842-SC844.fcs     0.83      5264.5        0.89</t>
  </si>
  <si>
    <t>100nM_fMLF_SC842.fcs           0.84      2309.1        0.69</t>
  </si>
  <si>
    <t>100nM_fMLF_SC844.fcs           0.86      2620.1        0.73</t>
  </si>
  <si>
    <t>100nM_fMLF_SC845-SC842.fcs     0.83      5941.2        0.91</t>
  </si>
  <si>
    <t>100nM_fMLF_SC845-SC843.fcs     0.82      5673.5        0.91</t>
  </si>
  <si>
    <t>1uM_fMLF_SC701.fcs             0.77       785.0        0.25</t>
  </si>
  <si>
    <t>1uM_fMLF_SC823.fcs             0.87       890.0        0.26</t>
  </si>
  <si>
    <t>1uM_fMLF_SC842-SC844.fcs       0.85      4660.5        0.86</t>
  </si>
  <si>
    <t>1uM_fMLF_SC842.fcs             0.86      1870.4        0.58</t>
  </si>
  <si>
    <t>1uM_fMLF_SC844.fcs             0.85      1871.1        0.56</t>
  </si>
  <si>
    <t>1uM_fMLF_SC845-SC842.fcs       0.87      5160.4        0.89</t>
  </si>
  <si>
    <t>1uM_fMLF_SC845-SC843.fcs       0.84      4751.5        0.86</t>
  </si>
  <si>
    <t>medium_SC701.fcs               0.72     10862.2        0.96</t>
  </si>
  <si>
    <t>medium_SC823.fcs               0.81      8917.8        0.94</t>
  </si>
  <si>
    <t>medium_SC842-SC844.fcs         0.84      9043.2        0.95</t>
  </si>
  <si>
    <t>medium_SC842.fcs               0.81      9504.3        0.97</t>
  </si>
  <si>
    <t>medium_SC844.fcs               0.84      8510.3        0.97</t>
  </si>
  <si>
    <t>medium_SC845-SC842.fcs         0.81      9442.6        0.96</t>
  </si>
  <si>
    <t>medium_SC845-SC843.fcs         0.84      9457.9        0.96</t>
  </si>
  <si>
    <t>unst_SC701.fcs                 0.74       118.1        0.00</t>
  </si>
  <si>
    <t>unst_SC823.fcs                 0.80        90.8        0.00</t>
  </si>
  <si>
    <t>unst_SC842-SC844.fcs           0.82       108.4        0.00</t>
  </si>
  <si>
    <t>unst_SC842.fcs                 0.79        97.9        0.00</t>
  </si>
  <si>
    <t>unst_SC844.fcs                 0.82        97.8        0.00</t>
  </si>
  <si>
    <t>unst_SC845-SC842.fcs           0.83       121.5        0.00</t>
  </si>
  <si>
    <t>unst_SC845-SC843.fcs           0.84       121.3        0.00</t>
  </si>
  <si>
    <t>EA20230831_barrDKOs_CRISPR_APCantiFPR1</t>
  </si>
  <si>
    <t>1 uM</t>
  </si>
  <si>
    <t>SC823</t>
  </si>
  <si>
    <t>SC844</t>
  </si>
  <si>
    <t>SC842+SC844</t>
  </si>
  <si>
    <t>SC845+SC842</t>
  </si>
  <si>
    <t>SC845+SC843</t>
  </si>
  <si>
    <t>100nM_fMLF_SC823.fcs           0.79       830.6        0.28</t>
  </si>
  <si>
    <t>100nM_fMLF_SC842-SC844.fcs     0.83      5041.6        0.89</t>
  </si>
  <si>
    <t>100nM_fMLF_SC842.fcs           0.81      2025.9        0.59</t>
  </si>
  <si>
    <t>100nM_fMLF_SC843.fcs           0.82      2177.5        0.62</t>
  </si>
  <si>
    <t>100nM_fMLF_SC844.fcs           0.79      3328.0        0.79</t>
  </si>
  <si>
    <t>100nM_fMLF_SC845-.fcs          0.81      1880.8        0.60</t>
  </si>
  <si>
    <t>100nM_fMLF_SC845-SC842.fcs     0.80      4242.5        0.88</t>
  </si>
  <si>
    <t>100nM_fMLF_SC845-SC843.fcs     0.82      4736.4        0.91</t>
  </si>
  <si>
    <t>1uM_fMLF_SC823.fcs             0.81       596.8        0.18</t>
  </si>
  <si>
    <t>1uM_fMLF_SC842-SC844.fcs       0.87      4683.6        0.88</t>
  </si>
  <si>
    <t>1uM_fMLF_SC842.fcs             0.84      1724.4        0.50</t>
  </si>
  <si>
    <t>1uM_fMLF_SC843.fcs             0.85      1903.4        0.54</t>
  </si>
  <si>
    <t>1uM_fMLF_SC844.fcs             0.84      2950.8        0.74</t>
  </si>
  <si>
    <t>1uM_fMLF_SC845-SC842.fcs       0.82      4052.3        0.86</t>
  </si>
  <si>
    <t>1uM_fMLF_SC845-SC843.fcs       0.81      4076.9        0.89</t>
  </si>
  <si>
    <t>1uM_fMLF_SC845.fcs             0.87      1601.7        0.52</t>
  </si>
  <si>
    <t>WT_APC.fcs                     0.46       129.8        0.01</t>
  </si>
  <si>
    <t>WT_unst.fcs                    0.60        71.5        0.01</t>
  </si>
  <si>
    <t>medium_SC823.fcs               0.78      7226.1        0.93</t>
  </si>
  <si>
    <t>medium_SC842-SC844.fcs         0.82      9332.4        0.96</t>
  </si>
  <si>
    <t>medium_SC842.fcs               0.82      8167.5        0.95</t>
  </si>
  <si>
    <t>medium_SC843.fcs               0.85      9197.0        0.96</t>
  </si>
  <si>
    <t>medium_SC844.fcs               0.84      8129.8        0.95</t>
  </si>
  <si>
    <t>medium_SC845-SC842.fcs         0.76      9156.2        0.97</t>
  </si>
  <si>
    <t>medium_SC845-SC843.fcs         0.77      8756.5        0.96</t>
  </si>
  <si>
    <t>medium_SC845.fcs               0.84      7025.3        0.96</t>
  </si>
  <si>
    <t>unst_SC823.fcs                 0.79       103.8        0.00</t>
  </si>
  <si>
    <t>unst_SC842-SC844.fcs           0.80       112.2        0.00</t>
  </si>
  <si>
    <t>unst_SC842.fcs                 0.79       119.8        0.00</t>
  </si>
  <si>
    <t>unst_SC843.fcs                 0.77       119.2        0.00</t>
  </si>
  <si>
    <t>unst_SC844.fcs                 0.72        91.6        0.00</t>
  </si>
  <si>
    <t>unst_SC845-SC842.fcs           0.75       130.5        0.00</t>
  </si>
  <si>
    <t>unst_SC845-SC843.fcs           0.74       133.2        0.00</t>
  </si>
  <si>
    <t>unst_SC845.fcs                 0.78       108.1        0.00</t>
  </si>
  <si>
    <t>EA20230903_barrDKOs_CRISPR_APCantiFPR1</t>
  </si>
  <si>
    <t>100nM_fMLF_SC701.fcs           0.86      1623.9        0.68</t>
  </si>
  <si>
    <t>100nM_fMLF_SC823.fcs           0.85      1702.2        0.58</t>
  </si>
  <si>
    <t>100nM_fMLF_SC842-SC844.fcs     0.83      5566.1        0.94</t>
  </si>
  <si>
    <t>100nM_fMLF_SC842.fcs           0.84      2839.5        0.77</t>
  </si>
  <si>
    <t>100nM_fMLF_SC843.fcs           0.88      2565.9        0.77</t>
  </si>
  <si>
    <t>100nM_fMLF_SC844.fcs           0.85      2436.8        0.76</t>
  </si>
  <si>
    <t>100nM_fMLF_SC845-SC842.fcs     0.83      5586.4        0.94</t>
  </si>
  <si>
    <t>100nM_fMLF_SC845-SC843.fcs     0.80      5104.1        0.91</t>
  </si>
  <si>
    <t>100nM_fMLF_SC845.fcs           0.85      2066.4        0.74</t>
  </si>
  <si>
    <t>1uM_fMLF_SC701.fcs             0.86       638.5        0.19</t>
  </si>
  <si>
    <t>1uM_fMLF_SC823.fcs             0.87       818.6        0.26</t>
  </si>
  <si>
    <t>1uM_fMLF_SC842-SC844.fcs       0.86      4661.3        0.92</t>
  </si>
  <si>
    <t>1uM_fMLF_SC842.fcs             0.85      2166.1        0.60</t>
  </si>
  <si>
    <t>1uM_fMLF_SC843.fcs             0.88      1891.9        0.59</t>
  </si>
  <si>
    <t>1uM_fMLF_SC844.fcs             0.89      1550.5        0.51</t>
  </si>
  <si>
    <t>1uM_fMLF_SC845-SC842.fcs       0.86      4829.7        0.90</t>
  </si>
  <si>
    <t>1uM_fMLF_SC845-SC843.fcs       0.82      4339.5        0.87</t>
  </si>
  <si>
    <t>1uM_fMLF_SC845.fcs             0.90      1405.5        0.53</t>
  </si>
  <si>
    <t>WT_APC.fcs                     0.73        99.8        0.02</t>
  </si>
  <si>
    <t>WT_unst.fcs                    0.80        97.3        0.02</t>
  </si>
  <si>
    <t>medium_SC701.fcs               0.83      8902.8        0.97</t>
  </si>
  <si>
    <t>medium_SC823.fcs               0.82      7360.8        0.94</t>
  </si>
  <si>
    <t>medium_SC842-SC844.fcs         0.83      9345.3        0.97</t>
  </si>
  <si>
    <t>medium_SC842.fcs               0.81      9330.9        0.97</t>
  </si>
  <si>
    <t>medium_SC843.fcs               0.86      8474.8        0.96</t>
  </si>
  <si>
    <t>medium_SC844.fcs               0.84      7168.4        0.95</t>
  </si>
  <si>
    <t>medium_SC845-SC842.fcs         0.83     10338.7        0.97</t>
  </si>
  <si>
    <t>medium_SC845-SC843.fcs         0.80      8434.4        0.95</t>
  </si>
  <si>
    <t>medium_SC845.fcs               0.84      5387.9        0.96</t>
  </si>
  <si>
    <t>unst_SC701.fcs                 0.85       136.5        0.00</t>
  </si>
  <si>
    <t>unst_SC823.fcs                 0.83       106.8        0.00</t>
  </si>
  <si>
    <t>unst_SC842-SC844.fcs           0.84       132.1        0.00</t>
  </si>
  <si>
    <t>unst_SC842.fcs                 0.83       129.6        0.00</t>
  </si>
  <si>
    <t>unst_SC843.fcs                 0.85       121.4        0.00</t>
  </si>
  <si>
    <t>unst_SC844.fcs                 0.87       104.2        0.00</t>
  </si>
  <si>
    <t>unst_SC845-SC842.fcs           0.84       142.2        0.00</t>
  </si>
  <si>
    <t>unst_SC845-SC843.fcs           0.84       122.1        0.00</t>
  </si>
  <si>
    <t>unst_SC845.fcs                 0.84        91.8        0.00</t>
  </si>
  <si>
    <t>100nM_fMLF_SC701.fcs           0.78      2742.6        0.87</t>
  </si>
  <si>
    <t>100nM_fMLF_SC823.fcs           0.84      2517.6        0.75</t>
  </si>
  <si>
    <t>100nM_fMLF_SC842-SC844.fcs     0.89      6416.2        0.94</t>
  </si>
  <si>
    <t>100nM_fMLF_SC842.fcs           0.85      3850.8        0.87</t>
  </si>
  <si>
    <t>100nM_fMLF_SC843.fcs           0.83      4289.1        0.86</t>
  </si>
  <si>
    <t>100nM_fMLF_SC844.fcs           0.87      3365.5        0.85</t>
  </si>
  <si>
    <t>100nM_fMLF_SC845-SC842.fcs     0.87      7541.0        0.96</t>
  </si>
  <si>
    <t>100nM_fMLF_SC845-SC843.fcs     0.87      8488.7        0.97</t>
  </si>
  <si>
    <t>100nM_fMLF_SC845.fcs           0.90      3052.0        0.82</t>
  </si>
  <si>
    <t>1uM_fMLF_SC701.fcs             0.81      1074.0        0.41</t>
  </si>
  <si>
    <t>1uM_fMLF_SC823.fcs             0.83      1306.9        0.41</t>
  </si>
  <si>
    <t>1uM_fMLF_SC842-SC844.fcs       0.90      6016.7        0.90</t>
  </si>
  <si>
    <t>1uM_fMLF_SC842.fcs             0.84      2776.9        0.65</t>
  </si>
  <si>
    <t>1uM_fMLF_SC843.fcs             0.83      3516.5        0.71</t>
  </si>
  <si>
    <t>1uM_fMLF_SC844.fcs             0.88      2384.1        0.62</t>
  </si>
  <si>
    <t>1uM_fMLF_SC845-SC842.fcs       0.88      7212.3        0.93</t>
  </si>
  <si>
    <t>1uM_fMLF_SC845-SC843.fcs       0.88      7211.5        0.95</t>
  </si>
  <si>
    <t>1uM_fMLF_SC845.fcs             0.91      2284.4        0.61</t>
  </si>
  <si>
    <t>WT_APC.fcs                     0.51       137.5        0.03</t>
  </si>
  <si>
    <t>WT_unst.fcs                    0.54       120.5        0.02</t>
  </si>
  <si>
    <t>medium_SC701.fcs               0.76     13314.8        0.99</t>
  </si>
  <si>
    <t>medium_SC823.fcs               0.83     10597.8        0.96</t>
  </si>
  <si>
    <t>medium_SC842-SC844.fcs         0.87     11802.3        0.96</t>
  </si>
  <si>
    <t>medium_SC842.fcs               0.83     12608.4        0.98</t>
  </si>
  <si>
    <t>medium_SC843.fcs               0.83     13714.9        0.98</t>
  </si>
  <si>
    <t>medium_SC844.fcs               0.86      8627.6        0.96</t>
  </si>
  <si>
    <t>medium_SC845-SC842.fcs         0.86     14931.2        0.98</t>
  </si>
  <si>
    <t>medium_SC845-SC843.fcs         0.86     13351.1        0.98</t>
  </si>
  <si>
    <t>medium_SC845.fcs               0.87      7635.1        0.96</t>
  </si>
  <si>
    <t>unst_SC701.fcs                 0.79       154.7        0.00</t>
  </si>
  <si>
    <t>unst_SC823.fcs                 0.81       109.4        0.00</t>
  </si>
  <si>
    <t>unst_SC842-SC844.fcs           0.84       128.9        0.00</t>
  </si>
  <si>
    <t>unst_SC842.fcs                 0.81       129.9        0.00</t>
  </si>
  <si>
    <t>unst_SC843.fcs                 0.83       134.2        0.00</t>
  </si>
  <si>
    <t>unst_SC844.fcs                 0.79       118.9        0.00</t>
  </si>
  <si>
    <t>unst_SC845-SC842.fcs           0.85       150.4        0.00</t>
  </si>
  <si>
    <t>unst_SC845-SC843.fcs           0.82       147.0        0.00</t>
  </si>
  <si>
    <t>unst_SC845.fcs                 0.86        97.5        0.00</t>
  </si>
  <si>
    <t>EA20230908_barrDKOs_CRISPR_APCantiFPR1</t>
  </si>
  <si>
    <t>EA20230909_barrDKOs_CRISPR_APCantiFPR1</t>
  </si>
  <si>
    <t>100nM_fMLF_SC701.fcs           0.80      2513.2        0.84</t>
  </si>
  <si>
    <t>100nM_fMLF_SC823.fcs           0.86      2172.2        0.71</t>
  </si>
  <si>
    <t>100nM_fMLF_SC842-SC844.fcs     0.87      6815.8        0.92</t>
  </si>
  <si>
    <t>100nM_fMLF_SC842.fcs           0.87      3387.5        0.85</t>
  </si>
  <si>
    <t>100nM_fMLF_SC843.fcs           0.86      2923.6        0.81</t>
  </si>
  <si>
    <t>100nM_fMLF_SC844.fcs           0.86      2849.0        0.81</t>
  </si>
  <si>
    <t>100nM_fMLF_SC845-SC842.fcs     0.87      6856.1        0.94</t>
  </si>
  <si>
    <t>100nM_fMLF_SC845-SC843.fcs     0.86      7012.6        0.95</t>
  </si>
  <si>
    <t>100nM_fMLF_SC845.fcs           0.84      2523.8        0.80</t>
  </si>
  <si>
    <t>1uM_fMLF_SC701.fcs             0.80       915.8        0.33</t>
  </si>
  <si>
    <t>1uM_fMLF_SC823.fcs             0.83       902.6        0.28</t>
  </si>
  <si>
    <t>1uM_fMLF_SC842-SC844.fcs       0.85      5113.0        0.87</t>
  </si>
  <si>
    <t>1uM_fMLF_SC842.fcs             0.86      1865.8        0.52</t>
  </si>
  <si>
    <t>1uM_fMLF_SC843.fcs             0.84      1739.8        0.49</t>
  </si>
  <si>
    <t>1uM_fMLF_SC844.fcs             0.86      1590.6        0.47</t>
  </si>
  <si>
    <t>1uM_fMLF_SC845-SC842.fcs       0.85      5101.9        0.88</t>
  </si>
  <si>
    <t>1uM_fMLF_SC845-SC843.fcs       0.82      5475.6        0.91</t>
  </si>
  <si>
    <t>1uM_fMLF_SC845.fcs             0.82      1593.3        0.50</t>
  </si>
  <si>
    <t>WT_APC.fcs                     0.62        89.6        0.01</t>
  </si>
  <si>
    <t>WT_unst.fcs                    0.64        78.4        0.01</t>
  </si>
  <si>
    <t>medium_SC701.fcs               0.80     12439.8        0.98</t>
  </si>
  <si>
    <t>medium_SC823.fcs               0.83      8686.3        0.93</t>
  </si>
  <si>
    <t>medium_SC842-SC844.fcs         0.86      9890.1        0.95</t>
  </si>
  <si>
    <t>medium_SC842.fcs               0.84     10203.9        0.97</t>
  </si>
  <si>
    <t>medium_SC843.fcs               0.81      9198.0        0.96</t>
  </si>
  <si>
    <t>medium_SC844.fcs               0.81      7735.1        0.94</t>
  </si>
  <si>
    <t>medium_SC845-SC842.fcs         0.84     10866.4        0.96</t>
  </si>
  <si>
    <t>medium_SC845-SC843.fcs         0.84     11263.5        0.96</t>
  </si>
  <si>
    <t>medium_SC845.fcs               0.79      5675.8        0.96</t>
  </si>
  <si>
    <t>unst_SC701.fcs                 0.81       159.2        0.00</t>
  </si>
  <si>
    <t>unst_SC823.fcs                 0.80       119.5        0.00</t>
  </si>
  <si>
    <t>unst_SC842-SC844.fcs           0.86       134.1        0.00</t>
  </si>
  <si>
    <t>unst_SC842.fcs                 0.84       151.5        0.00</t>
  </si>
  <si>
    <t>unst_SC843.fcs                 0.82       136.8        0.00</t>
  </si>
  <si>
    <t>unst_SC844.fcs                 0.82       119.5        0.00</t>
  </si>
  <si>
    <t>unst_SC845-SC842.fcs           0.85       152.2        0.00</t>
  </si>
  <si>
    <t>unst_SC845-SC843.fcs           0.85       146.2        0.00</t>
  </si>
  <si>
    <t>unst_SC845.fcs                 0.77        93.9        0.00</t>
  </si>
  <si>
    <t>ST sgRNA</t>
  </si>
  <si>
    <t>ARRB1-g1</t>
  </si>
  <si>
    <t>ARRB1-g2</t>
  </si>
  <si>
    <t>ARRB2-g1</t>
  </si>
  <si>
    <t>ARRB2-g2</t>
  </si>
  <si>
    <t>DKO 1</t>
  </si>
  <si>
    <t>DKO 2</t>
  </si>
  <si>
    <t>DKO 3</t>
  </si>
  <si>
    <t>100nM_fMLF_SC701.fcs           0.83      1127.0        0.51</t>
  </si>
  <si>
    <t>100nM_fMLF_SC823.fcs           0.89      1128.3        0.45</t>
  </si>
  <si>
    <t>100nM_fMLF_SC842-SC844.fcs     0.84      5087.8        0.90</t>
  </si>
  <si>
    <t>100nM_fMLF_SC842.fcs           0.86      1832.6        0.60</t>
  </si>
  <si>
    <t>100nM_fMLF_SC843.fcs           0.87      1793.2        0.59</t>
  </si>
  <si>
    <t>100nM_fMLF_SC844.fcs           0.89      1651.1        0.61</t>
  </si>
  <si>
    <t>100nM_fMLF_SC845-SC842.fcs     0.83      5755.5        0.93</t>
  </si>
  <si>
    <t>100nM_fMLF_SC845-SC843.fcs     0.80      6054.8        0.94</t>
  </si>
  <si>
    <t>100nM_fMLF_SC845.fcs           0.92      1497.7        0.56</t>
  </si>
  <si>
    <t>1uM_fMLF_SC701.fcs             0.85       486.4        0.10</t>
  </si>
  <si>
    <t>1uM_fMLF_SC823.fcs             0.89       492.5        0.12</t>
  </si>
  <si>
    <t>1uM_fMLF_SC842-SC844.fcs       0.82      4215.9        0.85</t>
  </si>
  <si>
    <t>1uM_fMLF_SC842.fcs             0.86      1078.4        0.32</t>
  </si>
  <si>
    <t>1uM_fMLF_SC843.fcs             0.87      1261.7        0.37</t>
  </si>
  <si>
    <t>1uM_fMLF_SC844.fcs             0.88       856.1        0.26</t>
  </si>
  <si>
    <t>1uM_fMLF_SC845-SC842.fcs       0.82      4745.0        0.87</t>
  </si>
  <si>
    <t>1uM_fMLF_SC845-SC843.fcs       0.82      4884.2        0.91</t>
  </si>
  <si>
    <t>1uM_fMLF_SC845.fcs             0.89       912.2        0.31</t>
  </si>
  <si>
    <t>WT_APC.fcs                     0.67       101.6        0.01</t>
  </si>
  <si>
    <t>WT_unst.fcs                    0.70        74.3        0.01</t>
  </si>
  <si>
    <t>antiHA_SC823-100nM.fcs         0.85      1723.6        0.72</t>
  </si>
  <si>
    <t>antiHA_SC823-1uM.fcs           0.88       599.8        0.20</t>
  </si>
  <si>
    <t>antiHA_SC823.fcs               0.74      3789.8        0.92</t>
  </si>
  <si>
    <t>antiHA_SC842-SC844-1uM.fcs     0.80      3508.1        0.87</t>
  </si>
  <si>
    <t>antiHA_SC842-SC844.fcs         0.80      5312.3        0.96</t>
  </si>
  <si>
    <t>antiHA_SC844-100nM.fcs         0.89      1956.9        0.79</t>
  </si>
  <si>
    <t>antiHA_SC844-1uM.fcs           0.89       885.4        0.35</t>
  </si>
  <si>
    <t>antiHA_SC844.fcs               0.81      3529.9        0.90</t>
  </si>
  <si>
    <t>medium_SC701.fcs               0.78      9848.1        0.98</t>
  </si>
  <si>
    <t>medium_SC823.fcs               0.81      8191.0        0.95</t>
  </si>
  <si>
    <t>medium_SC842-SC844.fcs         0.84     10672.4        0.96</t>
  </si>
  <si>
    <t>medium_SC842.fcs               0.80      9677.4        0.97</t>
  </si>
  <si>
    <t>medium_SC843.fcs               0.83      8615.9        0.96</t>
  </si>
  <si>
    <t>medium_SC844.fcs               0.82      7807.3        0.96</t>
  </si>
  <si>
    <t>medium_SC845-SC842.fcs         0.80     11341.3        0.97</t>
  </si>
  <si>
    <t>medium_SC845-SC843.fcs         0.78     10592.8        0.97</t>
  </si>
  <si>
    <t>medium_SC845.fcs               0.82      6594.1        0.96</t>
  </si>
  <si>
    <t>unst_SC701.fcs                 0.79       139.3        0.00</t>
  </si>
  <si>
    <t>unst_SC823.fcs                 0.83       118.1        0.00</t>
  </si>
  <si>
    <t>unst_SC842-SC844.fcs           0.80       128.8        0.00</t>
  </si>
  <si>
    <t>unst_SC842.fcs                 0.81       146.3        0.00</t>
  </si>
  <si>
    <t>unst_SC843.fcs                 0.82       137.7        0.00</t>
  </si>
  <si>
    <t>unst_SC844.fcs                 0.79       119.9        0.00</t>
  </si>
  <si>
    <t>unst_SC845-SC842.fcs           0.81       151.4        0.00</t>
  </si>
  <si>
    <t>unst_SC845-SC843.fcs           0.80       147.7        0.00</t>
  </si>
  <si>
    <t>unst_SC845.fcs                 0.81        99.3        0.00</t>
  </si>
  <si>
    <t>EA20230915_barrDKOs_CRISPR_APCantiFPR1</t>
  </si>
  <si>
    <t>EA20230913_barrDKOs_CRISPR_APCantiFPR1</t>
  </si>
  <si>
    <t>100nM_fMLF_SC701.fcs           0.81      2621.3        0.86</t>
  </si>
  <si>
    <t>100nM_fMLF_SC823.fcs           0.90      2525.4        0.79</t>
  </si>
  <si>
    <t>100nM_fMLF_SC842-SC844.fcs     0.85      7314.3        0.95</t>
  </si>
  <si>
    <t>100nM_fMLF_SC842.fcs           0.85      3749.3        0.89</t>
  </si>
  <si>
    <t>100nM_fMLF_SC843.fcs           0.86      3751.6        0.88</t>
  </si>
  <si>
    <t>100nM_fMLF_SC844.fcs           0.86      3238.1        0.87</t>
  </si>
  <si>
    <t>100nM_fMLF_SC845-SC842.fcs     0.84      7551.2        0.96</t>
  </si>
  <si>
    <t>100nM_fMLF_SC845-SC843.fcs     0.84      8400.7        0.97</t>
  </si>
  <si>
    <t>100nM_fMLF_SC845.fcs           0.88      2735.9        0.80</t>
  </si>
  <si>
    <t>1uM_fMLF_SC701.fcs             0.81       901.6        0.33</t>
  </si>
  <si>
    <t>1uM_fMLF_SC823.fcs             0.88       835.3        0.27</t>
  </si>
  <si>
    <t>1uM_fMLF_SC842-SC844.fcs       0.86      5940.7        0.90</t>
  </si>
  <si>
    <t>1uM_fMLF_SC842.fcs             0.86      2037.1        0.52</t>
  </si>
  <si>
    <t>1uM_fMLF_SC843.fcs             0.85      2244.3        0.57</t>
  </si>
  <si>
    <t>1uM_fMLF_SC844.fcs             0.87      1642.6        0.48</t>
  </si>
  <si>
    <t>1uM_fMLF_SC845-SC842.fcs       0.85      6312.2        0.91</t>
  </si>
  <si>
    <t>1uM_fMLF_SC845-SC843.fcs       0.83      7109.5        0.95</t>
  </si>
  <si>
    <t>1uM_fMLF_SC845.fcs             0.86      1647.0        0.47</t>
  </si>
  <si>
    <t>WT_APC.fcs                     0.65        92.9        0.01</t>
  </si>
  <si>
    <t>WT_unst.fcs                    0.67        83.3        0.01</t>
  </si>
  <si>
    <t>antiHA_SC823-1uM.fcs           0.87       164.4        0.00</t>
  </si>
  <si>
    <t>antiHA_SC823.fcs               0.83       163.3        0.00</t>
  </si>
  <si>
    <t>antiHA_SC844-1uM.fcs           0.86       166.3        0.00</t>
  </si>
  <si>
    <t>antiHA_SC844-SC842-1uM.fcs     0.85       179.0        0.00</t>
  </si>
  <si>
    <t>antiHA_SC844-SC842.fcs         0.87       185.1        0.00</t>
  </si>
  <si>
    <t>antiHA_SC844.fcs               0.84       163.9        0.00</t>
  </si>
  <si>
    <t>medium_SC701.fcs               0.80     14579.3        0.99</t>
  </si>
  <si>
    <t>medium_SC823.fcs               0.88     11200.5        0.96</t>
  </si>
  <si>
    <t>medium_SC842-SC844.fcs         0.86     13474.3        0.97</t>
  </si>
  <si>
    <t>medium_SC842.fcs               0.85     13441.9        0.98</t>
  </si>
  <si>
    <t>medium_SC843.fcs               0.87     12740.7        0.97</t>
  </si>
  <si>
    <t>medium_SC844.fcs               0.85     11543.1        0.96</t>
  </si>
  <si>
    <t>medium_SC845-SC842.fcs         0.85     13922.9        0.98</t>
  </si>
  <si>
    <t>medium_SC845-SC843.fcs         0.84     14172.3        0.98</t>
  </si>
  <si>
    <t>medium_SC845.fcs               0.85      8571.5        0.96</t>
  </si>
  <si>
    <t>unst_SC701.fcs                 0.83       200.3        0.00</t>
  </si>
  <si>
    <t>unst_SC823.fcs                 0.86       136.7        0.00</t>
  </si>
  <si>
    <t>unst_SC842-SC844.fcs           0.84       176.1        0.00</t>
  </si>
  <si>
    <t>unst_SC842.fcs                 0.82       179.9        0.00</t>
  </si>
  <si>
    <t>unst_SC843.fcs                 0.85       167.3        0.00</t>
  </si>
  <si>
    <t>unst_SC844.fcs                 0.85       156.0        0.00</t>
  </si>
  <si>
    <t>unst_SC845-SC842.fcs           0.84       186.7        0.00</t>
  </si>
  <si>
    <t>unst_SC845-SC843.fcs           0.85       190.3        0.00</t>
  </si>
  <si>
    <t>unst_SC845.fcs                 0.85       120.2        0.00</t>
  </si>
  <si>
    <t>Sample                        Gated FITC-A-mean FITC-A-frac</t>
  </si>
  <si>
    <t>AF488-fMLF-50nM_SC823.fcs      0.84      2491.5        0.92</t>
  </si>
  <si>
    <t>AF488-fMLF-50nM_SC842-SC844.fcs 0.78      1821.1        0.79</t>
  </si>
  <si>
    <t>AF488-fMLF-50nM_SC842.fcs      0.80      2233.2        0.92</t>
  </si>
  <si>
    <t>AF488-fMLF-50nM_SC844.fcs      0.80      2533.4        0.96</t>
  </si>
  <si>
    <t>AF488-fMLF-50nM_SC845-SC842.fcs 0.83      1788.8        0.79</t>
  </si>
  <si>
    <t>AF488-fMLF-50nM_SC845-SC843.fcs 0.79      1618.1        0.76</t>
  </si>
  <si>
    <t>AF488-fMLF-50nM_UD-WT.fcs      0.63        63.1        0.00</t>
  </si>
  <si>
    <t>WT_unst.fcs                    0.67        57.0        0.00</t>
  </si>
  <si>
    <t>unst_SC701.fcs                 0.83       176.4        0.00</t>
  </si>
  <si>
    <t>unst_SC823.fcs                 0.86       150.7        0.00</t>
  </si>
  <si>
    <t>unst_SC842-SC844.fcs           0.84       184.6        0.00</t>
  </si>
  <si>
    <t>unst_SC842.fcs                 0.82       183.6        0.00</t>
  </si>
  <si>
    <t>unst_SC843.fcs                 0.85       179.0        0.00</t>
  </si>
  <si>
    <t>unst_SC844.fcs                 0.85       161.8        0.00</t>
  </si>
  <si>
    <t>unst_SC845-SC842.fcs           0.84       189.2        0.00</t>
  </si>
  <si>
    <t>unst_SC845-SC843.fcs           0.85       183.6        0.00</t>
  </si>
  <si>
    <t>unst_SC845.fcs                 0.85       135.9        0.00</t>
  </si>
  <si>
    <t>Applying gate R1 FITC</t>
  </si>
  <si>
    <t>Sample                        Gated   PE-A-mean   PE-A-frac</t>
  </si>
  <si>
    <t>antiHA_SC823-1uM.fcs           0.87      1129.0        0.58</t>
  </si>
  <si>
    <t>antiHA_SC823.fcs               0.83      4034.6        0.96</t>
  </si>
  <si>
    <t>antiHA_SC844-1uM.fcs           0.86      1360.9        0.73</t>
  </si>
  <si>
    <t>antiHA_SC844-SC842-1uM.fcs     0.85      2580.2        0.91</t>
  </si>
  <si>
    <t>antiHA_SC844-SC842.fcs         0.87      4603.5        0.97</t>
  </si>
  <si>
    <t>antiHA_SC844.fcs               0.84      4477.2        0.97</t>
  </si>
  <si>
    <t>unst_SC701.fcs                 0.83       266.0        0.00</t>
  </si>
  <si>
    <t>unst_SC823.fcs                 0.86       211.0        0.00</t>
  </si>
  <si>
    <t>unst_SC842-SC844.fcs           0.84       255.1        0.00</t>
  </si>
  <si>
    <t>unst_SC842.fcs                 0.82       258.8        0.00</t>
  </si>
  <si>
    <t>unst_SC843.fcs                 0.85       248.7        0.00</t>
  </si>
  <si>
    <t>unst_SC844.fcs                 0.85       227.5        0.00</t>
  </si>
  <si>
    <t>unst_SC845-SC842.fcs           0.84       264.1        0.00</t>
  </si>
  <si>
    <t>unst_SC845-SC843.fcs           0.85       269.1        0.00</t>
  </si>
  <si>
    <t>unst_SC845.fcs                 0.85       190.2        0.00</t>
  </si>
  <si>
    <t>Applying gate R1  PE</t>
  </si>
  <si>
    <t>100nM_fMLF_SC701.fcs           0.83      5305.5        0.97</t>
  </si>
  <si>
    <t>100nM_fMLF_SC823.fcs           0.84      4747.0        0.92</t>
  </si>
  <si>
    <t>100nM_fMLF_SC842-SC844.fcs     0.79     12678.9        0.97</t>
  </si>
  <si>
    <t>100nM_fMLF_SC842.fcs           0.82      5694.6        0.95</t>
  </si>
  <si>
    <t>100nM_fMLF_SC843.fcs           0.82      6661.0        0.95</t>
  </si>
  <si>
    <t>100nM_fMLF_SC844.fcs           0.82      5885.1        0.94</t>
  </si>
  <si>
    <t>100nM_fMLF_SC845-SC842.fcs     0.83     10536.2        0.98</t>
  </si>
  <si>
    <t>100nM_fMLF_SC845-SC843.fcs     0.81     13172.3        0.99</t>
  </si>
  <si>
    <t>100nM_fMLF_SC845.fcs           0.86      4526.1        0.91</t>
  </si>
  <si>
    <t>1uM_fMLF_SC701.fcs             0.81      1749.5        0.64</t>
  </si>
  <si>
    <t>1uM_fMLF_SC823.fcs             0.84      1553.0        0.53</t>
  </si>
  <si>
    <t>1uM_fMLF_SC842-SC844.fcs       0.80     10524.2        0.95</t>
  </si>
  <si>
    <t>1uM_fMLF_SC842.fcs             0.83      3546.3        0.71</t>
  </si>
  <si>
    <t>1uM_fMLF_SC843.fcs             0.82      4065.4        0.72</t>
  </si>
  <si>
    <t>1uM_fMLF_SC844.fcs             0.83      3129.2        0.68</t>
  </si>
  <si>
    <t>1uM_fMLF_SC845-SC842.fcs       0.84      9214.1        0.95</t>
  </si>
  <si>
    <t>1uM_fMLF_SC845-SC843.fcs       0.80      9710.7        0.97</t>
  </si>
  <si>
    <t>1uM_fMLF_SC845.fcs             0.86      2384.0        0.58</t>
  </si>
  <si>
    <t>WT_APC.fcs                     0.53       184.8        0.02</t>
  </si>
  <si>
    <t>WT_ust.fcs                     0.53       100.8        0.01</t>
  </si>
  <si>
    <t>medium_SC701.fcs               0.75     27174.5        1.00</t>
  </si>
  <si>
    <t>medium_SC823.fcs               0.78     21790.7        0.98</t>
  </si>
  <si>
    <t>medium_SC842-SC844.fcs         0.78     24127.3        0.98</t>
  </si>
  <si>
    <t>medium_SC842.fcs               0.77     20621.3        0.99</t>
  </si>
  <si>
    <t>medium_SC843.fcs               0.80     14819.6        0.98</t>
  </si>
  <si>
    <t>medium_SC844.fcs               0.80     20947.4        0.98</t>
  </si>
  <si>
    <t>medium_SC845-SC842.fcs         0.80     22795.7        0.99</t>
  </si>
  <si>
    <t>medium_SC845-SC843.fcs         0.79     22598.3        0.99</t>
  </si>
  <si>
    <t>medium_SC845.fcs               0.83     12865.7        0.98</t>
  </si>
  <si>
    <t>unst_SC701.fcs                 0.75       153.0        0.00</t>
  </si>
  <si>
    <t>unst_SC823.fcs                 0.81       129.0        0.00</t>
  </si>
  <si>
    <t>unst_SC842-SC844.fcs           0.78       137.8        0.00</t>
  </si>
  <si>
    <t>unst_SC842.fcs                 0.75       142.8        0.00</t>
  </si>
  <si>
    <t>unst_SC843.fcs                 0.75       139.8        0.00</t>
  </si>
  <si>
    <t>unst_SC844.fcs                 0.78       129.8        0.00</t>
  </si>
  <si>
    <t>unst_SC845-SC842.fcs           0.78       139.5        0.00</t>
  </si>
  <si>
    <t>unst_SC845-SC843.fcs           0.78       143.5        0.00</t>
  </si>
  <si>
    <t>unst_SC845.fcs                 0.77        93.2        0.00</t>
  </si>
  <si>
    <t>EA20230922_barrDKOs_CRISPR_APCantiFPR1</t>
  </si>
  <si>
    <t>*new antibody lot</t>
  </si>
  <si>
    <t>SC701</t>
  </si>
  <si>
    <t>Cas9</t>
  </si>
  <si>
    <t>ST-sgRNA</t>
  </si>
  <si>
    <t xml:space="preserve">SC842 </t>
  </si>
  <si>
    <t>b-arrestin 1 sgRNA #1</t>
  </si>
  <si>
    <t>b-arrestin 1 sgRNA #2</t>
  </si>
  <si>
    <t>b-arrestin 2 sgRNA #1</t>
  </si>
  <si>
    <t>b-arrestin 2 sgRNA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</si>
</sst>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1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8325-72FA-4214-95FA-DDD25DFE93AA}">
  <dimension ref="A1:R34"/>
  <sheetViews>
    <sheetView workbookViewId="0">
      <selection activeCell="P12" sqref="P12"/>
    </sheetView>
  </sheetViews>
  <sheetFormatPr defaultRowHeight="15" x14ac:dyDescent="0.25"/>
  <cols>
    <col min="1" max="1" width="49.28515625" bestFit="1" customWidth="1"/>
    <col min="3" max="3" width="20" bestFit="1" customWidth="1"/>
    <col min="4" max="4" width="12.28515625" bestFit="1" customWidth="1"/>
    <col min="6" max="6" width="12" customWidth="1"/>
    <col min="8" max="8" width="11.42578125" customWidth="1"/>
    <col min="9" max="9" width="13.28515625" customWidth="1"/>
    <col min="12" max="12" width="6.5703125" bestFit="1" customWidth="1"/>
    <col min="13" max="13" width="10" customWidth="1"/>
  </cols>
  <sheetData>
    <row r="1" spans="1:18" x14ac:dyDescent="0.25">
      <c r="A1" t="s">
        <v>41</v>
      </c>
      <c r="B1" s="5"/>
      <c r="C1" s="5"/>
    </row>
    <row r="2" spans="1:18" x14ac:dyDescent="0.25">
      <c r="B2" s="11" t="s">
        <v>375</v>
      </c>
      <c r="C2" s="11" t="s">
        <v>376</v>
      </c>
    </row>
    <row r="3" spans="1:18" ht="31.5" customHeight="1" x14ac:dyDescent="0.25">
      <c r="A3" t="s">
        <v>0</v>
      </c>
      <c r="B3" s="11" t="s">
        <v>43</v>
      </c>
      <c r="C3" s="11" t="s">
        <v>377</v>
      </c>
      <c r="F3" s="1" t="s">
        <v>9</v>
      </c>
      <c r="G3" s="1" t="s">
        <v>10</v>
      </c>
      <c r="H3" s="1" t="s">
        <v>11</v>
      </c>
      <c r="I3" s="1" t="s">
        <v>12</v>
      </c>
    </row>
    <row r="4" spans="1:18" x14ac:dyDescent="0.25">
      <c r="B4" s="11" t="s">
        <v>378</v>
      </c>
      <c r="C4" s="11" t="s">
        <v>379</v>
      </c>
      <c r="D4" s="3" t="s">
        <v>3</v>
      </c>
      <c r="E4" t="s">
        <v>4</v>
      </c>
      <c r="F4" s="2">
        <v>118.1</v>
      </c>
      <c r="G4">
        <v>10862.2</v>
      </c>
      <c r="H4">
        <f>G4-F4</f>
        <v>10744.1</v>
      </c>
      <c r="I4">
        <f>(H4/10744.1)*100</f>
        <v>100</v>
      </c>
      <c r="N4" s="4"/>
      <c r="O4" s="4"/>
      <c r="P4" s="4"/>
      <c r="Q4" s="4"/>
      <c r="R4" s="4"/>
    </row>
    <row r="5" spans="1:18" x14ac:dyDescent="0.25">
      <c r="A5" t="s">
        <v>1</v>
      </c>
      <c r="B5" s="11" t="s">
        <v>7</v>
      </c>
      <c r="C5" s="11" t="s">
        <v>380</v>
      </c>
      <c r="D5" s="3"/>
      <c r="E5" t="s">
        <v>42</v>
      </c>
      <c r="F5" s="2">
        <v>118.1</v>
      </c>
      <c r="G5">
        <v>785</v>
      </c>
      <c r="H5">
        <f t="shared" ref="H5:H24" si="0">G5-F5</f>
        <v>666.9</v>
      </c>
      <c r="I5">
        <f>(H5/10744.1)*100</f>
        <v>6.2071276328403497</v>
      </c>
    </row>
    <row r="6" spans="1:18" x14ac:dyDescent="0.25">
      <c r="A6" t="s">
        <v>2</v>
      </c>
      <c r="B6" s="11" t="s">
        <v>44</v>
      </c>
      <c r="C6" s="11" t="s">
        <v>381</v>
      </c>
      <c r="D6" s="3"/>
      <c r="E6" t="s">
        <v>5</v>
      </c>
      <c r="F6" s="2">
        <v>118.1</v>
      </c>
      <c r="G6">
        <v>1416.1</v>
      </c>
      <c r="H6">
        <f t="shared" si="0"/>
        <v>1298</v>
      </c>
      <c r="I6">
        <f>(H6/10744.1)*100</f>
        <v>12.081049133943282</v>
      </c>
    </row>
    <row r="7" spans="1:18" x14ac:dyDescent="0.25">
      <c r="A7" t="s">
        <v>13</v>
      </c>
      <c r="B7" s="11" t="s">
        <v>8</v>
      </c>
      <c r="C7" s="11" t="s">
        <v>382</v>
      </c>
      <c r="D7" s="3" t="s">
        <v>43</v>
      </c>
      <c r="E7" t="s">
        <v>4</v>
      </c>
      <c r="F7">
        <v>90.8</v>
      </c>
      <c r="G7">
        <v>8917.7999999999993</v>
      </c>
      <c r="H7">
        <f t="shared" si="0"/>
        <v>8827</v>
      </c>
      <c r="I7">
        <f>(H7/8827)*100</f>
        <v>100</v>
      </c>
    </row>
    <row r="8" spans="1:18" x14ac:dyDescent="0.25">
      <c r="A8" t="s">
        <v>14</v>
      </c>
      <c r="D8" s="3"/>
      <c r="E8" t="s">
        <v>42</v>
      </c>
      <c r="F8">
        <v>90.8</v>
      </c>
      <c r="G8">
        <v>890</v>
      </c>
      <c r="H8">
        <f t="shared" si="0"/>
        <v>799.2</v>
      </c>
      <c r="I8">
        <f>(H8/8827)*100</f>
        <v>9.0540387447603958</v>
      </c>
    </row>
    <row r="9" spans="1:18" x14ac:dyDescent="0.25">
      <c r="A9" t="s">
        <v>15</v>
      </c>
      <c r="D9" s="3"/>
      <c r="E9" t="s">
        <v>5</v>
      </c>
      <c r="F9">
        <v>90.8</v>
      </c>
      <c r="G9">
        <v>1405.1</v>
      </c>
      <c r="H9">
        <f t="shared" si="0"/>
        <v>1314.3</v>
      </c>
      <c r="I9">
        <f>(H9/8827)*100</f>
        <v>14.889543446244478</v>
      </c>
    </row>
    <row r="10" spans="1:18" x14ac:dyDescent="0.25">
      <c r="A10" t="s">
        <v>16</v>
      </c>
      <c r="D10" s="3" t="s">
        <v>6</v>
      </c>
      <c r="E10" t="s">
        <v>4</v>
      </c>
      <c r="F10">
        <v>97.9</v>
      </c>
      <c r="G10">
        <v>9504.2999999999993</v>
      </c>
      <c r="H10">
        <f t="shared" si="0"/>
        <v>9406.4</v>
      </c>
      <c r="I10">
        <f>(H10/9406.4)*100</f>
        <v>100</v>
      </c>
      <c r="M10" s="3"/>
    </row>
    <row r="11" spans="1:18" x14ac:dyDescent="0.25">
      <c r="A11" t="s">
        <v>17</v>
      </c>
      <c r="D11" s="3"/>
      <c r="E11" t="s">
        <v>42</v>
      </c>
      <c r="F11">
        <v>97.9</v>
      </c>
      <c r="G11">
        <v>1870.4</v>
      </c>
      <c r="H11">
        <f t="shared" si="0"/>
        <v>1772.5</v>
      </c>
      <c r="I11">
        <f>(H11/9406.4)*100</f>
        <v>18.843553325395476</v>
      </c>
      <c r="M11" s="3"/>
    </row>
    <row r="12" spans="1:18" x14ac:dyDescent="0.25">
      <c r="A12" t="s">
        <v>18</v>
      </c>
      <c r="D12" s="3"/>
      <c r="E12" t="s">
        <v>5</v>
      </c>
      <c r="F12">
        <v>97.9</v>
      </c>
      <c r="G12">
        <v>2309.1</v>
      </c>
      <c r="H12">
        <f t="shared" si="0"/>
        <v>2211.1999999999998</v>
      </c>
      <c r="I12">
        <f>(H12/9406.4)*100</f>
        <v>23.507399217554003</v>
      </c>
      <c r="M12" s="3"/>
    </row>
    <row r="13" spans="1:18" x14ac:dyDescent="0.25">
      <c r="A13" t="s">
        <v>19</v>
      </c>
      <c r="D13" s="3" t="s">
        <v>44</v>
      </c>
      <c r="E13" t="s">
        <v>4</v>
      </c>
      <c r="F13">
        <v>97.8</v>
      </c>
      <c r="G13">
        <v>8510.2999999999993</v>
      </c>
      <c r="H13">
        <f t="shared" si="0"/>
        <v>8412.5</v>
      </c>
      <c r="I13">
        <f>(H13/8412.5)*100</f>
        <v>100</v>
      </c>
      <c r="M13" s="3"/>
    </row>
    <row r="14" spans="1:18" x14ac:dyDescent="0.25">
      <c r="A14" t="s">
        <v>20</v>
      </c>
      <c r="D14" s="3"/>
      <c r="E14" t="s">
        <v>42</v>
      </c>
      <c r="F14">
        <v>97.8</v>
      </c>
      <c r="G14">
        <v>1871.1</v>
      </c>
      <c r="H14">
        <f t="shared" si="0"/>
        <v>1773.3</v>
      </c>
      <c r="I14">
        <f>(H14/8412.5)*100</f>
        <v>21.079346210995542</v>
      </c>
      <c r="L14" s="5"/>
      <c r="M14" s="6"/>
    </row>
    <row r="15" spans="1:18" x14ac:dyDescent="0.25">
      <c r="A15" t="s">
        <v>21</v>
      </c>
      <c r="D15" s="3"/>
      <c r="E15" t="s">
        <v>5</v>
      </c>
      <c r="F15">
        <v>97.8</v>
      </c>
      <c r="G15">
        <v>2620.1</v>
      </c>
      <c r="H15">
        <f t="shared" si="0"/>
        <v>2522.2999999999997</v>
      </c>
      <c r="I15">
        <f>(H15/8412.5)*100</f>
        <v>29.982763744427931</v>
      </c>
      <c r="M15" s="3"/>
    </row>
    <row r="16" spans="1:18" x14ac:dyDescent="0.25">
      <c r="A16" t="s">
        <v>22</v>
      </c>
      <c r="D16" s="3" t="s">
        <v>45</v>
      </c>
      <c r="E16" t="s">
        <v>4</v>
      </c>
      <c r="F16">
        <v>108.4</v>
      </c>
      <c r="G16">
        <v>9043.2000000000007</v>
      </c>
      <c r="H16">
        <f t="shared" si="0"/>
        <v>8934.8000000000011</v>
      </c>
      <c r="I16">
        <f>(H16/8934.8)*100</f>
        <v>100.00000000000003</v>
      </c>
      <c r="M16" s="3"/>
    </row>
    <row r="17" spans="1:13" x14ac:dyDescent="0.25">
      <c r="A17" t="s">
        <v>23</v>
      </c>
      <c r="D17" s="3"/>
      <c r="E17" t="s">
        <v>42</v>
      </c>
      <c r="F17">
        <v>108.4</v>
      </c>
      <c r="G17">
        <v>4660.5</v>
      </c>
      <c r="H17">
        <f t="shared" si="0"/>
        <v>4552.1000000000004</v>
      </c>
      <c r="I17">
        <f>(H17/8934.8)*100</f>
        <v>50.947978690065824</v>
      </c>
      <c r="M17" s="3"/>
    </row>
    <row r="18" spans="1:13" x14ac:dyDescent="0.25">
      <c r="A18" t="s">
        <v>24</v>
      </c>
      <c r="D18" s="3"/>
      <c r="E18" t="s">
        <v>5</v>
      </c>
      <c r="F18">
        <v>108.4</v>
      </c>
      <c r="G18">
        <v>5264.5</v>
      </c>
      <c r="H18">
        <f t="shared" si="0"/>
        <v>5156.1000000000004</v>
      </c>
      <c r="I18">
        <f>(H18/8934.8)*100</f>
        <v>57.708062855352118</v>
      </c>
      <c r="M18" s="3"/>
    </row>
    <row r="19" spans="1:13" x14ac:dyDescent="0.25">
      <c r="A19" t="s">
        <v>25</v>
      </c>
      <c r="D19" s="3" t="s">
        <v>46</v>
      </c>
      <c r="E19" t="s">
        <v>4</v>
      </c>
      <c r="F19">
        <v>121.5</v>
      </c>
      <c r="G19">
        <v>9442.6</v>
      </c>
      <c r="H19">
        <f t="shared" si="0"/>
        <v>9321.1</v>
      </c>
      <c r="I19">
        <f>(H19/9321.1)*100</f>
        <v>100</v>
      </c>
      <c r="M19" s="3"/>
    </row>
    <row r="20" spans="1:13" x14ac:dyDescent="0.25">
      <c r="A20" t="s">
        <v>26</v>
      </c>
      <c r="D20" s="3"/>
      <c r="E20" t="s">
        <v>42</v>
      </c>
      <c r="F20">
        <v>121.5</v>
      </c>
      <c r="G20">
        <v>5160.3999999999996</v>
      </c>
      <c r="H20">
        <f t="shared" si="0"/>
        <v>5038.8999999999996</v>
      </c>
      <c r="I20">
        <f>(H20/9321.1)*100</f>
        <v>54.059070281404551</v>
      </c>
      <c r="M20" s="3"/>
    </row>
    <row r="21" spans="1:13" x14ac:dyDescent="0.25">
      <c r="A21" t="s">
        <v>27</v>
      </c>
      <c r="D21" s="3"/>
      <c r="E21" t="s">
        <v>5</v>
      </c>
      <c r="F21">
        <v>121.5</v>
      </c>
      <c r="G21">
        <v>5941.2</v>
      </c>
      <c r="H21">
        <f t="shared" si="0"/>
        <v>5819.7</v>
      </c>
      <c r="I21">
        <f>(H21/9321.1)*100</f>
        <v>62.435764019268106</v>
      </c>
      <c r="M21" s="3"/>
    </row>
    <row r="22" spans="1:13" x14ac:dyDescent="0.25">
      <c r="A22" t="s">
        <v>28</v>
      </c>
      <c r="D22" s="3" t="s">
        <v>47</v>
      </c>
      <c r="E22" t="s">
        <v>4</v>
      </c>
      <c r="F22">
        <v>121.3</v>
      </c>
      <c r="G22">
        <v>9457.9</v>
      </c>
      <c r="H22">
        <f t="shared" si="0"/>
        <v>9336.6</v>
      </c>
      <c r="I22">
        <f>(H22/9336.6)*100</f>
        <v>100</v>
      </c>
      <c r="M22" s="3"/>
    </row>
    <row r="23" spans="1:13" x14ac:dyDescent="0.25">
      <c r="A23" t="s">
        <v>29</v>
      </c>
      <c r="D23" s="3"/>
      <c r="E23" t="s">
        <v>42</v>
      </c>
      <c r="F23">
        <v>121.3</v>
      </c>
      <c r="G23">
        <v>4751.5</v>
      </c>
      <c r="H23">
        <f t="shared" si="0"/>
        <v>4630.2</v>
      </c>
      <c r="I23">
        <f>(H23/9336.6)*100</f>
        <v>49.591928539296958</v>
      </c>
    </row>
    <row r="24" spans="1:13" x14ac:dyDescent="0.25">
      <c r="A24" t="s">
        <v>30</v>
      </c>
      <c r="D24" s="3"/>
      <c r="E24" t="s">
        <v>5</v>
      </c>
      <c r="F24">
        <v>121.3</v>
      </c>
      <c r="G24">
        <v>5673.5</v>
      </c>
      <c r="H24">
        <f t="shared" si="0"/>
        <v>5552.2</v>
      </c>
      <c r="I24">
        <f>(H24/9336.6)*100</f>
        <v>59.46704367756999</v>
      </c>
    </row>
    <row r="25" spans="1:13" x14ac:dyDescent="0.25">
      <c r="A25" t="s">
        <v>31</v>
      </c>
    </row>
    <row r="26" spans="1:13" x14ac:dyDescent="0.25">
      <c r="A26" t="s">
        <v>32</v>
      </c>
    </row>
    <row r="27" spans="1:13" x14ac:dyDescent="0.25">
      <c r="A27" t="s">
        <v>33</v>
      </c>
    </row>
    <row r="28" spans="1:13" x14ac:dyDescent="0.25">
      <c r="A28" t="s">
        <v>34</v>
      </c>
    </row>
    <row r="29" spans="1:13" x14ac:dyDescent="0.25">
      <c r="A29" t="s">
        <v>35</v>
      </c>
    </row>
    <row r="30" spans="1:13" x14ac:dyDescent="0.25">
      <c r="A30" t="s">
        <v>36</v>
      </c>
    </row>
    <row r="31" spans="1:13" x14ac:dyDescent="0.25">
      <c r="A31" t="s">
        <v>37</v>
      </c>
    </row>
    <row r="32" spans="1:13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D635-3341-4BD9-B602-AFA11B4A002E}">
  <dimension ref="A1:R40"/>
  <sheetViews>
    <sheetView topLeftCell="A4" workbookViewId="0">
      <selection activeCell="N32" sqref="N32"/>
    </sheetView>
  </sheetViews>
  <sheetFormatPr defaultRowHeight="15" x14ac:dyDescent="0.25"/>
  <cols>
    <col min="1" max="1" width="49.28515625" bestFit="1" customWidth="1"/>
    <col min="4" max="4" width="12.28515625" bestFit="1" customWidth="1"/>
    <col min="5" max="5" width="8.42578125" bestFit="1" customWidth="1"/>
    <col min="6" max="6" width="11.42578125" customWidth="1"/>
    <col min="8" max="8" width="11.5703125" customWidth="1"/>
  </cols>
  <sheetData>
    <row r="1" spans="1:18" x14ac:dyDescent="0.25">
      <c r="A1" t="s">
        <v>82</v>
      </c>
    </row>
    <row r="3" spans="1:18" x14ac:dyDescent="0.25">
      <c r="A3" t="s">
        <v>0</v>
      </c>
    </row>
    <row r="4" spans="1:18" ht="47.25" customHeight="1" x14ac:dyDescent="0.25">
      <c r="F4" s="1" t="s">
        <v>9</v>
      </c>
      <c r="G4" s="1" t="s">
        <v>10</v>
      </c>
      <c r="H4" s="1" t="s">
        <v>11</v>
      </c>
      <c r="I4" s="1" t="s">
        <v>12</v>
      </c>
    </row>
    <row r="5" spans="1:18" x14ac:dyDescent="0.25">
      <c r="A5" t="s">
        <v>1</v>
      </c>
      <c r="D5" s="3" t="s">
        <v>3</v>
      </c>
      <c r="E5" t="s">
        <v>4</v>
      </c>
      <c r="F5" s="2"/>
    </row>
    <row r="6" spans="1:18" x14ac:dyDescent="0.25">
      <c r="A6" t="s">
        <v>2</v>
      </c>
      <c r="D6" s="3"/>
      <c r="E6" t="s">
        <v>42</v>
      </c>
      <c r="F6" s="2"/>
      <c r="N6" s="4"/>
      <c r="O6" s="4"/>
      <c r="P6" s="4"/>
      <c r="Q6" s="4"/>
      <c r="R6" s="4"/>
    </row>
    <row r="7" spans="1:18" x14ac:dyDescent="0.25">
      <c r="A7" t="s">
        <v>48</v>
      </c>
      <c r="D7" s="3"/>
      <c r="E7" t="s">
        <v>5</v>
      </c>
      <c r="F7" s="2"/>
      <c r="L7" s="5"/>
      <c r="M7" s="6"/>
    </row>
    <row r="8" spans="1:18" x14ac:dyDescent="0.25">
      <c r="A8" t="s">
        <v>49</v>
      </c>
      <c r="D8" s="3" t="s">
        <v>43</v>
      </c>
      <c r="E8" t="s">
        <v>4</v>
      </c>
      <c r="F8">
        <v>103.8</v>
      </c>
      <c r="G8">
        <v>7226.1</v>
      </c>
      <c r="H8">
        <f t="shared" ref="H8:H16" si="0">G8-F8</f>
        <v>7122.3</v>
      </c>
      <c r="I8">
        <f>(H8/7122.3)*100</f>
        <v>100</v>
      </c>
      <c r="M8" s="3"/>
    </row>
    <row r="9" spans="1:18" x14ac:dyDescent="0.25">
      <c r="A9" t="s">
        <v>50</v>
      </c>
      <c r="D9" s="3"/>
      <c r="E9" t="s">
        <v>42</v>
      </c>
      <c r="F9">
        <v>103.8</v>
      </c>
      <c r="G9">
        <v>596.79999999999995</v>
      </c>
      <c r="H9">
        <f t="shared" si="0"/>
        <v>492.99999999999994</v>
      </c>
      <c r="I9">
        <f>(H9/7122.3)*100</f>
        <v>6.9219212894710971</v>
      </c>
      <c r="M9" s="3"/>
    </row>
    <row r="10" spans="1:18" x14ac:dyDescent="0.25">
      <c r="A10" t="s">
        <v>51</v>
      </c>
      <c r="D10" s="3"/>
      <c r="E10" t="s">
        <v>5</v>
      </c>
      <c r="F10">
        <v>103.8</v>
      </c>
      <c r="G10">
        <v>830.6</v>
      </c>
      <c r="H10">
        <f t="shared" si="0"/>
        <v>726.80000000000007</v>
      </c>
      <c r="I10">
        <f>(H10/7122.3)*100</f>
        <v>10.204568748859218</v>
      </c>
      <c r="M10" s="3"/>
    </row>
    <row r="11" spans="1:18" x14ac:dyDescent="0.25">
      <c r="A11" t="s">
        <v>52</v>
      </c>
      <c r="D11" s="3" t="s">
        <v>6</v>
      </c>
      <c r="E11" t="s">
        <v>4</v>
      </c>
      <c r="F11">
        <v>119.8</v>
      </c>
      <c r="G11">
        <v>8167.5</v>
      </c>
      <c r="H11">
        <f t="shared" si="0"/>
        <v>8047.7</v>
      </c>
      <c r="I11">
        <f>(H11/8047.7)*100</f>
        <v>100</v>
      </c>
      <c r="M11" s="3"/>
    </row>
    <row r="12" spans="1:18" x14ac:dyDescent="0.25">
      <c r="A12" t="s">
        <v>53</v>
      </c>
      <c r="D12" s="3"/>
      <c r="E12" t="s">
        <v>42</v>
      </c>
      <c r="F12">
        <v>119.8</v>
      </c>
      <c r="G12">
        <v>1724.4</v>
      </c>
      <c r="H12">
        <f t="shared" si="0"/>
        <v>1604.6000000000001</v>
      </c>
      <c r="I12">
        <f>(H12/8047.7)*100</f>
        <v>19.938616002087556</v>
      </c>
      <c r="M12" s="3"/>
    </row>
    <row r="13" spans="1:18" x14ac:dyDescent="0.25">
      <c r="A13" t="s">
        <v>54</v>
      </c>
      <c r="D13" s="3"/>
      <c r="E13" t="s">
        <v>5</v>
      </c>
      <c r="F13">
        <v>119.8</v>
      </c>
      <c r="G13">
        <v>2025.9</v>
      </c>
      <c r="H13">
        <f t="shared" si="0"/>
        <v>1906.1000000000001</v>
      </c>
      <c r="I13">
        <f>(H13/8047.7)*100</f>
        <v>23.685028020428199</v>
      </c>
      <c r="M13" s="3"/>
    </row>
    <row r="14" spans="1:18" x14ac:dyDescent="0.25">
      <c r="A14" t="s">
        <v>55</v>
      </c>
      <c r="D14" s="3" t="s">
        <v>7</v>
      </c>
      <c r="E14" t="s">
        <v>4</v>
      </c>
      <c r="F14">
        <v>119.2</v>
      </c>
      <c r="G14">
        <v>9197</v>
      </c>
      <c r="H14">
        <f t="shared" si="0"/>
        <v>9077.7999999999993</v>
      </c>
      <c r="I14">
        <f>(H14/9077.8)*100</f>
        <v>100</v>
      </c>
      <c r="M14" s="3"/>
    </row>
    <row r="15" spans="1:18" x14ac:dyDescent="0.25">
      <c r="A15" t="s">
        <v>56</v>
      </c>
      <c r="D15" s="3"/>
      <c r="E15" t="s">
        <v>42</v>
      </c>
      <c r="F15">
        <v>119.2</v>
      </c>
      <c r="G15">
        <v>1903.4</v>
      </c>
      <c r="H15">
        <f t="shared" si="0"/>
        <v>1784.2</v>
      </c>
      <c r="I15">
        <f>(H15/9077.8)*100</f>
        <v>19.65454184934676</v>
      </c>
      <c r="M15" s="3"/>
    </row>
    <row r="16" spans="1:18" x14ac:dyDescent="0.25">
      <c r="A16" t="s">
        <v>57</v>
      </c>
      <c r="D16" s="3"/>
      <c r="E16" t="s">
        <v>5</v>
      </c>
      <c r="F16">
        <v>119.2</v>
      </c>
      <c r="G16">
        <v>2177.5</v>
      </c>
      <c r="H16">
        <f t="shared" si="0"/>
        <v>2058.3000000000002</v>
      </c>
      <c r="I16">
        <f>(H16/9077.8)*100</f>
        <v>22.673995902090819</v>
      </c>
      <c r="L16" s="5"/>
      <c r="M16" s="6"/>
    </row>
    <row r="17" spans="1:13" x14ac:dyDescent="0.25">
      <c r="A17" t="s">
        <v>58</v>
      </c>
      <c r="D17" s="3" t="s">
        <v>44</v>
      </c>
      <c r="E17" t="s">
        <v>4</v>
      </c>
      <c r="F17">
        <v>91.6</v>
      </c>
      <c r="G17">
        <v>8129.8</v>
      </c>
      <c r="H17">
        <f t="shared" ref="H17:H22" si="1">G17-F17</f>
        <v>8038.2</v>
      </c>
      <c r="I17">
        <f>(H17/8038.2)*100</f>
        <v>100</v>
      </c>
      <c r="M17" s="3"/>
    </row>
    <row r="18" spans="1:13" x14ac:dyDescent="0.25">
      <c r="A18" t="s">
        <v>59</v>
      </c>
      <c r="D18" s="3"/>
      <c r="E18" t="s">
        <v>42</v>
      </c>
      <c r="F18">
        <v>91.6</v>
      </c>
      <c r="G18">
        <v>2950.8</v>
      </c>
      <c r="H18">
        <f t="shared" si="1"/>
        <v>2859.2000000000003</v>
      </c>
      <c r="I18">
        <f>(H18/8038.2)*100</f>
        <v>35.570152521708842</v>
      </c>
      <c r="M18" s="3"/>
    </row>
    <row r="19" spans="1:13" x14ac:dyDescent="0.25">
      <c r="A19" t="s">
        <v>60</v>
      </c>
      <c r="D19" s="3"/>
      <c r="E19" t="s">
        <v>5</v>
      </c>
      <c r="F19">
        <v>91.6</v>
      </c>
      <c r="G19">
        <v>3328</v>
      </c>
      <c r="H19">
        <f t="shared" si="1"/>
        <v>3236.4</v>
      </c>
      <c r="I19">
        <f>(H19/8038.2)*100</f>
        <v>40.262745390759122</v>
      </c>
      <c r="M19" s="3"/>
    </row>
    <row r="20" spans="1:13" x14ac:dyDescent="0.25">
      <c r="A20" t="s">
        <v>61</v>
      </c>
      <c r="D20" s="3" t="s">
        <v>8</v>
      </c>
      <c r="E20" t="s">
        <v>4</v>
      </c>
      <c r="F20">
        <v>108.1</v>
      </c>
      <c r="G20">
        <v>7025.3</v>
      </c>
      <c r="H20">
        <f t="shared" si="1"/>
        <v>6917.2</v>
      </c>
      <c r="I20">
        <f>(H20/6917.2)*100</f>
        <v>100</v>
      </c>
      <c r="M20" s="3"/>
    </row>
    <row r="21" spans="1:13" x14ac:dyDescent="0.25">
      <c r="A21" t="s">
        <v>62</v>
      </c>
      <c r="D21" s="3"/>
      <c r="E21" t="s">
        <v>42</v>
      </c>
      <c r="F21">
        <v>108.1</v>
      </c>
      <c r="G21">
        <v>1601.7</v>
      </c>
      <c r="H21">
        <f t="shared" si="1"/>
        <v>1493.6000000000001</v>
      </c>
      <c r="I21">
        <f>(H21/6917.2)*100</f>
        <v>21.592551899612562</v>
      </c>
      <c r="M21" s="3"/>
    </row>
    <row r="22" spans="1:13" x14ac:dyDescent="0.25">
      <c r="A22" t="s">
        <v>63</v>
      </c>
      <c r="D22" s="3"/>
      <c r="E22" t="s">
        <v>5</v>
      </c>
      <c r="F22">
        <v>108.1</v>
      </c>
      <c r="G22">
        <v>1880.8</v>
      </c>
      <c r="H22">
        <f t="shared" si="1"/>
        <v>1772.7</v>
      </c>
      <c r="I22">
        <f>(H22/6917.2)*100</f>
        <v>25.627421500028913</v>
      </c>
      <c r="M22" s="3"/>
    </row>
    <row r="23" spans="1:13" x14ac:dyDescent="0.25">
      <c r="A23" t="s">
        <v>64</v>
      </c>
      <c r="D23" s="3" t="s">
        <v>45</v>
      </c>
      <c r="E23" t="s">
        <v>4</v>
      </c>
      <c r="F23">
        <v>112.2</v>
      </c>
      <c r="G23">
        <v>9332.4</v>
      </c>
      <c r="H23">
        <f t="shared" ref="H23:H31" si="2">G23-F23</f>
        <v>9220.1999999999989</v>
      </c>
      <c r="I23">
        <f>(H23/9220.2)*100</f>
        <v>99.999999999999972</v>
      </c>
      <c r="M23" s="3"/>
    </row>
    <row r="24" spans="1:13" x14ac:dyDescent="0.25">
      <c r="A24" t="s">
        <v>65</v>
      </c>
      <c r="D24" s="3"/>
      <c r="E24" t="s">
        <v>42</v>
      </c>
      <c r="F24">
        <v>112.2</v>
      </c>
      <c r="G24">
        <v>4683.6000000000004</v>
      </c>
      <c r="H24">
        <f t="shared" si="2"/>
        <v>4571.4000000000005</v>
      </c>
      <c r="I24">
        <f>(H24/9220.2)*100</f>
        <v>49.580269408472702</v>
      </c>
      <c r="M24" s="3"/>
    </row>
    <row r="25" spans="1:13" x14ac:dyDescent="0.25">
      <c r="A25" t="s">
        <v>66</v>
      </c>
      <c r="D25" s="3"/>
      <c r="E25" t="s">
        <v>5</v>
      </c>
      <c r="F25">
        <v>112.2</v>
      </c>
      <c r="G25">
        <v>5041.6000000000004</v>
      </c>
      <c r="H25">
        <f t="shared" si="2"/>
        <v>4929.4000000000005</v>
      </c>
      <c r="I25">
        <f>(H25/9220.2)*100</f>
        <v>53.4630485238932</v>
      </c>
    </row>
    <row r="26" spans="1:13" x14ac:dyDescent="0.25">
      <c r="A26" t="s">
        <v>67</v>
      </c>
      <c r="D26" s="3" t="s">
        <v>46</v>
      </c>
      <c r="E26" t="s">
        <v>4</v>
      </c>
      <c r="F26">
        <v>130.5</v>
      </c>
      <c r="G26">
        <v>9156.2000000000007</v>
      </c>
      <c r="H26">
        <f t="shared" si="2"/>
        <v>9025.7000000000007</v>
      </c>
      <c r="I26">
        <f>(H26/9025.7)*100</f>
        <v>100</v>
      </c>
    </row>
    <row r="27" spans="1:13" x14ac:dyDescent="0.25">
      <c r="A27" t="s">
        <v>68</v>
      </c>
      <c r="D27" s="3"/>
      <c r="E27" t="s">
        <v>42</v>
      </c>
      <c r="F27">
        <v>130.5</v>
      </c>
      <c r="G27">
        <v>4052.3</v>
      </c>
      <c r="H27">
        <f t="shared" si="2"/>
        <v>3921.8</v>
      </c>
      <c r="I27">
        <f>(H27/9025.7)*100</f>
        <v>43.451477447732586</v>
      </c>
    </row>
    <row r="28" spans="1:13" x14ac:dyDescent="0.25">
      <c r="A28" t="s">
        <v>69</v>
      </c>
      <c r="D28" s="3"/>
      <c r="E28" t="s">
        <v>5</v>
      </c>
      <c r="F28">
        <v>130.5</v>
      </c>
      <c r="G28">
        <v>4242.5</v>
      </c>
      <c r="H28">
        <f t="shared" si="2"/>
        <v>4112</v>
      </c>
      <c r="I28">
        <f>(H28/9025.7)*100</f>
        <v>45.558793223794275</v>
      </c>
    </row>
    <row r="29" spans="1:13" x14ac:dyDescent="0.25">
      <c r="A29" t="s">
        <v>70</v>
      </c>
      <c r="D29" s="3" t="s">
        <v>47</v>
      </c>
      <c r="E29" t="s">
        <v>4</v>
      </c>
      <c r="F29">
        <v>133.19999999999999</v>
      </c>
      <c r="G29">
        <v>8756.5</v>
      </c>
      <c r="H29">
        <f t="shared" si="2"/>
        <v>8623.2999999999993</v>
      </c>
      <c r="I29">
        <f>(H29/8623.3)*100</f>
        <v>100</v>
      </c>
    </row>
    <row r="30" spans="1:13" x14ac:dyDescent="0.25">
      <c r="A30" t="s">
        <v>71</v>
      </c>
      <c r="D30" s="3"/>
      <c r="E30" t="s">
        <v>42</v>
      </c>
      <c r="F30">
        <v>133.19999999999999</v>
      </c>
      <c r="G30">
        <v>4076.9</v>
      </c>
      <c r="H30">
        <f t="shared" si="2"/>
        <v>3943.7000000000003</v>
      </c>
      <c r="I30">
        <f>(H30/8623.3)*100</f>
        <v>45.733072025790598</v>
      </c>
    </row>
    <row r="31" spans="1:13" x14ac:dyDescent="0.25">
      <c r="A31" t="s">
        <v>72</v>
      </c>
      <c r="D31" s="3"/>
      <c r="E31" t="s">
        <v>5</v>
      </c>
      <c r="F31">
        <v>133.19999999999999</v>
      </c>
      <c r="G31">
        <v>4736.3999999999996</v>
      </c>
      <c r="H31">
        <f t="shared" si="2"/>
        <v>4603.2</v>
      </c>
      <c r="I31">
        <f>(H31/8623.3)*100</f>
        <v>53.380956246448577</v>
      </c>
    </row>
    <row r="32" spans="1:13" x14ac:dyDescent="0.25">
      <c r="A32" t="s">
        <v>73</v>
      </c>
    </row>
    <row r="33" spans="1:1" x14ac:dyDescent="0.25">
      <c r="A33" t="s">
        <v>74</v>
      </c>
    </row>
    <row r="34" spans="1:1" x14ac:dyDescent="0.25">
      <c r="A34" t="s">
        <v>75</v>
      </c>
    </row>
    <row r="35" spans="1:1" x14ac:dyDescent="0.25">
      <c r="A35" t="s">
        <v>76</v>
      </c>
    </row>
    <row r="36" spans="1:1" x14ac:dyDescent="0.25">
      <c r="A36" t="s">
        <v>77</v>
      </c>
    </row>
    <row r="37" spans="1:1" x14ac:dyDescent="0.25">
      <c r="A37" t="s">
        <v>78</v>
      </c>
    </row>
    <row r="38" spans="1:1" x14ac:dyDescent="0.25">
      <c r="A38" t="s">
        <v>79</v>
      </c>
    </row>
    <row r="39" spans="1:1" x14ac:dyDescent="0.25">
      <c r="A39" t="s">
        <v>80</v>
      </c>
    </row>
    <row r="40" spans="1:1" x14ac:dyDescent="0.25">
      <c r="A40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B587-A181-4BA8-9A08-187152B6D279}">
  <dimension ref="A1:R44"/>
  <sheetViews>
    <sheetView workbookViewId="0">
      <selection activeCell="C34" sqref="C34"/>
    </sheetView>
  </sheetViews>
  <sheetFormatPr defaultRowHeight="15" x14ac:dyDescent="0.25"/>
  <cols>
    <col min="1" max="1" width="49.28515625" bestFit="1" customWidth="1"/>
    <col min="4" max="4" width="12.28515625" bestFit="1" customWidth="1"/>
    <col min="6" max="6" width="11.28515625" customWidth="1"/>
    <col min="8" max="8" width="12.140625" customWidth="1"/>
    <col min="9" max="9" width="10.85546875" customWidth="1"/>
  </cols>
  <sheetData>
    <row r="1" spans="1:18" x14ac:dyDescent="0.25">
      <c r="A1" t="s">
        <v>159</v>
      </c>
    </row>
    <row r="3" spans="1:18" x14ac:dyDescent="0.25">
      <c r="A3" t="s">
        <v>0</v>
      </c>
    </row>
    <row r="4" spans="1:18" ht="30" x14ac:dyDescent="0.25">
      <c r="F4" s="1" t="s">
        <v>9</v>
      </c>
      <c r="G4" s="1" t="s">
        <v>10</v>
      </c>
      <c r="H4" s="1" t="s">
        <v>11</v>
      </c>
      <c r="I4" s="1" t="s">
        <v>12</v>
      </c>
    </row>
    <row r="5" spans="1:18" x14ac:dyDescent="0.25">
      <c r="A5" t="s">
        <v>1</v>
      </c>
      <c r="D5" s="3" t="s">
        <v>3</v>
      </c>
      <c r="E5" t="s">
        <v>4</v>
      </c>
      <c r="F5" s="2">
        <v>136.5</v>
      </c>
      <c r="G5">
        <v>8902.7999999999993</v>
      </c>
      <c r="H5">
        <f>G5-F5</f>
        <v>8766.2999999999993</v>
      </c>
      <c r="I5">
        <f>(H5/8766.3)*100</f>
        <v>100</v>
      </c>
      <c r="N5" s="4"/>
      <c r="O5" s="4"/>
      <c r="P5" s="4"/>
      <c r="Q5" s="4"/>
      <c r="R5" s="4"/>
    </row>
    <row r="6" spans="1:18" x14ac:dyDescent="0.25">
      <c r="A6" t="s">
        <v>2</v>
      </c>
      <c r="D6" s="3"/>
      <c r="E6" t="s">
        <v>42</v>
      </c>
      <c r="F6" s="2">
        <v>136.5</v>
      </c>
      <c r="G6">
        <v>638.5</v>
      </c>
      <c r="H6">
        <f>G6-F6</f>
        <v>502</v>
      </c>
      <c r="I6">
        <f>(H6/8766.3)*100</f>
        <v>5.7264752518166162</v>
      </c>
      <c r="L6" s="5"/>
      <c r="M6" s="6"/>
    </row>
    <row r="7" spans="1:18" x14ac:dyDescent="0.25">
      <c r="A7" t="s">
        <v>83</v>
      </c>
      <c r="D7" s="3"/>
      <c r="E7" t="s">
        <v>5</v>
      </c>
      <c r="F7" s="2">
        <v>136.5</v>
      </c>
      <c r="G7">
        <v>1623.9</v>
      </c>
      <c r="H7">
        <f>G7-F7</f>
        <v>1487.4</v>
      </c>
      <c r="I7">
        <f>(H7/8766.3)*100</f>
        <v>16.967249580780948</v>
      </c>
      <c r="M7" s="3"/>
    </row>
    <row r="8" spans="1:18" x14ac:dyDescent="0.25">
      <c r="A8" t="s">
        <v>84</v>
      </c>
      <c r="D8" s="3" t="s">
        <v>43</v>
      </c>
      <c r="E8" t="s">
        <v>4</v>
      </c>
      <c r="F8">
        <v>106.8</v>
      </c>
      <c r="G8">
        <v>7360.8</v>
      </c>
      <c r="H8">
        <f t="shared" ref="H8:H31" si="0">G8-F8</f>
        <v>7254</v>
      </c>
      <c r="I8">
        <f>(H8/7254)*100</f>
        <v>100</v>
      </c>
      <c r="M8" s="3"/>
    </row>
    <row r="9" spans="1:18" x14ac:dyDescent="0.25">
      <c r="A9" t="s">
        <v>85</v>
      </c>
      <c r="D9" s="3"/>
      <c r="E9" t="s">
        <v>42</v>
      </c>
      <c r="F9">
        <v>106.8</v>
      </c>
      <c r="G9">
        <v>818.6</v>
      </c>
      <c r="H9">
        <f t="shared" si="0"/>
        <v>711.80000000000007</v>
      </c>
      <c r="I9">
        <f>(H9/7254)*100</f>
        <v>9.8125172318720715</v>
      </c>
      <c r="M9" s="3"/>
    </row>
    <row r="10" spans="1:18" x14ac:dyDescent="0.25">
      <c r="A10" t="s">
        <v>86</v>
      </c>
      <c r="D10" s="3"/>
      <c r="E10" t="s">
        <v>5</v>
      </c>
      <c r="F10">
        <v>106.8</v>
      </c>
      <c r="G10">
        <v>1702.2</v>
      </c>
      <c r="H10">
        <f t="shared" si="0"/>
        <v>1595.4</v>
      </c>
      <c r="I10">
        <f>(H10/7254)*100</f>
        <v>21.993382961124897</v>
      </c>
      <c r="M10" s="3"/>
    </row>
    <row r="11" spans="1:18" x14ac:dyDescent="0.25">
      <c r="A11" t="s">
        <v>87</v>
      </c>
      <c r="D11" s="3" t="s">
        <v>6</v>
      </c>
      <c r="E11" t="s">
        <v>4</v>
      </c>
      <c r="F11">
        <v>129.6</v>
      </c>
      <c r="G11">
        <v>9330.9</v>
      </c>
      <c r="H11">
        <f t="shared" si="0"/>
        <v>9201.2999999999993</v>
      </c>
      <c r="I11">
        <f>(H11/9201.3)*100</f>
        <v>100</v>
      </c>
      <c r="M11" s="3"/>
    </row>
    <row r="12" spans="1:18" x14ac:dyDescent="0.25">
      <c r="A12" t="s">
        <v>88</v>
      </c>
      <c r="D12" s="3"/>
      <c r="E12" t="s">
        <v>42</v>
      </c>
      <c r="F12">
        <v>129.6</v>
      </c>
      <c r="G12">
        <v>2166.1</v>
      </c>
      <c r="H12">
        <f t="shared" si="0"/>
        <v>2036.5</v>
      </c>
      <c r="I12">
        <f>(H12/9201.3)*100</f>
        <v>22.132742112527577</v>
      </c>
      <c r="M12" s="3"/>
    </row>
    <row r="13" spans="1:18" x14ac:dyDescent="0.25">
      <c r="A13" t="s">
        <v>89</v>
      </c>
      <c r="D13" s="3"/>
      <c r="E13" t="s">
        <v>5</v>
      </c>
      <c r="F13">
        <v>129.6</v>
      </c>
      <c r="G13">
        <v>2839.5</v>
      </c>
      <c r="H13">
        <f t="shared" si="0"/>
        <v>2709.9</v>
      </c>
      <c r="I13">
        <f>(H13/9201.3)*100</f>
        <v>29.451273189657982</v>
      </c>
      <c r="M13" s="3"/>
    </row>
    <row r="14" spans="1:18" x14ac:dyDescent="0.25">
      <c r="A14" t="s">
        <v>90</v>
      </c>
      <c r="D14" s="3" t="s">
        <v>7</v>
      </c>
      <c r="E14" t="s">
        <v>4</v>
      </c>
      <c r="F14">
        <v>121.4</v>
      </c>
      <c r="G14">
        <v>8474.7999999999993</v>
      </c>
      <c r="H14">
        <f t="shared" si="0"/>
        <v>8353.4</v>
      </c>
      <c r="I14">
        <f>(H14/8353.4)*100</f>
        <v>100</v>
      </c>
      <c r="M14" s="3"/>
    </row>
    <row r="15" spans="1:18" x14ac:dyDescent="0.25">
      <c r="A15" t="s">
        <v>91</v>
      </c>
      <c r="D15" s="3"/>
      <c r="E15" t="s">
        <v>42</v>
      </c>
      <c r="F15">
        <v>121.4</v>
      </c>
      <c r="G15">
        <v>1891.9</v>
      </c>
      <c r="H15">
        <f t="shared" si="0"/>
        <v>1770.5</v>
      </c>
      <c r="I15">
        <f>(H15/8353.4)*100</f>
        <v>21.194962530227212</v>
      </c>
      <c r="L15" s="5"/>
      <c r="M15" s="6"/>
    </row>
    <row r="16" spans="1:18" x14ac:dyDescent="0.25">
      <c r="A16" t="s">
        <v>92</v>
      </c>
      <c r="D16" s="3"/>
      <c r="E16" t="s">
        <v>5</v>
      </c>
      <c r="F16">
        <v>121.4</v>
      </c>
      <c r="G16">
        <v>2565.9</v>
      </c>
      <c r="H16">
        <f t="shared" si="0"/>
        <v>2444.5</v>
      </c>
      <c r="I16">
        <f>(H16/8353.4)*100</f>
        <v>29.263533411545001</v>
      </c>
      <c r="M16" s="3"/>
    </row>
    <row r="17" spans="1:13" x14ac:dyDescent="0.25">
      <c r="A17" t="s">
        <v>93</v>
      </c>
      <c r="D17" s="3" t="s">
        <v>44</v>
      </c>
      <c r="E17" t="s">
        <v>4</v>
      </c>
      <c r="F17">
        <v>104.2</v>
      </c>
      <c r="G17">
        <v>7168.4</v>
      </c>
      <c r="H17">
        <f t="shared" si="0"/>
        <v>7064.2</v>
      </c>
      <c r="I17">
        <f>(H17/7064.2)*100</f>
        <v>100</v>
      </c>
      <c r="M17" s="3"/>
    </row>
    <row r="18" spans="1:13" x14ac:dyDescent="0.25">
      <c r="A18" t="s">
        <v>94</v>
      </c>
      <c r="D18" s="3"/>
      <c r="E18" t="s">
        <v>42</v>
      </c>
      <c r="F18">
        <v>104.2</v>
      </c>
      <c r="G18">
        <v>1550.5</v>
      </c>
      <c r="H18">
        <f t="shared" si="0"/>
        <v>1446.3</v>
      </c>
      <c r="I18">
        <f>(H18/7064.2)*100</f>
        <v>20.473655898757112</v>
      </c>
      <c r="M18" s="3"/>
    </row>
    <row r="19" spans="1:13" x14ac:dyDescent="0.25">
      <c r="A19" t="s">
        <v>95</v>
      </c>
      <c r="D19" s="3"/>
      <c r="E19" t="s">
        <v>5</v>
      </c>
      <c r="F19">
        <v>104.2</v>
      </c>
      <c r="G19">
        <v>2436.8000000000002</v>
      </c>
      <c r="H19">
        <f t="shared" si="0"/>
        <v>2332.6000000000004</v>
      </c>
      <c r="I19">
        <f>(H19/7064.2)*100</f>
        <v>33.020016420826146</v>
      </c>
      <c r="M19" s="3"/>
    </row>
    <row r="20" spans="1:13" x14ac:dyDescent="0.25">
      <c r="A20" t="s">
        <v>96</v>
      </c>
      <c r="D20" s="3" t="s">
        <v>8</v>
      </c>
      <c r="E20" t="s">
        <v>4</v>
      </c>
      <c r="F20">
        <v>91.8</v>
      </c>
      <c r="G20">
        <v>5387.9</v>
      </c>
      <c r="H20">
        <f t="shared" si="0"/>
        <v>5296.0999999999995</v>
      </c>
      <c r="I20">
        <f>(H20/5296.1)*100</f>
        <v>99.999999999999972</v>
      </c>
      <c r="M20" s="3"/>
    </row>
    <row r="21" spans="1:13" x14ac:dyDescent="0.25">
      <c r="A21" t="s">
        <v>97</v>
      </c>
      <c r="D21" s="3"/>
      <c r="E21" t="s">
        <v>42</v>
      </c>
      <c r="F21">
        <v>91.8</v>
      </c>
      <c r="G21">
        <v>1405.5</v>
      </c>
      <c r="H21">
        <f t="shared" si="0"/>
        <v>1313.7</v>
      </c>
      <c r="I21">
        <f>(H21/5296.1)*100</f>
        <v>24.80504522195578</v>
      </c>
      <c r="M21" s="3"/>
    </row>
    <row r="22" spans="1:13" x14ac:dyDescent="0.25">
      <c r="A22" t="s">
        <v>98</v>
      </c>
      <c r="D22" s="3"/>
      <c r="E22" t="s">
        <v>5</v>
      </c>
      <c r="F22">
        <v>91.8</v>
      </c>
      <c r="G22">
        <v>2066.4</v>
      </c>
      <c r="H22">
        <f t="shared" si="0"/>
        <v>1974.6000000000001</v>
      </c>
      <c r="I22">
        <f>(H22/5296.1)*100</f>
        <v>37.28403919865562</v>
      </c>
      <c r="M22" s="3"/>
    </row>
    <row r="23" spans="1:13" x14ac:dyDescent="0.25">
      <c r="A23" t="s">
        <v>99</v>
      </c>
      <c r="D23" s="3" t="s">
        <v>45</v>
      </c>
      <c r="E23" t="s">
        <v>4</v>
      </c>
      <c r="F23">
        <v>132.1</v>
      </c>
      <c r="G23">
        <v>9345.2999999999993</v>
      </c>
      <c r="H23">
        <f t="shared" si="0"/>
        <v>9213.1999999999989</v>
      </c>
      <c r="I23">
        <f>(H23/9213.2)*100</f>
        <v>99.999999999999972</v>
      </c>
      <c r="M23" s="3"/>
    </row>
    <row r="24" spans="1:13" x14ac:dyDescent="0.25">
      <c r="A24" t="s">
        <v>100</v>
      </c>
      <c r="D24" s="3"/>
      <c r="E24" t="s">
        <v>42</v>
      </c>
      <c r="F24">
        <v>132.1</v>
      </c>
      <c r="G24">
        <v>4661.3</v>
      </c>
      <c r="H24">
        <f t="shared" si="0"/>
        <v>4529.2</v>
      </c>
      <c r="I24">
        <f>(H24/9213.2)*100</f>
        <v>49.159901011592055</v>
      </c>
    </row>
    <row r="25" spans="1:13" x14ac:dyDescent="0.25">
      <c r="A25" t="s">
        <v>101</v>
      </c>
      <c r="D25" s="3"/>
      <c r="E25" t="s">
        <v>5</v>
      </c>
      <c r="F25">
        <v>132.1</v>
      </c>
      <c r="G25">
        <v>5566.1</v>
      </c>
      <c r="H25">
        <f t="shared" si="0"/>
        <v>5434</v>
      </c>
      <c r="I25">
        <f>(H25/9213.2)*100</f>
        <v>58.98059306212825</v>
      </c>
    </row>
    <row r="26" spans="1:13" x14ac:dyDescent="0.25">
      <c r="A26" t="s">
        <v>102</v>
      </c>
      <c r="D26" s="3" t="s">
        <v>46</v>
      </c>
      <c r="E26" t="s">
        <v>4</v>
      </c>
      <c r="F26">
        <v>142.19999999999999</v>
      </c>
      <c r="G26">
        <v>10338.700000000001</v>
      </c>
      <c r="H26">
        <f t="shared" si="0"/>
        <v>10196.5</v>
      </c>
      <c r="I26">
        <f>(H26/10196.5)*100</f>
        <v>100</v>
      </c>
    </row>
    <row r="27" spans="1:13" x14ac:dyDescent="0.25">
      <c r="A27" t="s">
        <v>103</v>
      </c>
      <c r="D27" s="3"/>
      <c r="E27" t="s">
        <v>42</v>
      </c>
      <c r="F27">
        <v>142.19999999999999</v>
      </c>
      <c r="G27">
        <v>4829.7</v>
      </c>
      <c r="H27">
        <f t="shared" si="0"/>
        <v>4687.5</v>
      </c>
      <c r="I27">
        <f>(H27/10196.5)*100</f>
        <v>45.971656941107241</v>
      </c>
    </row>
    <row r="28" spans="1:13" x14ac:dyDescent="0.25">
      <c r="A28" t="s">
        <v>104</v>
      </c>
      <c r="D28" s="3"/>
      <c r="E28" t="s">
        <v>5</v>
      </c>
      <c r="F28">
        <v>142.19999999999999</v>
      </c>
      <c r="G28">
        <v>5586.4</v>
      </c>
      <c r="H28">
        <f t="shared" si="0"/>
        <v>5444.2</v>
      </c>
      <c r="I28">
        <f>(H28/10196.5)*100</f>
        <v>53.392830873338895</v>
      </c>
    </row>
    <row r="29" spans="1:13" x14ac:dyDescent="0.25">
      <c r="A29" t="s">
        <v>105</v>
      </c>
      <c r="D29" s="3" t="s">
        <v>47</v>
      </c>
      <c r="E29" t="s">
        <v>4</v>
      </c>
      <c r="F29">
        <v>122.1</v>
      </c>
      <c r="G29">
        <v>8434.4</v>
      </c>
      <c r="H29">
        <f t="shared" si="0"/>
        <v>8312.2999999999993</v>
      </c>
      <c r="I29">
        <f>(H29/8312.3)*100</f>
        <v>100</v>
      </c>
    </row>
    <row r="30" spans="1:13" x14ac:dyDescent="0.25">
      <c r="A30" t="s">
        <v>106</v>
      </c>
      <c r="D30" s="3"/>
      <c r="E30" t="s">
        <v>42</v>
      </c>
      <c r="F30">
        <v>122.1</v>
      </c>
      <c r="G30">
        <v>4339.5</v>
      </c>
      <c r="H30">
        <f t="shared" si="0"/>
        <v>4217.3999999999996</v>
      </c>
      <c r="I30">
        <f>(H30/8312.3)*100</f>
        <v>50.736859834221569</v>
      </c>
    </row>
    <row r="31" spans="1:13" x14ac:dyDescent="0.25">
      <c r="A31" t="s">
        <v>107</v>
      </c>
      <c r="D31" s="3"/>
      <c r="E31" t="s">
        <v>5</v>
      </c>
      <c r="F31">
        <v>122.1</v>
      </c>
      <c r="G31">
        <v>5104.1000000000004</v>
      </c>
      <c r="H31">
        <f t="shared" si="0"/>
        <v>4982</v>
      </c>
      <c r="I31">
        <f>(H31/8312.3)*100</f>
        <v>59.93527663823491</v>
      </c>
    </row>
    <row r="32" spans="1:13" x14ac:dyDescent="0.25">
      <c r="A32" t="s">
        <v>108</v>
      </c>
    </row>
    <row r="33" spans="1:1" x14ac:dyDescent="0.25">
      <c r="A33" t="s">
        <v>109</v>
      </c>
    </row>
    <row r="34" spans="1:1" x14ac:dyDescent="0.25">
      <c r="A34" t="s">
        <v>110</v>
      </c>
    </row>
    <row r="35" spans="1:1" x14ac:dyDescent="0.25">
      <c r="A35" t="s">
        <v>111</v>
      </c>
    </row>
    <row r="36" spans="1:1" x14ac:dyDescent="0.25">
      <c r="A36" t="s">
        <v>112</v>
      </c>
    </row>
    <row r="37" spans="1:1" x14ac:dyDescent="0.25">
      <c r="A37" t="s">
        <v>113</v>
      </c>
    </row>
    <row r="38" spans="1:1" x14ac:dyDescent="0.25">
      <c r="A38" t="s">
        <v>114</v>
      </c>
    </row>
    <row r="39" spans="1:1" x14ac:dyDescent="0.25">
      <c r="A39" t="s">
        <v>115</v>
      </c>
    </row>
    <row r="40" spans="1:1" x14ac:dyDescent="0.25">
      <c r="A40" t="s">
        <v>116</v>
      </c>
    </row>
    <row r="41" spans="1:1" x14ac:dyDescent="0.25">
      <c r="A41" t="s">
        <v>117</v>
      </c>
    </row>
    <row r="42" spans="1:1" x14ac:dyDescent="0.25">
      <c r="A42" t="s">
        <v>118</v>
      </c>
    </row>
    <row r="43" spans="1:1" x14ac:dyDescent="0.25">
      <c r="A43" t="s">
        <v>119</v>
      </c>
    </row>
    <row r="44" spans="1:1" x14ac:dyDescent="0.25">
      <c r="A44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FEE6-185E-4DB1-8FB3-F9049703FFBA}">
  <dimension ref="A1:R44"/>
  <sheetViews>
    <sheetView workbookViewId="0">
      <selection activeCell="L5" sqref="L5:R23"/>
    </sheetView>
  </sheetViews>
  <sheetFormatPr defaultRowHeight="15" x14ac:dyDescent="0.25"/>
  <cols>
    <col min="1" max="1" width="49.28515625" bestFit="1" customWidth="1"/>
    <col min="4" max="4" width="12.28515625" bestFit="1" customWidth="1"/>
    <col min="6" max="6" width="11.85546875" customWidth="1"/>
    <col min="8" max="8" width="12.7109375" customWidth="1"/>
    <col min="9" max="9" width="9.7109375" customWidth="1"/>
  </cols>
  <sheetData>
    <row r="1" spans="1:18" x14ac:dyDescent="0.25">
      <c r="A1" t="s">
        <v>160</v>
      </c>
    </row>
    <row r="3" spans="1:18" x14ac:dyDescent="0.25">
      <c r="A3" t="s">
        <v>0</v>
      </c>
    </row>
    <row r="4" spans="1:18" ht="45" x14ac:dyDescent="0.25">
      <c r="F4" s="1" t="s">
        <v>9</v>
      </c>
      <c r="G4" s="1" t="s">
        <v>10</v>
      </c>
      <c r="H4" s="1" t="s">
        <v>11</v>
      </c>
      <c r="I4" s="1" t="s">
        <v>12</v>
      </c>
    </row>
    <row r="5" spans="1:18" x14ac:dyDescent="0.25">
      <c r="A5" t="s">
        <v>1</v>
      </c>
      <c r="D5" s="3" t="s">
        <v>3</v>
      </c>
      <c r="E5" t="s">
        <v>4</v>
      </c>
      <c r="F5" s="2">
        <v>154.69999999999999</v>
      </c>
      <c r="G5">
        <v>13314.8</v>
      </c>
      <c r="H5">
        <f t="shared" ref="H5:H31" si="0">G5-F5</f>
        <v>13160.099999999999</v>
      </c>
      <c r="I5">
        <f>(H5/13160.1)*100</f>
        <v>99.999999999999986</v>
      </c>
      <c r="N5" s="4"/>
      <c r="O5" s="4"/>
      <c r="P5" s="4"/>
      <c r="Q5" s="4"/>
      <c r="R5" s="4"/>
    </row>
    <row r="6" spans="1:18" x14ac:dyDescent="0.25">
      <c r="A6" t="s">
        <v>2</v>
      </c>
      <c r="D6" s="3"/>
      <c r="E6" t="s">
        <v>42</v>
      </c>
      <c r="F6" s="2">
        <v>154.69999999999999</v>
      </c>
      <c r="G6">
        <v>1074</v>
      </c>
      <c r="H6">
        <f t="shared" si="0"/>
        <v>919.3</v>
      </c>
      <c r="I6">
        <f>(H6/13160.1)*100</f>
        <v>6.9855092286532781</v>
      </c>
      <c r="L6" s="5"/>
      <c r="M6" s="6"/>
    </row>
    <row r="7" spans="1:18" x14ac:dyDescent="0.25">
      <c r="A7" t="s">
        <v>121</v>
      </c>
      <c r="D7" s="3"/>
      <c r="E7" t="s">
        <v>5</v>
      </c>
      <c r="F7" s="2">
        <v>154.69999999999999</v>
      </c>
      <c r="G7">
        <v>2742.6</v>
      </c>
      <c r="H7">
        <f t="shared" si="0"/>
        <v>2587.9</v>
      </c>
      <c r="I7">
        <f>(H7/13160.1)*100</f>
        <v>19.664744188873946</v>
      </c>
      <c r="M7" s="3"/>
    </row>
    <row r="8" spans="1:18" x14ac:dyDescent="0.25">
      <c r="A8" t="s">
        <v>122</v>
      </c>
      <c r="D8" s="3" t="s">
        <v>43</v>
      </c>
      <c r="E8" t="s">
        <v>4</v>
      </c>
      <c r="F8">
        <v>109.4</v>
      </c>
      <c r="G8">
        <v>10597.8</v>
      </c>
      <c r="H8">
        <f t="shared" si="0"/>
        <v>10488.4</v>
      </c>
      <c r="I8">
        <f>(H8/10488.4)*100</f>
        <v>100</v>
      </c>
      <c r="M8" s="3"/>
    </row>
    <row r="9" spans="1:18" x14ac:dyDescent="0.25">
      <c r="A9" t="s">
        <v>123</v>
      </c>
      <c r="D9" s="3"/>
      <c r="E9" t="s">
        <v>42</v>
      </c>
      <c r="F9">
        <v>109.4</v>
      </c>
      <c r="G9">
        <v>1306.9000000000001</v>
      </c>
      <c r="H9">
        <f t="shared" si="0"/>
        <v>1197.5</v>
      </c>
      <c r="I9">
        <f>(H9/10488.4)*100</f>
        <v>11.417375386140879</v>
      </c>
      <c r="M9" s="3"/>
    </row>
    <row r="10" spans="1:18" x14ac:dyDescent="0.25">
      <c r="A10" t="s">
        <v>124</v>
      </c>
      <c r="D10" s="3"/>
      <c r="E10" t="s">
        <v>5</v>
      </c>
      <c r="F10">
        <v>109.4</v>
      </c>
      <c r="G10">
        <v>2517.6</v>
      </c>
      <c r="H10">
        <f t="shared" si="0"/>
        <v>2408.1999999999998</v>
      </c>
      <c r="I10">
        <f>(H10/10488.4)*100</f>
        <v>22.960604095953624</v>
      </c>
      <c r="M10" s="3"/>
    </row>
    <row r="11" spans="1:18" x14ac:dyDescent="0.25">
      <c r="A11" t="s">
        <v>125</v>
      </c>
      <c r="D11" s="3" t="s">
        <v>6</v>
      </c>
      <c r="E11" t="s">
        <v>4</v>
      </c>
      <c r="F11">
        <v>129.9</v>
      </c>
      <c r="G11">
        <v>12608.4</v>
      </c>
      <c r="H11">
        <f t="shared" si="0"/>
        <v>12478.5</v>
      </c>
      <c r="I11">
        <f>(H11/12478.5)*100</f>
        <v>100</v>
      </c>
      <c r="M11" s="3"/>
    </row>
    <row r="12" spans="1:18" x14ac:dyDescent="0.25">
      <c r="A12" t="s">
        <v>126</v>
      </c>
      <c r="D12" s="3"/>
      <c r="E12" t="s">
        <v>42</v>
      </c>
      <c r="F12">
        <v>129.9</v>
      </c>
      <c r="G12">
        <v>2776.9</v>
      </c>
      <c r="H12">
        <f t="shared" si="0"/>
        <v>2647</v>
      </c>
      <c r="I12">
        <f>(H12/12478.5)*100</f>
        <v>21.212485475017029</v>
      </c>
      <c r="M12" s="3"/>
    </row>
    <row r="13" spans="1:18" x14ac:dyDescent="0.25">
      <c r="A13" t="s">
        <v>127</v>
      </c>
      <c r="D13" s="3"/>
      <c r="E13" t="s">
        <v>5</v>
      </c>
      <c r="F13">
        <v>129.9</v>
      </c>
      <c r="G13">
        <v>3850.8</v>
      </c>
      <c r="H13">
        <f t="shared" si="0"/>
        <v>3720.9</v>
      </c>
      <c r="I13">
        <f>(H13/12478.5)*100</f>
        <v>29.818487799014303</v>
      </c>
      <c r="M13" s="3"/>
    </row>
    <row r="14" spans="1:18" x14ac:dyDescent="0.25">
      <c r="A14" t="s">
        <v>128</v>
      </c>
      <c r="D14" s="3" t="s">
        <v>7</v>
      </c>
      <c r="E14" t="s">
        <v>4</v>
      </c>
      <c r="F14">
        <v>134.19999999999999</v>
      </c>
      <c r="G14">
        <v>13714.9</v>
      </c>
      <c r="H14">
        <f t="shared" si="0"/>
        <v>13580.699999999999</v>
      </c>
      <c r="I14">
        <f>(H14/13580.7)*100</f>
        <v>99.999999999999986</v>
      </c>
      <c r="M14" s="3"/>
    </row>
    <row r="15" spans="1:18" x14ac:dyDescent="0.25">
      <c r="A15" t="s">
        <v>129</v>
      </c>
      <c r="D15" s="3"/>
      <c r="E15" t="s">
        <v>42</v>
      </c>
      <c r="F15">
        <v>134.19999999999999</v>
      </c>
      <c r="G15">
        <v>3516.5</v>
      </c>
      <c r="H15">
        <f t="shared" si="0"/>
        <v>3382.3</v>
      </c>
      <c r="I15">
        <f>(H15/13580.7)*100</f>
        <v>24.905196344812861</v>
      </c>
      <c r="L15" s="5"/>
      <c r="M15" s="6"/>
    </row>
    <row r="16" spans="1:18" x14ac:dyDescent="0.25">
      <c r="A16" t="s">
        <v>130</v>
      </c>
      <c r="D16" s="3"/>
      <c r="E16" t="s">
        <v>5</v>
      </c>
      <c r="F16">
        <v>134.19999999999999</v>
      </c>
      <c r="G16">
        <v>4289.1000000000004</v>
      </c>
      <c r="H16">
        <f t="shared" si="0"/>
        <v>4154.9000000000005</v>
      </c>
      <c r="I16">
        <f>(H16/13580.7)*100</f>
        <v>30.594151995110714</v>
      </c>
      <c r="M16" s="3"/>
    </row>
    <row r="17" spans="1:13" x14ac:dyDescent="0.25">
      <c r="A17" t="s">
        <v>131</v>
      </c>
      <c r="D17" s="3" t="s">
        <v>44</v>
      </c>
      <c r="E17" t="s">
        <v>4</v>
      </c>
      <c r="F17">
        <v>118.9</v>
      </c>
      <c r="G17">
        <v>8627.6</v>
      </c>
      <c r="H17">
        <f t="shared" si="0"/>
        <v>8508.7000000000007</v>
      </c>
      <c r="I17">
        <f>(H17/8508.7)*100</f>
        <v>100</v>
      </c>
      <c r="M17" s="3"/>
    </row>
    <row r="18" spans="1:13" x14ac:dyDescent="0.25">
      <c r="A18" t="s">
        <v>132</v>
      </c>
      <c r="D18" s="3"/>
      <c r="E18" t="s">
        <v>42</v>
      </c>
      <c r="F18">
        <v>118.9</v>
      </c>
      <c r="G18">
        <v>2384.1</v>
      </c>
      <c r="H18">
        <f t="shared" si="0"/>
        <v>2265.1999999999998</v>
      </c>
      <c r="I18">
        <f>(H18/8508.7)*100</f>
        <v>26.622163197668264</v>
      </c>
      <c r="M18" s="3"/>
    </row>
    <row r="19" spans="1:13" x14ac:dyDescent="0.25">
      <c r="A19" t="s">
        <v>133</v>
      </c>
      <c r="D19" s="3"/>
      <c r="E19" t="s">
        <v>5</v>
      </c>
      <c r="F19">
        <v>118.9</v>
      </c>
      <c r="G19">
        <v>3365.5</v>
      </c>
      <c r="H19">
        <f t="shared" si="0"/>
        <v>3246.6</v>
      </c>
      <c r="I19">
        <f>(H19/8508.7)*100</f>
        <v>38.156240083679052</v>
      </c>
      <c r="M19" s="3"/>
    </row>
    <row r="20" spans="1:13" x14ac:dyDescent="0.25">
      <c r="A20" t="s">
        <v>134</v>
      </c>
      <c r="D20" s="3" t="s">
        <v>8</v>
      </c>
      <c r="E20" t="s">
        <v>4</v>
      </c>
      <c r="F20">
        <v>97.5</v>
      </c>
      <c r="G20">
        <v>7635.1</v>
      </c>
      <c r="H20">
        <f t="shared" si="0"/>
        <v>7537.6</v>
      </c>
      <c r="I20">
        <f>(H20/7537.6)*100</f>
        <v>100</v>
      </c>
      <c r="M20" s="3"/>
    </row>
    <row r="21" spans="1:13" x14ac:dyDescent="0.25">
      <c r="A21" t="s">
        <v>135</v>
      </c>
      <c r="D21" s="3"/>
      <c r="E21" t="s">
        <v>42</v>
      </c>
      <c r="F21">
        <v>97.5</v>
      </c>
      <c r="G21">
        <v>2284.4</v>
      </c>
      <c r="H21">
        <f t="shared" si="0"/>
        <v>2186.9</v>
      </c>
      <c r="I21">
        <f>(H21/7537.6)*100</f>
        <v>29.013213755041395</v>
      </c>
      <c r="M21" s="3"/>
    </row>
    <row r="22" spans="1:13" x14ac:dyDescent="0.25">
      <c r="A22" t="s">
        <v>136</v>
      </c>
      <c r="D22" s="3"/>
      <c r="E22" t="s">
        <v>5</v>
      </c>
      <c r="F22">
        <v>97.5</v>
      </c>
      <c r="G22">
        <v>3052</v>
      </c>
      <c r="H22">
        <f t="shared" si="0"/>
        <v>2954.5</v>
      </c>
      <c r="I22">
        <f>(H22/7537.6)*100</f>
        <v>39.196826576098495</v>
      </c>
      <c r="M22" s="3"/>
    </row>
    <row r="23" spans="1:13" x14ac:dyDescent="0.25">
      <c r="A23" t="s">
        <v>137</v>
      </c>
      <c r="D23" s="3" t="s">
        <v>45</v>
      </c>
      <c r="E23" t="s">
        <v>4</v>
      </c>
      <c r="F23">
        <v>128.9</v>
      </c>
      <c r="G23">
        <v>11802.3</v>
      </c>
      <c r="H23">
        <f t="shared" si="0"/>
        <v>11673.4</v>
      </c>
      <c r="I23">
        <f>(H23/11673.4)*100</f>
        <v>100</v>
      </c>
      <c r="M23" s="3"/>
    </row>
    <row r="24" spans="1:13" x14ac:dyDescent="0.25">
      <c r="A24" t="s">
        <v>138</v>
      </c>
      <c r="D24" s="3"/>
      <c r="E24" t="s">
        <v>42</v>
      </c>
      <c r="F24">
        <v>128.9</v>
      </c>
      <c r="G24">
        <v>6016.7</v>
      </c>
      <c r="H24">
        <f t="shared" si="0"/>
        <v>5887.8</v>
      </c>
      <c r="I24">
        <f>(H24/11673.4)*100</f>
        <v>50.437747357239537</v>
      </c>
    </row>
    <row r="25" spans="1:13" x14ac:dyDescent="0.25">
      <c r="A25" t="s">
        <v>139</v>
      </c>
      <c r="D25" s="3"/>
      <c r="E25" t="s">
        <v>5</v>
      </c>
      <c r="F25">
        <v>128.9</v>
      </c>
      <c r="G25">
        <v>6416.2</v>
      </c>
      <c r="H25">
        <f t="shared" si="0"/>
        <v>6287.3</v>
      </c>
      <c r="I25">
        <f>(H25/11673.4)*100</f>
        <v>53.860057909435135</v>
      </c>
    </row>
    <row r="26" spans="1:13" x14ac:dyDescent="0.25">
      <c r="A26" t="s">
        <v>140</v>
      </c>
      <c r="D26" s="3" t="s">
        <v>46</v>
      </c>
      <c r="E26" t="s">
        <v>4</v>
      </c>
      <c r="F26">
        <v>150.4</v>
      </c>
      <c r="G26">
        <v>14931.2</v>
      </c>
      <c r="H26">
        <f t="shared" si="0"/>
        <v>14780.800000000001</v>
      </c>
      <c r="I26">
        <f>(H26/14780.8)*100</f>
        <v>100.00000000000003</v>
      </c>
    </row>
    <row r="27" spans="1:13" x14ac:dyDescent="0.25">
      <c r="A27" t="s">
        <v>141</v>
      </c>
      <c r="D27" s="3"/>
      <c r="E27" t="s">
        <v>42</v>
      </c>
      <c r="F27">
        <v>150.4</v>
      </c>
      <c r="G27">
        <v>7212.3</v>
      </c>
      <c r="H27">
        <f t="shared" si="0"/>
        <v>7061.9000000000005</v>
      </c>
      <c r="I27">
        <f>(H27/14780.8)*100</f>
        <v>47.777522190950428</v>
      </c>
    </row>
    <row r="28" spans="1:13" x14ac:dyDescent="0.25">
      <c r="A28" t="s">
        <v>142</v>
      </c>
      <c r="D28" s="3"/>
      <c r="E28" t="s">
        <v>5</v>
      </c>
      <c r="F28">
        <v>150.4</v>
      </c>
      <c r="G28">
        <v>7541</v>
      </c>
      <c r="H28">
        <f t="shared" si="0"/>
        <v>7390.6</v>
      </c>
      <c r="I28">
        <f>(H28/14780.8)*100</f>
        <v>50.001353106733063</v>
      </c>
    </row>
    <row r="29" spans="1:13" x14ac:dyDescent="0.25">
      <c r="A29" t="s">
        <v>143</v>
      </c>
      <c r="D29" s="3" t="s">
        <v>47</v>
      </c>
      <c r="E29" t="s">
        <v>4</v>
      </c>
      <c r="F29">
        <v>147</v>
      </c>
      <c r="G29">
        <v>13351.1</v>
      </c>
      <c r="H29">
        <f t="shared" si="0"/>
        <v>13204.1</v>
      </c>
      <c r="I29">
        <f>(H29/13204.1)*100</f>
        <v>100</v>
      </c>
    </row>
    <row r="30" spans="1:13" x14ac:dyDescent="0.25">
      <c r="A30" t="s">
        <v>144</v>
      </c>
      <c r="D30" s="3"/>
      <c r="E30" t="s">
        <v>42</v>
      </c>
      <c r="F30">
        <v>147</v>
      </c>
      <c r="G30">
        <v>7211.5</v>
      </c>
      <c r="H30">
        <f t="shared" si="0"/>
        <v>7064.5</v>
      </c>
      <c r="I30">
        <f>(H30/13204.1)*100</f>
        <v>53.502321248703055</v>
      </c>
    </row>
    <row r="31" spans="1:13" x14ac:dyDescent="0.25">
      <c r="A31" t="s">
        <v>145</v>
      </c>
      <c r="D31" s="3"/>
      <c r="E31" t="s">
        <v>5</v>
      </c>
      <c r="F31">
        <v>147</v>
      </c>
      <c r="G31">
        <v>8488.7000000000007</v>
      </c>
      <c r="H31">
        <f t="shared" si="0"/>
        <v>8341.7000000000007</v>
      </c>
      <c r="I31">
        <f>(H31/13204.1)*100</f>
        <v>63.175074408706386</v>
      </c>
    </row>
    <row r="32" spans="1:13" x14ac:dyDescent="0.25">
      <c r="A32" t="s">
        <v>146</v>
      </c>
    </row>
    <row r="33" spans="1:1" x14ac:dyDescent="0.25">
      <c r="A33" t="s">
        <v>147</v>
      </c>
    </row>
    <row r="34" spans="1:1" x14ac:dyDescent="0.25">
      <c r="A34" t="s">
        <v>148</v>
      </c>
    </row>
    <row r="35" spans="1:1" x14ac:dyDescent="0.25">
      <c r="A35" t="s">
        <v>149</v>
      </c>
    </row>
    <row r="36" spans="1:1" x14ac:dyDescent="0.25">
      <c r="A36" t="s">
        <v>150</v>
      </c>
    </row>
    <row r="37" spans="1:1" x14ac:dyDescent="0.25">
      <c r="A37" t="s">
        <v>151</v>
      </c>
    </row>
    <row r="38" spans="1:1" x14ac:dyDescent="0.25">
      <c r="A38" t="s">
        <v>152</v>
      </c>
    </row>
    <row r="39" spans="1:1" x14ac:dyDescent="0.25">
      <c r="A39" t="s">
        <v>153</v>
      </c>
    </row>
    <row r="40" spans="1:1" x14ac:dyDescent="0.25">
      <c r="A40" t="s">
        <v>154</v>
      </c>
    </row>
    <row r="41" spans="1:1" x14ac:dyDescent="0.25">
      <c r="A41" t="s">
        <v>155</v>
      </c>
    </row>
    <row r="42" spans="1:1" x14ac:dyDescent="0.25">
      <c r="A42" t="s">
        <v>156</v>
      </c>
    </row>
    <row r="43" spans="1:1" x14ac:dyDescent="0.25">
      <c r="A43" t="s">
        <v>157</v>
      </c>
    </row>
    <row r="44" spans="1:1" x14ac:dyDescent="0.25">
      <c r="A44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6BB5-82BB-4DB2-94D7-818DFB77F482}">
  <dimension ref="A1:R44"/>
  <sheetViews>
    <sheetView workbookViewId="0">
      <selection activeCell="L5" sqref="L5:R23"/>
    </sheetView>
  </sheetViews>
  <sheetFormatPr defaultRowHeight="15" x14ac:dyDescent="0.25"/>
  <cols>
    <col min="1" max="1" width="49.28515625" bestFit="1" customWidth="1"/>
    <col min="4" max="4" width="12.28515625" bestFit="1" customWidth="1"/>
    <col min="5" max="5" width="8.42578125" bestFit="1" customWidth="1"/>
    <col min="6" max="6" width="11.42578125" customWidth="1"/>
    <col min="8" max="8" width="12" customWidth="1"/>
    <col min="9" max="9" width="10.140625" customWidth="1"/>
  </cols>
  <sheetData>
    <row r="1" spans="1:18" x14ac:dyDescent="0.25">
      <c r="A1" t="s">
        <v>160</v>
      </c>
    </row>
    <row r="3" spans="1:18" x14ac:dyDescent="0.25">
      <c r="A3" t="s">
        <v>0</v>
      </c>
    </row>
    <row r="4" spans="1:18" ht="30" x14ac:dyDescent="0.25">
      <c r="F4" s="1" t="s">
        <v>9</v>
      </c>
      <c r="G4" s="1" t="s">
        <v>10</v>
      </c>
      <c r="H4" s="1" t="s">
        <v>11</v>
      </c>
      <c r="I4" s="1" t="s">
        <v>12</v>
      </c>
    </row>
    <row r="5" spans="1:18" x14ac:dyDescent="0.25">
      <c r="A5" t="s">
        <v>1</v>
      </c>
      <c r="D5" s="3" t="s">
        <v>3</v>
      </c>
      <c r="E5" t="s">
        <v>4</v>
      </c>
      <c r="F5" s="2">
        <v>159.19999999999999</v>
      </c>
      <c r="G5">
        <v>12439.8</v>
      </c>
      <c r="H5">
        <f t="shared" ref="H5:H31" si="0">G5-F5</f>
        <v>12280.599999999999</v>
      </c>
      <c r="I5">
        <f>(H5/12280.6)*100</f>
        <v>99.999999999999986</v>
      </c>
      <c r="N5" s="4"/>
      <c r="O5" s="4"/>
      <c r="P5" s="4"/>
      <c r="Q5" s="4"/>
      <c r="R5" s="4"/>
    </row>
    <row r="6" spans="1:18" x14ac:dyDescent="0.25">
      <c r="A6" t="s">
        <v>2</v>
      </c>
      <c r="D6" s="3"/>
      <c r="E6" t="s">
        <v>42</v>
      </c>
      <c r="F6" s="2">
        <v>159.19999999999999</v>
      </c>
      <c r="G6">
        <v>915.8</v>
      </c>
      <c r="H6">
        <f t="shared" si="0"/>
        <v>756.59999999999991</v>
      </c>
      <c r="I6">
        <f t="shared" ref="I6:I7" si="1">(H6/12280.6)*100</f>
        <v>6.1609367620474558</v>
      </c>
      <c r="L6" s="5"/>
      <c r="M6" s="6"/>
    </row>
    <row r="7" spans="1:18" x14ac:dyDescent="0.25">
      <c r="A7" t="s">
        <v>161</v>
      </c>
      <c r="D7" s="3"/>
      <c r="E7" t="s">
        <v>5</v>
      </c>
      <c r="F7" s="2">
        <v>159.19999999999999</v>
      </c>
      <c r="G7">
        <v>2513.1999999999998</v>
      </c>
      <c r="H7">
        <f t="shared" si="0"/>
        <v>2354</v>
      </c>
      <c r="I7">
        <f t="shared" si="1"/>
        <v>19.168444538540459</v>
      </c>
      <c r="M7" s="3"/>
    </row>
    <row r="8" spans="1:18" x14ac:dyDescent="0.25">
      <c r="A8" t="s">
        <v>162</v>
      </c>
      <c r="D8" s="3" t="s">
        <v>43</v>
      </c>
      <c r="E8" t="s">
        <v>4</v>
      </c>
      <c r="F8">
        <v>119.5</v>
      </c>
      <c r="G8">
        <v>8686.2999999999993</v>
      </c>
      <c r="H8">
        <f t="shared" si="0"/>
        <v>8566.7999999999993</v>
      </c>
      <c r="I8">
        <f>(H8/8566.8)*100</f>
        <v>100</v>
      </c>
      <c r="M8" s="3"/>
    </row>
    <row r="9" spans="1:18" x14ac:dyDescent="0.25">
      <c r="A9" t="s">
        <v>163</v>
      </c>
      <c r="D9" s="3"/>
      <c r="E9" t="s">
        <v>42</v>
      </c>
      <c r="F9">
        <v>119.5</v>
      </c>
      <c r="G9">
        <v>902.6</v>
      </c>
      <c r="H9">
        <f t="shared" si="0"/>
        <v>783.1</v>
      </c>
      <c r="I9">
        <f t="shared" ref="I9:I10" si="2">(H9/8566.8)*100</f>
        <v>9.1411028622122625</v>
      </c>
      <c r="M9" s="3"/>
    </row>
    <row r="10" spans="1:18" x14ac:dyDescent="0.25">
      <c r="A10" t="s">
        <v>164</v>
      </c>
      <c r="D10" s="3"/>
      <c r="E10" t="s">
        <v>5</v>
      </c>
      <c r="F10">
        <v>119.5</v>
      </c>
      <c r="G10">
        <v>2172.1999999999998</v>
      </c>
      <c r="H10">
        <f t="shared" si="0"/>
        <v>2052.6999999999998</v>
      </c>
      <c r="I10">
        <f t="shared" si="2"/>
        <v>23.961105663725078</v>
      </c>
      <c r="M10" s="3"/>
    </row>
    <row r="11" spans="1:18" x14ac:dyDescent="0.25">
      <c r="A11" t="s">
        <v>165</v>
      </c>
      <c r="D11" s="3" t="s">
        <v>6</v>
      </c>
      <c r="E11" t="s">
        <v>4</v>
      </c>
      <c r="F11">
        <v>151.5</v>
      </c>
      <c r="G11">
        <v>10203.9</v>
      </c>
      <c r="H11">
        <f t="shared" si="0"/>
        <v>10052.4</v>
      </c>
      <c r="I11">
        <f>(H11/10052.4)*100</f>
        <v>100</v>
      </c>
      <c r="M11" s="3"/>
    </row>
    <row r="12" spans="1:18" x14ac:dyDescent="0.25">
      <c r="A12" t="s">
        <v>166</v>
      </c>
      <c r="D12" s="3"/>
      <c r="E12" t="s">
        <v>42</v>
      </c>
      <c r="F12">
        <v>151.5</v>
      </c>
      <c r="G12">
        <v>1865.8</v>
      </c>
      <c r="H12">
        <f t="shared" si="0"/>
        <v>1714.3</v>
      </c>
      <c r="I12">
        <f t="shared" ref="I12:I13" si="3">(H12/10052.4)*100</f>
        <v>17.053638931996339</v>
      </c>
      <c r="M12" s="3"/>
    </row>
    <row r="13" spans="1:18" x14ac:dyDescent="0.25">
      <c r="A13" t="s">
        <v>167</v>
      </c>
      <c r="D13" s="3"/>
      <c r="E13" t="s">
        <v>5</v>
      </c>
      <c r="F13">
        <v>151.5</v>
      </c>
      <c r="G13">
        <v>3387.5</v>
      </c>
      <c r="H13">
        <f t="shared" si="0"/>
        <v>3236</v>
      </c>
      <c r="I13">
        <f t="shared" si="3"/>
        <v>32.191317496319286</v>
      </c>
      <c r="M13" s="3"/>
    </row>
    <row r="14" spans="1:18" x14ac:dyDescent="0.25">
      <c r="A14" t="s">
        <v>168</v>
      </c>
      <c r="D14" s="3" t="s">
        <v>7</v>
      </c>
      <c r="E14" t="s">
        <v>4</v>
      </c>
      <c r="F14">
        <v>136.80000000000001</v>
      </c>
      <c r="G14">
        <v>9198</v>
      </c>
      <c r="H14">
        <f t="shared" si="0"/>
        <v>9061.2000000000007</v>
      </c>
      <c r="I14">
        <f>(H14/9061.2)*100</f>
        <v>100</v>
      </c>
      <c r="M14" s="3"/>
    </row>
    <row r="15" spans="1:18" x14ac:dyDescent="0.25">
      <c r="A15" t="s">
        <v>169</v>
      </c>
      <c r="D15" s="3"/>
      <c r="E15" t="s">
        <v>42</v>
      </c>
      <c r="F15">
        <v>136.80000000000001</v>
      </c>
      <c r="G15">
        <v>1739.8</v>
      </c>
      <c r="H15">
        <f t="shared" si="0"/>
        <v>1603</v>
      </c>
      <c r="I15">
        <f t="shared" ref="I15:I16" si="4">(H15/9061.2)*100</f>
        <v>17.690813578775437</v>
      </c>
      <c r="L15" s="5"/>
      <c r="M15" s="6"/>
    </row>
    <row r="16" spans="1:18" x14ac:dyDescent="0.25">
      <c r="A16" t="s">
        <v>170</v>
      </c>
      <c r="D16" s="3"/>
      <c r="E16" t="s">
        <v>5</v>
      </c>
      <c r="F16">
        <v>136.80000000000001</v>
      </c>
      <c r="G16">
        <v>2923.6</v>
      </c>
      <c r="H16">
        <f t="shared" si="0"/>
        <v>2786.7999999999997</v>
      </c>
      <c r="I16">
        <f t="shared" si="4"/>
        <v>30.755308347680216</v>
      </c>
      <c r="M16" s="3"/>
    </row>
    <row r="17" spans="1:13" x14ac:dyDescent="0.25">
      <c r="A17" t="s">
        <v>171</v>
      </c>
      <c r="D17" s="3" t="s">
        <v>44</v>
      </c>
      <c r="E17" t="s">
        <v>4</v>
      </c>
      <c r="F17">
        <v>119.5</v>
      </c>
      <c r="G17">
        <v>7735.1</v>
      </c>
      <c r="H17">
        <f t="shared" si="0"/>
        <v>7615.6</v>
      </c>
      <c r="I17">
        <f>(H17/7615.6)*100</f>
        <v>100</v>
      </c>
      <c r="M17" s="3"/>
    </row>
    <row r="18" spans="1:13" x14ac:dyDescent="0.25">
      <c r="A18" t="s">
        <v>172</v>
      </c>
      <c r="D18" s="3"/>
      <c r="E18" t="s">
        <v>42</v>
      </c>
      <c r="F18">
        <v>119.5</v>
      </c>
      <c r="G18">
        <v>1590.6</v>
      </c>
      <c r="H18">
        <f t="shared" si="0"/>
        <v>1471.1</v>
      </c>
      <c r="I18">
        <f t="shared" ref="I18:I19" si="5">(H18/7615.6)*100</f>
        <v>19.316928410105572</v>
      </c>
      <c r="M18" s="3"/>
    </row>
    <row r="19" spans="1:13" x14ac:dyDescent="0.25">
      <c r="A19" t="s">
        <v>173</v>
      </c>
      <c r="D19" s="3"/>
      <c r="E19" t="s">
        <v>5</v>
      </c>
      <c r="F19">
        <v>119.5</v>
      </c>
      <c r="G19">
        <v>2849</v>
      </c>
      <c r="H19">
        <f t="shared" si="0"/>
        <v>2729.5</v>
      </c>
      <c r="I19">
        <f t="shared" si="5"/>
        <v>35.840905509743159</v>
      </c>
      <c r="M19" s="3"/>
    </row>
    <row r="20" spans="1:13" x14ac:dyDescent="0.25">
      <c r="A20" t="s">
        <v>174</v>
      </c>
      <c r="D20" s="3" t="s">
        <v>8</v>
      </c>
      <c r="E20" t="s">
        <v>4</v>
      </c>
      <c r="F20">
        <v>93.9</v>
      </c>
      <c r="G20">
        <v>5675.8</v>
      </c>
      <c r="H20">
        <f t="shared" si="0"/>
        <v>5581.9000000000005</v>
      </c>
      <c r="I20">
        <f>(H20/5581.9)*100</f>
        <v>100.00000000000003</v>
      </c>
      <c r="M20" s="3"/>
    </row>
    <row r="21" spans="1:13" x14ac:dyDescent="0.25">
      <c r="A21" t="s">
        <v>175</v>
      </c>
      <c r="D21" s="3"/>
      <c r="E21" t="s">
        <v>42</v>
      </c>
      <c r="F21">
        <v>93.9</v>
      </c>
      <c r="G21">
        <v>1593.3</v>
      </c>
      <c r="H21">
        <f t="shared" si="0"/>
        <v>1499.3999999999999</v>
      </c>
      <c r="I21">
        <f t="shared" ref="I21:I22" si="6">(H21/5581.9)*100</f>
        <v>26.861821243662554</v>
      </c>
      <c r="M21" s="3"/>
    </row>
    <row r="22" spans="1:13" x14ac:dyDescent="0.25">
      <c r="A22" t="s">
        <v>176</v>
      </c>
      <c r="D22" s="3"/>
      <c r="E22" t="s">
        <v>5</v>
      </c>
      <c r="F22">
        <v>93.9</v>
      </c>
      <c r="G22">
        <v>2523.8000000000002</v>
      </c>
      <c r="H22">
        <f t="shared" si="0"/>
        <v>2429.9</v>
      </c>
      <c r="I22">
        <f t="shared" si="6"/>
        <v>43.531772335584662</v>
      </c>
      <c r="M22" s="3"/>
    </row>
    <row r="23" spans="1:13" x14ac:dyDescent="0.25">
      <c r="A23" t="s">
        <v>177</v>
      </c>
      <c r="D23" s="3" t="s">
        <v>45</v>
      </c>
      <c r="E23" t="s">
        <v>4</v>
      </c>
      <c r="F23">
        <v>134.1</v>
      </c>
      <c r="G23">
        <v>9890.1</v>
      </c>
      <c r="H23">
        <f t="shared" si="0"/>
        <v>9756</v>
      </c>
      <c r="I23">
        <f>(H23/9756)*100</f>
        <v>100</v>
      </c>
      <c r="M23" s="3"/>
    </row>
    <row r="24" spans="1:13" x14ac:dyDescent="0.25">
      <c r="A24" t="s">
        <v>178</v>
      </c>
      <c r="D24" s="3"/>
      <c r="E24" t="s">
        <v>42</v>
      </c>
      <c r="F24">
        <v>134.1</v>
      </c>
      <c r="G24">
        <v>5113</v>
      </c>
      <c r="H24">
        <f t="shared" si="0"/>
        <v>4978.8999999999996</v>
      </c>
      <c r="I24">
        <f t="shared" ref="I24:I25" si="7">(H24/9756)*100</f>
        <v>51.034235342353419</v>
      </c>
    </row>
    <row r="25" spans="1:13" x14ac:dyDescent="0.25">
      <c r="A25" t="s">
        <v>179</v>
      </c>
      <c r="D25" s="3"/>
      <c r="E25" t="s">
        <v>5</v>
      </c>
      <c r="F25">
        <v>134.1</v>
      </c>
      <c r="G25">
        <v>6815.8</v>
      </c>
      <c r="H25">
        <f t="shared" si="0"/>
        <v>6681.7</v>
      </c>
      <c r="I25">
        <f t="shared" si="7"/>
        <v>68.488109881098808</v>
      </c>
    </row>
    <row r="26" spans="1:13" x14ac:dyDescent="0.25">
      <c r="A26" t="s">
        <v>180</v>
      </c>
      <c r="D26" s="3" t="s">
        <v>46</v>
      </c>
      <c r="E26" t="s">
        <v>4</v>
      </c>
      <c r="F26">
        <v>152.19999999999999</v>
      </c>
      <c r="G26">
        <v>10866.4</v>
      </c>
      <c r="H26">
        <f t="shared" si="0"/>
        <v>10714.199999999999</v>
      </c>
      <c r="I26">
        <f>(H26/10714.2)*100</f>
        <v>99.999999999999972</v>
      </c>
    </row>
    <row r="27" spans="1:13" x14ac:dyDescent="0.25">
      <c r="A27" t="s">
        <v>181</v>
      </c>
      <c r="D27" s="3"/>
      <c r="E27" t="s">
        <v>42</v>
      </c>
      <c r="F27">
        <v>152.19999999999999</v>
      </c>
      <c r="G27">
        <v>5101.8999999999996</v>
      </c>
      <c r="H27">
        <f t="shared" si="0"/>
        <v>4949.7</v>
      </c>
      <c r="I27">
        <f t="shared" ref="I27:I28" si="8">(H27/10714.2)*100</f>
        <v>46.197569580556639</v>
      </c>
    </row>
    <row r="28" spans="1:13" x14ac:dyDescent="0.25">
      <c r="A28" t="s">
        <v>182</v>
      </c>
      <c r="D28" s="3"/>
      <c r="E28" t="s">
        <v>5</v>
      </c>
      <c r="F28">
        <v>152.19999999999999</v>
      </c>
      <c r="G28">
        <v>6856.1</v>
      </c>
      <c r="H28">
        <f t="shared" si="0"/>
        <v>6703.9000000000005</v>
      </c>
      <c r="I28">
        <f t="shared" si="8"/>
        <v>62.570233895204495</v>
      </c>
    </row>
    <row r="29" spans="1:13" x14ac:dyDescent="0.25">
      <c r="A29" t="s">
        <v>183</v>
      </c>
      <c r="D29" s="3" t="s">
        <v>47</v>
      </c>
      <c r="E29" t="s">
        <v>4</v>
      </c>
      <c r="F29">
        <v>146.19999999999999</v>
      </c>
      <c r="G29">
        <v>11263.5</v>
      </c>
      <c r="H29">
        <f t="shared" si="0"/>
        <v>11117.3</v>
      </c>
      <c r="I29">
        <f>(H29/11117.3)*100</f>
        <v>100</v>
      </c>
    </row>
    <row r="30" spans="1:13" x14ac:dyDescent="0.25">
      <c r="A30" t="s">
        <v>184</v>
      </c>
      <c r="D30" s="3"/>
      <c r="E30" t="s">
        <v>42</v>
      </c>
      <c r="F30">
        <v>146.19999999999999</v>
      </c>
      <c r="G30">
        <v>5475.6</v>
      </c>
      <c r="H30">
        <f t="shared" si="0"/>
        <v>5329.4000000000005</v>
      </c>
      <c r="I30">
        <f t="shared" ref="I30:I31" si="9">(H30/11117.3)*100</f>
        <v>47.937898590485105</v>
      </c>
    </row>
    <row r="31" spans="1:13" x14ac:dyDescent="0.25">
      <c r="A31" t="s">
        <v>185</v>
      </c>
      <c r="D31" s="3"/>
      <c r="E31" t="s">
        <v>5</v>
      </c>
      <c r="F31">
        <v>146.19999999999999</v>
      </c>
      <c r="G31">
        <v>7012.6</v>
      </c>
      <c r="H31">
        <f t="shared" si="0"/>
        <v>6866.4000000000005</v>
      </c>
      <c r="I31">
        <f t="shared" si="9"/>
        <v>61.763197898770393</v>
      </c>
    </row>
    <row r="32" spans="1:13" x14ac:dyDescent="0.25">
      <c r="A32" t="s">
        <v>186</v>
      </c>
    </row>
    <row r="33" spans="1:1" x14ac:dyDescent="0.25">
      <c r="A33" t="s">
        <v>187</v>
      </c>
    </row>
    <row r="34" spans="1:1" x14ac:dyDescent="0.25">
      <c r="A34" t="s">
        <v>188</v>
      </c>
    </row>
    <row r="35" spans="1:1" x14ac:dyDescent="0.25">
      <c r="A35" t="s">
        <v>189</v>
      </c>
    </row>
    <row r="36" spans="1:1" x14ac:dyDescent="0.25">
      <c r="A36" t="s">
        <v>190</v>
      </c>
    </row>
    <row r="37" spans="1:1" x14ac:dyDescent="0.25">
      <c r="A37" t="s">
        <v>191</v>
      </c>
    </row>
    <row r="38" spans="1:1" x14ac:dyDescent="0.25">
      <c r="A38" t="s">
        <v>192</v>
      </c>
    </row>
    <row r="39" spans="1:1" x14ac:dyDescent="0.25">
      <c r="A39" t="s">
        <v>193</v>
      </c>
    </row>
    <row r="40" spans="1:1" x14ac:dyDescent="0.25">
      <c r="A40" t="s">
        <v>194</v>
      </c>
    </row>
    <row r="41" spans="1:1" x14ac:dyDescent="0.25">
      <c r="A41" t="s">
        <v>195</v>
      </c>
    </row>
    <row r="42" spans="1:1" x14ac:dyDescent="0.25">
      <c r="A42" t="s">
        <v>196</v>
      </c>
    </row>
    <row r="43" spans="1:1" x14ac:dyDescent="0.25">
      <c r="A43" t="s">
        <v>197</v>
      </c>
    </row>
    <row r="44" spans="1:1" x14ac:dyDescent="0.25">
      <c r="A44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74C5-2AD1-4221-B26C-054A9132A5A8}">
  <dimension ref="A1:T52"/>
  <sheetViews>
    <sheetView workbookViewId="0">
      <selection activeCell="K33" sqref="K33"/>
    </sheetView>
  </sheetViews>
  <sheetFormatPr defaultRowHeight="15" x14ac:dyDescent="0.25"/>
  <cols>
    <col min="1" max="1" width="49.28515625" bestFit="1" customWidth="1"/>
    <col min="4" max="4" width="12.28515625" bestFit="1" customWidth="1"/>
    <col min="6" max="6" width="11.7109375" customWidth="1"/>
    <col min="8" max="8" width="11.42578125" customWidth="1"/>
    <col min="9" max="9" width="10.7109375" customWidth="1"/>
  </cols>
  <sheetData>
    <row r="1" spans="1:20" x14ac:dyDescent="0.25">
      <c r="A1" t="s">
        <v>254</v>
      </c>
    </row>
    <row r="3" spans="1:20" x14ac:dyDescent="0.25">
      <c r="A3" t="s">
        <v>0</v>
      </c>
    </row>
    <row r="4" spans="1:20" ht="36.75" customHeight="1" x14ac:dyDescent="0.25">
      <c r="F4" s="1" t="s">
        <v>9</v>
      </c>
      <c r="G4" s="1" t="s">
        <v>10</v>
      </c>
      <c r="H4" s="1" t="s">
        <v>11</v>
      </c>
      <c r="I4" s="1" t="s">
        <v>12</v>
      </c>
      <c r="S4" s="8"/>
    </row>
    <row r="5" spans="1:20" x14ac:dyDescent="0.25">
      <c r="A5" t="s">
        <v>1</v>
      </c>
      <c r="D5" s="3" t="s">
        <v>3</v>
      </c>
      <c r="E5" t="s">
        <v>4</v>
      </c>
      <c r="F5" s="2">
        <v>139.30000000000001</v>
      </c>
      <c r="G5">
        <v>9848.1</v>
      </c>
      <c r="H5">
        <f t="shared" ref="H5:H31" si="0">G5-F5</f>
        <v>9708.8000000000011</v>
      </c>
      <c r="I5">
        <f>(H5/9708.8)*100</f>
        <v>100.00000000000003</v>
      </c>
      <c r="N5" s="4"/>
      <c r="O5" s="4"/>
      <c r="P5" s="4"/>
      <c r="Q5" s="4"/>
      <c r="R5" s="4"/>
      <c r="S5" s="7"/>
      <c r="T5" s="4"/>
    </row>
    <row r="6" spans="1:20" x14ac:dyDescent="0.25">
      <c r="A6" t="s">
        <v>2</v>
      </c>
      <c r="D6" s="3"/>
      <c r="E6" t="s">
        <v>42</v>
      </c>
      <c r="F6" s="2">
        <v>139.30000000000001</v>
      </c>
      <c r="G6">
        <v>486.4</v>
      </c>
      <c r="H6">
        <f t="shared" si="0"/>
        <v>347.09999999999997</v>
      </c>
      <c r="I6">
        <f t="shared" ref="I6:I7" si="1">(H6/9708.8)*100</f>
        <v>3.5751071193144366</v>
      </c>
      <c r="L6" s="5"/>
      <c r="M6" s="6"/>
      <c r="S6" s="8"/>
    </row>
    <row r="7" spans="1:20" x14ac:dyDescent="0.25">
      <c r="A7" t="s">
        <v>207</v>
      </c>
      <c r="D7" s="3"/>
      <c r="E7" t="s">
        <v>5</v>
      </c>
      <c r="F7" s="2">
        <v>139.30000000000001</v>
      </c>
      <c r="G7">
        <v>1127</v>
      </c>
      <c r="H7">
        <f t="shared" si="0"/>
        <v>987.7</v>
      </c>
      <c r="I7">
        <f t="shared" si="1"/>
        <v>10.173244891232697</v>
      </c>
      <c r="M7" s="3"/>
      <c r="S7" s="8"/>
    </row>
    <row r="8" spans="1:20" x14ac:dyDescent="0.25">
      <c r="A8" t="s">
        <v>208</v>
      </c>
      <c r="D8" s="3" t="s">
        <v>43</v>
      </c>
      <c r="E8" t="s">
        <v>4</v>
      </c>
      <c r="F8">
        <v>118.1</v>
      </c>
      <c r="G8">
        <v>8191</v>
      </c>
      <c r="H8">
        <f t="shared" si="0"/>
        <v>8072.9</v>
      </c>
      <c r="I8">
        <f>(H8/8072.9)*100</f>
        <v>100</v>
      </c>
      <c r="M8" s="3"/>
      <c r="S8" s="8"/>
    </row>
    <row r="9" spans="1:20" x14ac:dyDescent="0.25">
      <c r="A9" t="s">
        <v>209</v>
      </c>
      <c r="D9" s="3"/>
      <c r="E9" t="s">
        <v>42</v>
      </c>
      <c r="F9">
        <v>118.1</v>
      </c>
      <c r="G9">
        <v>492.5</v>
      </c>
      <c r="H9">
        <f t="shared" si="0"/>
        <v>374.4</v>
      </c>
      <c r="I9">
        <f t="shared" ref="I9:I10" si="2">(H9/8072.9)*100</f>
        <v>4.6377386069442208</v>
      </c>
      <c r="M9" s="3"/>
      <c r="S9" s="8"/>
    </row>
    <row r="10" spans="1:20" x14ac:dyDescent="0.25">
      <c r="A10" t="s">
        <v>210</v>
      </c>
      <c r="D10" s="3"/>
      <c r="E10" t="s">
        <v>5</v>
      </c>
      <c r="F10">
        <v>118.1</v>
      </c>
      <c r="G10">
        <v>1128.3</v>
      </c>
      <c r="H10">
        <f t="shared" si="0"/>
        <v>1010.1999999999999</v>
      </c>
      <c r="I10">
        <f t="shared" si="2"/>
        <v>12.513470995553021</v>
      </c>
      <c r="M10" s="3"/>
      <c r="S10" s="8"/>
    </row>
    <row r="11" spans="1:20" x14ac:dyDescent="0.25">
      <c r="A11" t="s">
        <v>211</v>
      </c>
      <c r="D11" s="3" t="s">
        <v>6</v>
      </c>
      <c r="E11" t="s">
        <v>4</v>
      </c>
      <c r="F11">
        <v>146.30000000000001</v>
      </c>
      <c r="G11">
        <v>9677.4</v>
      </c>
      <c r="H11">
        <f t="shared" si="0"/>
        <v>9531.1</v>
      </c>
      <c r="I11">
        <f>(H11/9531.1)*100</f>
        <v>100</v>
      </c>
      <c r="M11" s="3"/>
      <c r="S11" s="8"/>
    </row>
    <row r="12" spans="1:20" x14ac:dyDescent="0.25">
      <c r="A12" t="s">
        <v>212</v>
      </c>
      <c r="D12" s="3"/>
      <c r="E12" t="s">
        <v>42</v>
      </c>
      <c r="F12">
        <v>146.30000000000001</v>
      </c>
      <c r="G12">
        <v>1078.4000000000001</v>
      </c>
      <c r="H12">
        <f t="shared" si="0"/>
        <v>932.10000000000014</v>
      </c>
      <c r="I12">
        <f t="shared" ref="I12:I13" si="3">(H12/9531.1)*100</f>
        <v>9.7795637439540055</v>
      </c>
      <c r="M12" s="3"/>
      <c r="S12" s="8"/>
    </row>
    <row r="13" spans="1:20" x14ac:dyDescent="0.25">
      <c r="A13" t="s">
        <v>213</v>
      </c>
      <c r="D13" s="3"/>
      <c r="E13" t="s">
        <v>5</v>
      </c>
      <c r="F13">
        <v>146.30000000000001</v>
      </c>
      <c r="G13">
        <v>1832.6</v>
      </c>
      <c r="H13">
        <f t="shared" si="0"/>
        <v>1686.3</v>
      </c>
      <c r="I13">
        <f t="shared" si="3"/>
        <v>17.692606309869792</v>
      </c>
      <c r="M13" s="3"/>
      <c r="S13" s="8"/>
    </row>
    <row r="14" spans="1:20" x14ac:dyDescent="0.25">
      <c r="A14" t="s">
        <v>214</v>
      </c>
      <c r="D14" s="3" t="s">
        <v>7</v>
      </c>
      <c r="E14" t="s">
        <v>4</v>
      </c>
      <c r="F14">
        <v>137.69999999999999</v>
      </c>
      <c r="G14">
        <v>8615.9</v>
      </c>
      <c r="H14">
        <f t="shared" si="0"/>
        <v>8478.1999999999989</v>
      </c>
      <c r="I14">
        <f>(H14/8478.2)*100</f>
        <v>99.999999999999972</v>
      </c>
      <c r="M14" s="3"/>
      <c r="S14" s="8"/>
    </row>
    <row r="15" spans="1:20" x14ac:dyDescent="0.25">
      <c r="A15" t="s">
        <v>215</v>
      </c>
      <c r="D15" s="3"/>
      <c r="E15" t="s">
        <v>42</v>
      </c>
      <c r="F15">
        <v>137.69999999999999</v>
      </c>
      <c r="G15">
        <v>1261.7</v>
      </c>
      <c r="H15">
        <f t="shared" si="0"/>
        <v>1124</v>
      </c>
      <c r="I15">
        <f t="shared" ref="I15:I16" si="4">(H15/8478.2)*100</f>
        <v>13.257531079710313</v>
      </c>
      <c r="L15" s="5"/>
      <c r="M15" s="6"/>
      <c r="S15" s="8"/>
    </row>
    <row r="16" spans="1:20" x14ac:dyDescent="0.25">
      <c r="A16" t="s">
        <v>216</v>
      </c>
      <c r="D16" s="3"/>
      <c r="E16" t="s">
        <v>5</v>
      </c>
      <c r="F16">
        <v>137.69999999999999</v>
      </c>
      <c r="G16">
        <v>1793.2</v>
      </c>
      <c r="H16">
        <f t="shared" si="0"/>
        <v>1655.5</v>
      </c>
      <c r="I16">
        <f t="shared" si="4"/>
        <v>19.52655044702885</v>
      </c>
      <c r="M16" s="3"/>
      <c r="S16" s="8"/>
    </row>
    <row r="17" spans="1:19" x14ac:dyDescent="0.25">
      <c r="A17" t="s">
        <v>217</v>
      </c>
      <c r="D17" s="3" t="s">
        <v>44</v>
      </c>
      <c r="E17" t="s">
        <v>4</v>
      </c>
      <c r="F17">
        <v>119.9</v>
      </c>
      <c r="G17">
        <v>7807.3</v>
      </c>
      <c r="H17">
        <f t="shared" si="0"/>
        <v>7687.4000000000005</v>
      </c>
      <c r="I17">
        <f>(H17/7687.4)*100</f>
        <v>100.00000000000003</v>
      </c>
      <c r="M17" s="3"/>
      <c r="S17" s="8"/>
    </row>
    <row r="18" spans="1:19" x14ac:dyDescent="0.25">
      <c r="A18" t="s">
        <v>218</v>
      </c>
      <c r="D18" s="3"/>
      <c r="E18" t="s">
        <v>42</v>
      </c>
      <c r="F18">
        <v>119.9</v>
      </c>
      <c r="G18">
        <v>856.1</v>
      </c>
      <c r="H18">
        <f t="shared" si="0"/>
        <v>736.2</v>
      </c>
      <c r="I18">
        <f t="shared" ref="I18:I19" si="5">(H18/7687.4)*100</f>
        <v>9.5767099409423224</v>
      </c>
      <c r="M18" s="3"/>
      <c r="S18" s="8"/>
    </row>
    <row r="19" spans="1:19" x14ac:dyDescent="0.25">
      <c r="A19" t="s">
        <v>219</v>
      </c>
      <c r="D19" s="3"/>
      <c r="E19" t="s">
        <v>5</v>
      </c>
      <c r="F19">
        <v>119.9</v>
      </c>
      <c r="G19">
        <v>1651.1</v>
      </c>
      <c r="H19">
        <f t="shared" si="0"/>
        <v>1531.1999999999998</v>
      </c>
      <c r="I19">
        <f t="shared" si="5"/>
        <v>19.918307880427712</v>
      </c>
      <c r="M19" s="3"/>
      <c r="S19" s="8"/>
    </row>
    <row r="20" spans="1:19" x14ac:dyDescent="0.25">
      <c r="A20" t="s">
        <v>220</v>
      </c>
      <c r="D20" s="3" t="s">
        <v>8</v>
      </c>
      <c r="E20" t="s">
        <v>4</v>
      </c>
      <c r="F20">
        <v>99.3</v>
      </c>
      <c r="G20">
        <v>6594.1</v>
      </c>
      <c r="H20">
        <f t="shared" si="0"/>
        <v>6494.8</v>
      </c>
      <c r="I20">
        <f>(H20/6494.8)*100</f>
        <v>100</v>
      </c>
      <c r="M20" s="3"/>
      <c r="S20" s="8"/>
    </row>
    <row r="21" spans="1:19" x14ac:dyDescent="0.25">
      <c r="A21" t="s">
        <v>221</v>
      </c>
      <c r="D21" s="3"/>
      <c r="E21" t="s">
        <v>42</v>
      </c>
      <c r="F21">
        <v>99.3</v>
      </c>
      <c r="G21">
        <v>912.2</v>
      </c>
      <c r="H21">
        <f t="shared" si="0"/>
        <v>812.90000000000009</v>
      </c>
      <c r="I21">
        <f t="shared" ref="I21:I22" si="6">(H21/6494.8)*100</f>
        <v>12.516166779577508</v>
      </c>
      <c r="M21" s="3"/>
      <c r="S21" s="8"/>
    </row>
    <row r="22" spans="1:19" x14ac:dyDescent="0.25">
      <c r="A22" t="s">
        <v>222</v>
      </c>
      <c r="D22" s="3"/>
      <c r="E22" t="s">
        <v>5</v>
      </c>
      <c r="F22">
        <v>99.3</v>
      </c>
      <c r="G22">
        <v>1497.7</v>
      </c>
      <c r="H22">
        <v>1497.7</v>
      </c>
      <c r="I22">
        <f t="shared" si="6"/>
        <v>23.059986450699022</v>
      </c>
      <c r="M22" s="3"/>
      <c r="S22" s="8"/>
    </row>
    <row r="23" spans="1:19" x14ac:dyDescent="0.25">
      <c r="A23" t="s">
        <v>223</v>
      </c>
      <c r="D23" s="3" t="s">
        <v>45</v>
      </c>
      <c r="E23" t="s">
        <v>4</v>
      </c>
      <c r="F23">
        <v>128.80000000000001</v>
      </c>
      <c r="G23">
        <v>10672.4</v>
      </c>
      <c r="H23">
        <f t="shared" si="0"/>
        <v>10543.6</v>
      </c>
      <c r="I23">
        <f>(H23/10543.6)*100</f>
        <v>100</v>
      </c>
      <c r="M23" s="3"/>
      <c r="S23" s="8"/>
    </row>
    <row r="24" spans="1:19" x14ac:dyDescent="0.25">
      <c r="A24" t="s">
        <v>224</v>
      </c>
      <c r="D24" s="3"/>
      <c r="E24" t="s">
        <v>42</v>
      </c>
      <c r="F24">
        <v>128.80000000000001</v>
      </c>
      <c r="G24">
        <v>4215.8999999999996</v>
      </c>
      <c r="H24">
        <f t="shared" si="0"/>
        <v>4087.0999999999995</v>
      </c>
      <c r="I24">
        <f t="shared" ref="I24:I25" si="7">(H24/10543.6)*100</f>
        <v>38.763799840661626</v>
      </c>
    </row>
    <row r="25" spans="1:19" x14ac:dyDescent="0.25">
      <c r="A25" t="s">
        <v>225</v>
      </c>
      <c r="D25" s="3"/>
      <c r="E25" t="s">
        <v>5</v>
      </c>
      <c r="F25">
        <v>128.80000000000001</v>
      </c>
      <c r="G25">
        <v>5087.8</v>
      </c>
      <c r="H25">
        <f t="shared" si="0"/>
        <v>4959</v>
      </c>
      <c r="I25">
        <f t="shared" si="7"/>
        <v>47.033271368413068</v>
      </c>
    </row>
    <row r="26" spans="1:19" x14ac:dyDescent="0.25">
      <c r="A26" t="s">
        <v>226</v>
      </c>
      <c r="D26" s="3" t="s">
        <v>46</v>
      </c>
      <c r="E26" t="s">
        <v>4</v>
      </c>
      <c r="F26">
        <v>151.4</v>
      </c>
      <c r="G26">
        <v>11341.3</v>
      </c>
      <c r="H26">
        <f t="shared" si="0"/>
        <v>11189.9</v>
      </c>
      <c r="I26">
        <f>(H26/11189.9)*100</f>
        <v>100</v>
      </c>
    </row>
    <row r="27" spans="1:19" x14ac:dyDescent="0.25">
      <c r="A27" t="s">
        <v>227</v>
      </c>
      <c r="D27" s="3"/>
      <c r="E27" t="s">
        <v>42</v>
      </c>
      <c r="F27">
        <v>151.4</v>
      </c>
      <c r="G27">
        <v>4745</v>
      </c>
      <c r="H27">
        <f t="shared" si="0"/>
        <v>4593.6000000000004</v>
      </c>
      <c r="I27">
        <f t="shared" ref="I27:I28" si="8">(H27/11189.9)*100</f>
        <v>41.051305194863232</v>
      </c>
    </row>
    <row r="28" spans="1:19" x14ac:dyDescent="0.25">
      <c r="A28" t="s">
        <v>228</v>
      </c>
      <c r="D28" s="3"/>
      <c r="E28" t="s">
        <v>5</v>
      </c>
      <c r="F28">
        <v>151.4</v>
      </c>
      <c r="G28">
        <v>5755.5</v>
      </c>
      <c r="H28">
        <f t="shared" si="0"/>
        <v>5604.1</v>
      </c>
      <c r="I28">
        <f t="shared" si="8"/>
        <v>50.081770167740558</v>
      </c>
    </row>
    <row r="29" spans="1:19" x14ac:dyDescent="0.25">
      <c r="A29" t="s">
        <v>229</v>
      </c>
      <c r="D29" s="3" t="s">
        <v>47</v>
      </c>
      <c r="E29" t="s">
        <v>4</v>
      </c>
      <c r="F29">
        <v>147.69999999999999</v>
      </c>
      <c r="G29">
        <v>10592.8</v>
      </c>
      <c r="H29">
        <f t="shared" si="0"/>
        <v>10445.099999999999</v>
      </c>
      <c r="I29">
        <f>(H29/10445.1)*100</f>
        <v>99.999999999999972</v>
      </c>
    </row>
    <row r="30" spans="1:19" x14ac:dyDescent="0.25">
      <c r="A30" t="s">
        <v>230</v>
      </c>
      <c r="D30" s="3"/>
      <c r="E30" t="s">
        <v>42</v>
      </c>
      <c r="F30">
        <v>147.69999999999999</v>
      </c>
      <c r="G30">
        <v>4884.2</v>
      </c>
      <c r="H30">
        <f t="shared" si="0"/>
        <v>4736.5</v>
      </c>
      <c r="I30">
        <f t="shared" ref="I30:I31" si="9">(H30/10445.1)*100</f>
        <v>45.346621860968298</v>
      </c>
    </row>
    <row r="31" spans="1:19" x14ac:dyDescent="0.25">
      <c r="A31" t="s">
        <v>231</v>
      </c>
      <c r="D31" s="3"/>
      <c r="E31" t="s">
        <v>5</v>
      </c>
      <c r="F31">
        <v>147.69999999999999</v>
      </c>
      <c r="G31">
        <v>6054.8</v>
      </c>
      <c r="H31">
        <f t="shared" si="0"/>
        <v>5907.1</v>
      </c>
      <c r="I31">
        <f t="shared" si="9"/>
        <v>56.553790772706826</v>
      </c>
    </row>
    <row r="32" spans="1:19" x14ac:dyDescent="0.25">
      <c r="A32" t="s">
        <v>232</v>
      </c>
    </row>
    <row r="33" spans="1:1" x14ac:dyDescent="0.25">
      <c r="A33" t="s">
        <v>233</v>
      </c>
    </row>
    <row r="34" spans="1:1" x14ac:dyDescent="0.25">
      <c r="A34" t="s">
        <v>234</v>
      </c>
    </row>
    <row r="35" spans="1:1" x14ac:dyDescent="0.25">
      <c r="A35" t="s">
        <v>235</v>
      </c>
    </row>
    <row r="36" spans="1:1" x14ac:dyDescent="0.25">
      <c r="A36" t="s">
        <v>236</v>
      </c>
    </row>
    <row r="37" spans="1:1" x14ac:dyDescent="0.25">
      <c r="A37" t="s">
        <v>237</v>
      </c>
    </row>
    <row r="38" spans="1:1" x14ac:dyDescent="0.25">
      <c r="A38" t="s">
        <v>238</v>
      </c>
    </row>
    <row r="39" spans="1:1" x14ac:dyDescent="0.25">
      <c r="A39" t="s">
        <v>239</v>
      </c>
    </row>
    <row r="40" spans="1:1" x14ac:dyDescent="0.25">
      <c r="A40" t="s">
        <v>240</v>
      </c>
    </row>
    <row r="41" spans="1:1" x14ac:dyDescent="0.25">
      <c r="A41" t="s">
        <v>241</v>
      </c>
    </row>
    <row r="42" spans="1:1" x14ac:dyDescent="0.25">
      <c r="A42" t="s">
        <v>242</v>
      </c>
    </row>
    <row r="43" spans="1:1" x14ac:dyDescent="0.25">
      <c r="A43" t="s">
        <v>243</v>
      </c>
    </row>
    <row r="44" spans="1:1" x14ac:dyDescent="0.25">
      <c r="A44" t="s">
        <v>244</v>
      </c>
    </row>
    <row r="45" spans="1:1" x14ac:dyDescent="0.25">
      <c r="A45" t="s">
        <v>245</v>
      </c>
    </row>
    <row r="46" spans="1:1" x14ac:dyDescent="0.25">
      <c r="A46" t="s">
        <v>246</v>
      </c>
    </row>
    <row r="47" spans="1:1" x14ac:dyDescent="0.25">
      <c r="A47" t="s">
        <v>247</v>
      </c>
    </row>
    <row r="48" spans="1:1" x14ac:dyDescent="0.25">
      <c r="A48" t="s">
        <v>248</v>
      </c>
    </row>
    <row r="49" spans="1:1" x14ac:dyDescent="0.25">
      <c r="A49" t="s">
        <v>249</v>
      </c>
    </row>
    <row r="50" spans="1:1" x14ac:dyDescent="0.25">
      <c r="A50" t="s">
        <v>250</v>
      </c>
    </row>
    <row r="51" spans="1:1" x14ac:dyDescent="0.25">
      <c r="A51" t="s">
        <v>251</v>
      </c>
    </row>
    <row r="52" spans="1:1" x14ac:dyDescent="0.25">
      <c r="A52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F5D8-11F7-4F6B-BCAA-39B9C6AD88F5}">
  <dimension ref="A1:U93"/>
  <sheetViews>
    <sheetView workbookViewId="0">
      <selection activeCell="G46" sqref="G46"/>
    </sheetView>
  </sheetViews>
  <sheetFormatPr defaultRowHeight="15" x14ac:dyDescent="0.25"/>
  <cols>
    <col min="1" max="1" width="51.85546875" bestFit="1" customWidth="1"/>
    <col min="4" max="4" width="12.28515625" bestFit="1" customWidth="1"/>
    <col min="5" max="5" width="9.85546875" customWidth="1"/>
    <col min="6" max="6" width="11.28515625" customWidth="1"/>
    <col min="7" max="7" width="9.85546875" customWidth="1"/>
    <col min="8" max="8" width="12.140625" customWidth="1"/>
    <col min="9" max="9" width="11" customWidth="1"/>
  </cols>
  <sheetData>
    <row r="1" spans="1:21" x14ac:dyDescent="0.25">
      <c r="A1" t="s">
        <v>253</v>
      </c>
    </row>
    <row r="3" spans="1:21" x14ac:dyDescent="0.25">
      <c r="A3" t="s">
        <v>0</v>
      </c>
    </row>
    <row r="4" spans="1:21" ht="30" x14ac:dyDescent="0.25">
      <c r="F4" s="1" t="s">
        <v>9</v>
      </c>
      <c r="G4" s="1" t="s">
        <v>10</v>
      </c>
      <c r="H4" s="1" t="s">
        <v>11</v>
      </c>
      <c r="I4" s="1" t="s">
        <v>12</v>
      </c>
      <c r="S4" s="8"/>
    </row>
    <row r="5" spans="1:21" x14ac:dyDescent="0.25">
      <c r="A5" t="s">
        <v>1</v>
      </c>
      <c r="D5" s="3" t="s">
        <v>3</v>
      </c>
      <c r="E5" t="s">
        <v>4</v>
      </c>
      <c r="F5" s="2">
        <v>200.3</v>
      </c>
      <c r="G5">
        <v>14579.3</v>
      </c>
      <c r="H5">
        <f t="shared" ref="H5:H31" si="0">G5-F5</f>
        <v>14379</v>
      </c>
      <c r="I5">
        <f>(H5/14379)*100</f>
        <v>100</v>
      </c>
      <c r="N5" s="4"/>
      <c r="O5" s="4"/>
      <c r="P5" s="4"/>
      <c r="Q5" s="4"/>
      <c r="R5" s="4"/>
      <c r="S5" s="7"/>
      <c r="T5" s="4"/>
      <c r="U5" s="4"/>
    </row>
    <row r="6" spans="1:21" x14ac:dyDescent="0.25">
      <c r="A6" t="s">
        <v>2</v>
      </c>
      <c r="D6" s="3"/>
      <c r="E6" t="s">
        <v>42</v>
      </c>
      <c r="F6" s="2">
        <v>200.3</v>
      </c>
      <c r="G6">
        <v>901.6</v>
      </c>
      <c r="H6">
        <f t="shared" si="0"/>
        <v>701.3</v>
      </c>
      <c r="I6">
        <f t="shared" ref="I6:I7" si="1">(H6/14379)*100</f>
        <v>4.8772515473955069</v>
      </c>
      <c r="L6" s="5"/>
      <c r="M6" s="6"/>
      <c r="S6" s="8"/>
    </row>
    <row r="7" spans="1:21" x14ac:dyDescent="0.25">
      <c r="A7" t="s">
        <v>255</v>
      </c>
      <c r="D7" s="3"/>
      <c r="E7" t="s">
        <v>5</v>
      </c>
      <c r="F7" s="2">
        <v>200.3</v>
      </c>
      <c r="G7">
        <v>2621.3000000000002</v>
      </c>
      <c r="H7">
        <f t="shared" si="0"/>
        <v>2421</v>
      </c>
      <c r="I7">
        <f t="shared" si="1"/>
        <v>16.837054037137491</v>
      </c>
      <c r="M7" s="3"/>
      <c r="S7" s="8"/>
    </row>
    <row r="8" spans="1:21" x14ac:dyDescent="0.25">
      <c r="A8" t="s">
        <v>256</v>
      </c>
      <c r="D8" s="3" t="s">
        <v>43</v>
      </c>
      <c r="E8" t="s">
        <v>4</v>
      </c>
      <c r="F8">
        <v>136.69999999999999</v>
      </c>
      <c r="G8">
        <v>11200.5</v>
      </c>
      <c r="H8">
        <f t="shared" si="0"/>
        <v>11063.8</v>
      </c>
      <c r="I8">
        <f>(H8/11063.8)*100</f>
        <v>100</v>
      </c>
      <c r="M8" s="3"/>
      <c r="S8" s="8"/>
    </row>
    <row r="9" spans="1:21" x14ac:dyDescent="0.25">
      <c r="A9" t="s">
        <v>257</v>
      </c>
      <c r="D9" s="3"/>
      <c r="E9" t="s">
        <v>42</v>
      </c>
      <c r="F9">
        <v>136.69999999999999</v>
      </c>
      <c r="G9">
        <v>835.3</v>
      </c>
      <c r="H9">
        <f t="shared" si="0"/>
        <v>698.59999999999991</v>
      </c>
      <c r="I9">
        <f t="shared" ref="I9:I10" si="2">(H9/11063.8)*100</f>
        <v>6.3142862307706213</v>
      </c>
      <c r="M9" s="3"/>
      <c r="S9" s="8"/>
    </row>
    <row r="10" spans="1:21" x14ac:dyDescent="0.25">
      <c r="A10" t="s">
        <v>258</v>
      </c>
      <c r="D10" s="3"/>
      <c r="E10" t="s">
        <v>5</v>
      </c>
      <c r="F10">
        <v>136.69999999999999</v>
      </c>
      <c r="G10">
        <v>2525.4</v>
      </c>
      <c r="H10">
        <f t="shared" si="0"/>
        <v>2388.7000000000003</v>
      </c>
      <c r="I10">
        <f t="shared" si="2"/>
        <v>21.590231204468633</v>
      </c>
      <c r="M10" s="3"/>
      <c r="S10" s="8"/>
    </row>
    <row r="11" spans="1:21" x14ac:dyDescent="0.25">
      <c r="A11" t="s">
        <v>259</v>
      </c>
      <c r="D11" s="3" t="s">
        <v>6</v>
      </c>
      <c r="E11" t="s">
        <v>4</v>
      </c>
      <c r="F11">
        <v>179.9</v>
      </c>
      <c r="G11">
        <v>13441.9</v>
      </c>
      <c r="H11">
        <f t="shared" si="0"/>
        <v>13262</v>
      </c>
      <c r="I11">
        <f>(H11/13262)*100</f>
        <v>100</v>
      </c>
      <c r="M11" s="3"/>
      <c r="S11" s="8"/>
    </row>
    <row r="12" spans="1:21" x14ac:dyDescent="0.25">
      <c r="A12" t="s">
        <v>260</v>
      </c>
      <c r="D12" s="3"/>
      <c r="E12" t="s">
        <v>42</v>
      </c>
      <c r="F12">
        <v>179.9</v>
      </c>
      <c r="G12">
        <v>2037.1</v>
      </c>
      <c r="H12">
        <f t="shared" si="0"/>
        <v>1857.1999999999998</v>
      </c>
      <c r="I12">
        <f t="shared" ref="I12:I13" si="3">(H12/13262)*100</f>
        <v>14.003920977228168</v>
      </c>
      <c r="M12" s="3"/>
      <c r="S12" s="8"/>
    </row>
    <row r="13" spans="1:21" x14ac:dyDescent="0.25">
      <c r="A13" t="s">
        <v>261</v>
      </c>
      <c r="D13" s="3"/>
      <c r="E13" t="s">
        <v>5</v>
      </c>
      <c r="F13">
        <v>179.9</v>
      </c>
      <c r="G13">
        <v>3749.3</v>
      </c>
      <c r="H13">
        <f t="shared" si="0"/>
        <v>3569.4</v>
      </c>
      <c r="I13">
        <f t="shared" si="3"/>
        <v>26.914492535062585</v>
      </c>
      <c r="M13" s="3"/>
      <c r="S13" s="8"/>
    </row>
    <row r="14" spans="1:21" x14ac:dyDescent="0.25">
      <c r="A14" t="s">
        <v>262</v>
      </c>
      <c r="D14" s="3" t="s">
        <v>7</v>
      </c>
      <c r="E14" t="s">
        <v>4</v>
      </c>
      <c r="F14">
        <v>167.3</v>
      </c>
      <c r="G14">
        <v>12740.7</v>
      </c>
      <c r="H14">
        <f t="shared" si="0"/>
        <v>12573.400000000001</v>
      </c>
      <c r="I14">
        <f>(H14/12573.4)*100</f>
        <v>100.00000000000003</v>
      </c>
      <c r="M14" s="3"/>
      <c r="S14" s="8"/>
    </row>
    <row r="15" spans="1:21" x14ac:dyDescent="0.25">
      <c r="A15" t="s">
        <v>263</v>
      </c>
      <c r="D15" s="3"/>
      <c r="E15" t="s">
        <v>42</v>
      </c>
      <c r="F15">
        <v>167.3</v>
      </c>
      <c r="G15">
        <v>2244.3000000000002</v>
      </c>
      <c r="H15">
        <f t="shared" si="0"/>
        <v>2077</v>
      </c>
      <c r="I15">
        <f t="shared" ref="I15:I16" si="4">(H15/12573.4)*100</f>
        <v>16.519000429478105</v>
      </c>
      <c r="L15" s="5"/>
      <c r="M15" s="6"/>
      <c r="S15" s="8"/>
    </row>
    <row r="16" spans="1:21" x14ac:dyDescent="0.25">
      <c r="A16" t="s">
        <v>264</v>
      </c>
      <c r="D16" s="3"/>
      <c r="E16" t="s">
        <v>5</v>
      </c>
      <c r="F16">
        <v>167.3</v>
      </c>
      <c r="G16">
        <v>3751.6</v>
      </c>
      <c r="H16">
        <f t="shared" si="0"/>
        <v>3584.2999999999997</v>
      </c>
      <c r="I16">
        <f t="shared" si="4"/>
        <v>28.507006855743079</v>
      </c>
      <c r="M16" s="3"/>
      <c r="S16" s="8"/>
    </row>
    <row r="17" spans="1:19" x14ac:dyDescent="0.25">
      <c r="A17" t="s">
        <v>265</v>
      </c>
      <c r="D17" s="3" t="s">
        <v>44</v>
      </c>
      <c r="E17" t="s">
        <v>4</v>
      </c>
      <c r="F17">
        <v>156</v>
      </c>
      <c r="G17">
        <v>11543.1</v>
      </c>
      <c r="H17">
        <f t="shared" si="0"/>
        <v>11387.1</v>
      </c>
      <c r="I17">
        <f>(H17/11387.1)*100</f>
        <v>100</v>
      </c>
      <c r="M17" s="3"/>
      <c r="S17" s="8"/>
    </row>
    <row r="18" spans="1:19" x14ac:dyDescent="0.25">
      <c r="A18" t="s">
        <v>266</v>
      </c>
      <c r="D18" s="3"/>
      <c r="E18" t="s">
        <v>42</v>
      </c>
      <c r="F18">
        <v>156</v>
      </c>
      <c r="G18">
        <v>1642.6</v>
      </c>
      <c r="H18">
        <f t="shared" si="0"/>
        <v>1486.6</v>
      </c>
      <c r="I18">
        <f t="shared" ref="I18:I19" si="5">(H18/11387.1)*100</f>
        <v>13.055123780418191</v>
      </c>
      <c r="M18" s="3"/>
      <c r="S18" s="8"/>
    </row>
    <row r="19" spans="1:19" x14ac:dyDescent="0.25">
      <c r="A19" t="s">
        <v>267</v>
      </c>
      <c r="D19" s="3"/>
      <c r="E19" t="s">
        <v>5</v>
      </c>
      <c r="F19">
        <v>156</v>
      </c>
      <c r="G19">
        <v>3238.1</v>
      </c>
      <c r="H19">
        <f t="shared" si="0"/>
        <v>3082.1</v>
      </c>
      <c r="I19">
        <f t="shared" si="5"/>
        <v>27.066592898982179</v>
      </c>
      <c r="M19" s="3"/>
      <c r="S19" s="8"/>
    </row>
    <row r="20" spans="1:19" x14ac:dyDescent="0.25">
      <c r="A20" t="s">
        <v>268</v>
      </c>
      <c r="D20" s="3" t="s">
        <v>8</v>
      </c>
      <c r="E20" t="s">
        <v>4</v>
      </c>
      <c r="F20">
        <v>120.2</v>
      </c>
      <c r="G20">
        <v>8571.5</v>
      </c>
      <c r="H20">
        <f t="shared" si="0"/>
        <v>8451.2999999999993</v>
      </c>
      <c r="I20">
        <f>(H20/8451.3)*100</f>
        <v>100</v>
      </c>
      <c r="M20" s="3"/>
      <c r="S20" s="8"/>
    </row>
    <row r="21" spans="1:19" x14ac:dyDescent="0.25">
      <c r="A21" t="s">
        <v>269</v>
      </c>
      <c r="D21" s="3"/>
      <c r="E21" t="s">
        <v>42</v>
      </c>
      <c r="F21">
        <v>120.2</v>
      </c>
      <c r="G21">
        <v>1647</v>
      </c>
      <c r="H21">
        <f t="shared" si="0"/>
        <v>1526.8</v>
      </c>
      <c r="I21">
        <f t="shared" ref="I21:I22" si="6">(H21/8451.3)*100</f>
        <v>18.065859690225171</v>
      </c>
      <c r="M21" s="3"/>
      <c r="S21" s="8"/>
    </row>
    <row r="22" spans="1:19" x14ac:dyDescent="0.25">
      <c r="A22" t="s">
        <v>270</v>
      </c>
      <c r="D22" s="3"/>
      <c r="E22" t="s">
        <v>5</v>
      </c>
      <c r="F22">
        <v>120.2</v>
      </c>
      <c r="G22">
        <v>2735.9</v>
      </c>
      <c r="H22">
        <f t="shared" si="0"/>
        <v>2615.7000000000003</v>
      </c>
      <c r="I22">
        <f t="shared" si="6"/>
        <v>30.950268006105574</v>
      </c>
      <c r="M22" s="3"/>
      <c r="S22" s="8"/>
    </row>
    <row r="23" spans="1:19" x14ac:dyDescent="0.25">
      <c r="A23" t="s">
        <v>271</v>
      </c>
      <c r="D23" s="3" t="s">
        <v>45</v>
      </c>
      <c r="E23" t="s">
        <v>4</v>
      </c>
      <c r="F23">
        <v>176.1</v>
      </c>
      <c r="G23">
        <v>13474.3</v>
      </c>
      <c r="H23">
        <f t="shared" si="0"/>
        <v>13298.199999999999</v>
      </c>
      <c r="I23">
        <f>(H23/13298.2)*100</f>
        <v>99.999999999999986</v>
      </c>
      <c r="M23" s="3"/>
      <c r="S23" s="8"/>
    </row>
    <row r="24" spans="1:19" x14ac:dyDescent="0.25">
      <c r="A24" t="s">
        <v>272</v>
      </c>
      <c r="D24" s="3"/>
      <c r="E24" t="s">
        <v>42</v>
      </c>
      <c r="F24">
        <v>176.1</v>
      </c>
      <c r="G24">
        <v>5940.7</v>
      </c>
      <c r="H24">
        <f t="shared" si="0"/>
        <v>5764.5999999999995</v>
      </c>
      <c r="I24">
        <f t="shared" ref="I24:I25" si="7">(H24/13298.2)*100</f>
        <v>43.348723887443406</v>
      </c>
    </row>
    <row r="25" spans="1:19" x14ac:dyDescent="0.25">
      <c r="A25" t="s">
        <v>273</v>
      </c>
      <c r="D25" s="3"/>
      <c r="E25" t="s">
        <v>5</v>
      </c>
      <c r="F25">
        <v>176.1</v>
      </c>
      <c r="G25">
        <v>7314.3</v>
      </c>
      <c r="H25">
        <f t="shared" si="0"/>
        <v>7138.2</v>
      </c>
      <c r="I25">
        <f t="shared" si="7"/>
        <v>53.677941375524505</v>
      </c>
    </row>
    <row r="26" spans="1:19" x14ac:dyDescent="0.25">
      <c r="A26" t="s">
        <v>274</v>
      </c>
      <c r="D26" s="3" t="s">
        <v>46</v>
      </c>
      <c r="E26" t="s">
        <v>4</v>
      </c>
      <c r="F26">
        <v>186.7</v>
      </c>
      <c r="G26">
        <v>13922.9</v>
      </c>
      <c r="H26">
        <f t="shared" si="0"/>
        <v>13736.199999999999</v>
      </c>
      <c r="I26">
        <f>(H26/13736.2)*100</f>
        <v>99.999999999999986</v>
      </c>
    </row>
    <row r="27" spans="1:19" x14ac:dyDescent="0.25">
      <c r="A27" t="s">
        <v>275</v>
      </c>
      <c r="D27" s="3"/>
      <c r="E27" t="s">
        <v>42</v>
      </c>
      <c r="F27">
        <v>186.7</v>
      </c>
      <c r="G27">
        <v>6312.2</v>
      </c>
      <c r="H27">
        <f t="shared" si="0"/>
        <v>6125.5</v>
      </c>
      <c r="I27">
        <f t="shared" ref="I27:I28" si="8">(H27/13736.2)*100</f>
        <v>44.593846915449689</v>
      </c>
    </row>
    <row r="28" spans="1:19" x14ac:dyDescent="0.25">
      <c r="A28" t="s">
        <v>276</v>
      </c>
      <c r="D28" s="3"/>
      <c r="E28" t="s">
        <v>5</v>
      </c>
      <c r="F28">
        <v>186.7</v>
      </c>
      <c r="G28">
        <v>7551.2</v>
      </c>
      <c r="H28">
        <f t="shared" si="0"/>
        <v>7364.5</v>
      </c>
      <c r="I28">
        <f t="shared" si="8"/>
        <v>53.61380876807268</v>
      </c>
    </row>
    <row r="29" spans="1:19" x14ac:dyDescent="0.25">
      <c r="A29" t="s">
        <v>277</v>
      </c>
      <c r="D29" s="3" t="s">
        <v>47</v>
      </c>
      <c r="E29" t="s">
        <v>4</v>
      </c>
      <c r="F29">
        <v>190.3</v>
      </c>
      <c r="G29">
        <v>14172.3</v>
      </c>
      <c r="H29">
        <f t="shared" si="0"/>
        <v>13982</v>
      </c>
      <c r="I29">
        <f>(H29/13982)*100</f>
        <v>100</v>
      </c>
    </row>
    <row r="30" spans="1:19" x14ac:dyDescent="0.25">
      <c r="A30" t="s">
        <v>278</v>
      </c>
      <c r="D30" s="3"/>
      <c r="E30" t="s">
        <v>42</v>
      </c>
      <c r="F30">
        <v>190.3</v>
      </c>
      <c r="G30">
        <v>7109.5</v>
      </c>
      <c r="H30">
        <f t="shared" si="0"/>
        <v>6919.2</v>
      </c>
      <c r="I30">
        <f t="shared" ref="I30:I31" si="9">(H30/13982)*100</f>
        <v>49.486482620512085</v>
      </c>
    </row>
    <row r="31" spans="1:19" x14ac:dyDescent="0.25">
      <c r="A31" t="s">
        <v>279</v>
      </c>
      <c r="D31" s="3"/>
      <c r="E31" t="s">
        <v>5</v>
      </c>
      <c r="F31">
        <v>190.3</v>
      </c>
      <c r="G31">
        <v>8400.7000000000007</v>
      </c>
      <c r="H31">
        <f t="shared" si="0"/>
        <v>8210.4000000000015</v>
      </c>
      <c r="I31">
        <f t="shared" si="9"/>
        <v>58.721212988127604</v>
      </c>
    </row>
    <row r="32" spans="1:19" x14ac:dyDescent="0.25">
      <c r="A32" t="s">
        <v>280</v>
      </c>
    </row>
    <row r="33" spans="1:11" x14ac:dyDescent="0.25">
      <c r="A33" t="s">
        <v>281</v>
      </c>
    </row>
    <row r="34" spans="1:11" ht="32.25" customHeight="1" x14ac:dyDescent="0.25">
      <c r="A34" t="s">
        <v>282</v>
      </c>
      <c r="F34" s="1"/>
      <c r="G34" s="1"/>
      <c r="H34" s="1"/>
      <c r="I34" s="1"/>
      <c r="J34" s="1"/>
      <c r="K34" s="1"/>
    </row>
    <row r="35" spans="1:11" x14ac:dyDescent="0.25">
      <c r="A35" t="s">
        <v>283</v>
      </c>
      <c r="E35" s="3"/>
    </row>
    <row r="36" spans="1:11" x14ac:dyDescent="0.25">
      <c r="A36" t="s">
        <v>284</v>
      </c>
      <c r="E36" s="3"/>
    </row>
    <row r="37" spans="1:11" x14ac:dyDescent="0.25">
      <c r="A37" t="s">
        <v>285</v>
      </c>
      <c r="E37" s="3"/>
    </row>
    <row r="38" spans="1:11" x14ac:dyDescent="0.25">
      <c r="A38" t="s">
        <v>286</v>
      </c>
      <c r="E38" s="3"/>
    </row>
    <row r="39" spans="1:11" x14ac:dyDescent="0.25">
      <c r="A39" t="s">
        <v>287</v>
      </c>
      <c r="E39" s="3"/>
    </row>
    <row r="40" spans="1:11" x14ac:dyDescent="0.25">
      <c r="A40" t="s">
        <v>288</v>
      </c>
      <c r="E40" s="3"/>
    </row>
    <row r="41" spans="1:11" x14ac:dyDescent="0.25">
      <c r="A41" t="s">
        <v>289</v>
      </c>
      <c r="E41" s="3"/>
    </row>
    <row r="42" spans="1:11" x14ac:dyDescent="0.25">
      <c r="A42" t="s">
        <v>290</v>
      </c>
      <c r="E42" s="3"/>
    </row>
    <row r="43" spans="1:11" x14ac:dyDescent="0.25">
      <c r="A43" t="s">
        <v>291</v>
      </c>
    </row>
    <row r="44" spans="1:11" x14ac:dyDescent="0.25">
      <c r="A44" t="s">
        <v>292</v>
      </c>
    </row>
    <row r="45" spans="1:11" x14ac:dyDescent="0.25">
      <c r="A45" t="s">
        <v>293</v>
      </c>
    </row>
    <row r="46" spans="1:11" x14ac:dyDescent="0.25">
      <c r="A46" t="s">
        <v>294</v>
      </c>
    </row>
    <row r="47" spans="1:11" x14ac:dyDescent="0.25">
      <c r="A47" t="s">
        <v>295</v>
      </c>
    </row>
    <row r="48" spans="1:11" x14ac:dyDescent="0.25">
      <c r="A48" t="s">
        <v>296</v>
      </c>
    </row>
    <row r="49" spans="1:1" x14ac:dyDescent="0.25">
      <c r="A49" t="s">
        <v>297</v>
      </c>
    </row>
    <row r="50" spans="1:1" x14ac:dyDescent="0.25">
      <c r="A50" t="s">
        <v>298</v>
      </c>
    </row>
    <row r="53" spans="1:1" x14ac:dyDescent="0.25">
      <c r="A53" t="s">
        <v>317</v>
      </c>
    </row>
    <row r="55" spans="1:1" x14ac:dyDescent="0.25">
      <c r="A55" t="s">
        <v>1</v>
      </c>
    </row>
    <row r="56" spans="1:1" x14ac:dyDescent="0.25">
      <c r="A56" t="s">
        <v>299</v>
      </c>
    </row>
    <row r="57" spans="1:1" x14ac:dyDescent="0.25">
      <c r="A57" t="s">
        <v>300</v>
      </c>
    </row>
    <row r="58" spans="1:1" x14ac:dyDescent="0.25">
      <c r="A58" t="s">
        <v>301</v>
      </c>
    </row>
    <row r="59" spans="1:1" x14ac:dyDescent="0.25">
      <c r="A59" t="s">
        <v>302</v>
      </c>
    </row>
    <row r="60" spans="1:1" x14ac:dyDescent="0.25">
      <c r="A60" t="s">
        <v>303</v>
      </c>
    </row>
    <row r="61" spans="1:1" x14ac:dyDescent="0.25">
      <c r="A61" t="s">
        <v>304</v>
      </c>
    </row>
    <row r="62" spans="1:1" x14ac:dyDescent="0.25">
      <c r="A62" t="s">
        <v>305</v>
      </c>
    </row>
    <row r="63" spans="1:1" x14ac:dyDescent="0.25">
      <c r="A63" t="s">
        <v>306</v>
      </c>
    </row>
    <row r="64" spans="1:1" x14ac:dyDescent="0.25">
      <c r="A64" t="s">
        <v>308</v>
      </c>
    </row>
    <row r="65" spans="1:1" x14ac:dyDescent="0.25">
      <c r="A65" t="s">
        <v>309</v>
      </c>
    </row>
    <row r="66" spans="1:1" x14ac:dyDescent="0.25">
      <c r="A66" t="s">
        <v>310</v>
      </c>
    </row>
    <row r="67" spans="1:1" x14ac:dyDescent="0.25">
      <c r="A67" t="s">
        <v>311</v>
      </c>
    </row>
    <row r="68" spans="1:1" x14ac:dyDescent="0.25">
      <c r="A68" t="s">
        <v>312</v>
      </c>
    </row>
    <row r="69" spans="1:1" x14ac:dyDescent="0.25">
      <c r="A69" t="s">
        <v>313</v>
      </c>
    </row>
    <row r="70" spans="1:1" x14ac:dyDescent="0.25">
      <c r="A70" t="s">
        <v>314</v>
      </c>
    </row>
    <row r="71" spans="1:1" x14ac:dyDescent="0.25">
      <c r="A71" t="s">
        <v>315</v>
      </c>
    </row>
    <row r="72" spans="1:1" x14ac:dyDescent="0.25">
      <c r="A72" t="s">
        <v>316</v>
      </c>
    </row>
    <row r="73" spans="1:1" x14ac:dyDescent="0.25">
      <c r="A73" t="s">
        <v>307</v>
      </c>
    </row>
    <row r="75" spans="1:1" x14ac:dyDescent="0.25">
      <c r="A75" t="s">
        <v>334</v>
      </c>
    </row>
    <row r="77" spans="1:1" x14ac:dyDescent="0.25">
      <c r="A77" t="s">
        <v>1</v>
      </c>
    </row>
    <row r="78" spans="1:1" x14ac:dyDescent="0.25">
      <c r="A78" t="s">
        <v>318</v>
      </c>
    </row>
    <row r="79" spans="1:1" x14ac:dyDescent="0.25">
      <c r="A79" t="s">
        <v>319</v>
      </c>
    </row>
    <row r="80" spans="1:1" x14ac:dyDescent="0.25">
      <c r="A80" t="s">
        <v>320</v>
      </c>
    </row>
    <row r="81" spans="1:1" x14ac:dyDescent="0.25">
      <c r="A81" t="s">
        <v>321</v>
      </c>
    </row>
    <row r="82" spans="1:1" x14ac:dyDescent="0.25">
      <c r="A82" t="s">
        <v>322</v>
      </c>
    </row>
    <row r="83" spans="1:1" x14ac:dyDescent="0.25">
      <c r="A83" t="s">
        <v>323</v>
      </c>
    </row>
    <row r="84" spans="1:1" x14ac:dyDescent="0.25">
      <c r="A84" t="s">
        <v>324</v>
      </c>
    </row>
    <row r="85" spans="1:1" x14ac:dyDescent="0.25">
      <c r="A85" t="s">
        <v>325</v>
      </c>
    </row>
    <row r="86" spans="1:1" x14ac:dyDescent="0.25">
      <c r="A86" t="s">
        <v>326</v>
      </c>
    </row>
    <row r="87" spans="1:1" x14ac:dyDescent="0.25">
      <c r="A87" t="s">
        <v>327</v>
      </c>
    </row>
    <row r="88" spans="1:1" x14ac:dyDescent="0.25">
      <c r="A88" t="s">
        <v>328</v>
      </c>
    </row>
    <row r="89" spans="1:1" x14ac:dyDescent="0.25">
      <c r="A89" t="s">
        <v>329</v>
      </c>
    </row>
    <row r="90" spans="1:1" x14ac:dyDescent="0.25">
      <c r="A90" t="s">
        <v>330</v>
      </c>
    </row>
    <row r="91" spans="1:1" x14ac:dyDescent="0.25">
      <c r="A91" t="s">
        <v>331</v>
      </c>
    </row>
    <row r="92" spans="1:1" x14ac:dyDescent="0.25">
      <c r="A92" t="s">
        <v>332</v>
      </c>
    </row>
    <row r="93" spans="1:1" x14ac:dyDescent="0.25">
      <c r="A93" t="s">
        <v>333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8069-37A0-4FF1-9B19-CB7DE43DC265}">
  <dimension ref="A1:U61"/>
  <sheetViews>
    <sheetView tabSelected="1" workbookViewId="0">
      <selection activeCell="A7" sqref="A7:A47"/>
    </sheetView>
  </sheetViews>
  <sheetFormatPr defaultRowHeight="15" x14ac:dyDescent="0.25"/>
  <cols>
    <col min="1" max="1" width="52.42578125" bestFit="1" customWidth="1"/>
    <col min="4" max="4" width="12.28515625" bestFit="1" customWidth="1"/>
    <col min="6" max="6" width="12.140625" customWidth="1"/>
    <col min="8" max="8" width="11.28515625" customWidth="1"/>
    <col min="9" max="9" width="10" customWidth="1"/>
  </cols>
  <sheetData>
    <row r="1" spans="1:21" x14ac:dyDescent="0.25">
      <c r="A1" t="s">
        <v>373</v>
      </c>
    </row>
    <row r="2" spans="1:21" x14ac:dyDescent="0.25">
      <c r="A2" t="s">
        <v>374</v>
      </c>
    </row>
    <row r="3" spans="1:21" x14ac:dyDescent="0.25">
      <c r="A3" t="s">
        <v>0</v>
      </c>
    </row>
    <row r="4" spans="1:21" ht="45" x14ac:dyDescent="0.25">
      <c r="F4" s="1" t="s">
        <v>9</v>
      </c>
      <c r="G4" s="1" t="s">
        <v>10</v>
      </c>
      <c r="H4" s="1" t="s">
        <v>11</v>
      </c>
      <c r="I4" s="1" t="s">
        <v>12</v>
      </c>
      <c r="S4" s="2"/>
    </row>
    <row r="5" spans="1:21" x14ac:dyDescent="0.25">
      <c r="A5" t="s">
        <v>1</v>
      </c>
      <c r="D5" s="3" t="s">
        <v>3</v>
      </c>
      <c r="E5" t="s">
        <v>4</v>
      </c>
      <c r="F5" s="2">
        <v>153</v>
      </c>
      <c r="G5">
        <v>27174.5</v>
      </c>
      <c r="H5">
        <f t="shared" ref="H5:H31" si="0">G5-F5</f>
        <v>27021.5</v>
      </c>
      <c r="I5">
        <f>(H5/27021.5)*100</f>
        <v>100</v>
      </c>
      <c r="N5" s="4">
        <v>45169</v>
      </c>
      <c r="O5" s="4">
        <v>45172</v>
      </c>
      <c r="P5" s="4">
        <v>45177</v>
      </c>
      <c r="Q5" s="4">
        <v>45178</v>
      </c>
      <c r="R5" s="4">
        <v>45180</v>
      </c>
      <c r="S5" s="10">
        <v>45182</v>
      </c>
      <c r="T5" s="4">
        <v>45184</v>
      </c>
      <c r="U5" s="4">
        <v>45191</v>
      </c>
    </row>
    <row r="6" spans="1:21" x14ac:dyDescent="0.25">
      <c r="A6" t="s">
        <v>2</v>
      </c>
      <c r="D6" s="3"/>
      <c r="E6" t="s">
        <v>42</v>
      </c>
      <c r="F6" s="2">
        <v>153</v>
      </c>
      <c r="G6">
        <v>1749.5</v>
      </c>
      <c r="H6">
        <f t="shared" si="0"/>
        <v>1596.5</v>
      </c>
      <c r="I6">
        <f t="shared" ref="I6:I7" si="1">(H6/27021.5)*100</f>
        <v>5.9082582388098368</v>
      </c>
      <c r="L6" s="5" t="s">
        <v>5</v>
      </c>
      <c r="M6" s="6" t="s">
        <v>376</v>
      </c>
      <c r="N6">
        <v>12.08</v>
      </c>
      <c r="P6">
        <v>16.97</v>
      </c>
      <c r="Q6">
        <v>19.670000000000002</v>
      </c>
      <c r="R6">
        <v>19.170000000000002</v>
      </c>
      <c r="S6" s="2">
        <v>10.17</v>
      </c>
      <c r="T6">
        <v>16.84</v>
      </c>
      <c r="U6">
        <v>19.07</v>
      </c>
    </row>
    <row r="7" spans="1:21" x14ac:dyDescent="0.25">
      <c r="A7" t="s">
        <v>335</v>
      </c>
      <c r="D7" s="3"/>
      <c r="E7" t="s">
        <v>5</v>
      </c>
      <c r="F7" s="2">
        <v>153</v>
      </c>
      <c r="G7">
        <v>5305.5</v>
      </c>
      <c r="H7">
        <f t="shared" si="0"/>
        <v>5152.5</v>
      </c>
      <c r="I7">
        <f t="shared" si="1"/>
        <v>19.068149436559775</v>
      </c>
      <c r="M7" s="3" t="s">
        <v>199</v>
      </c>
      <c r="N7">
        <v>14.89</v>
      </c>
      <c r="O7">
        <v>10.199999999999999</v>
      </c>
      <c r="P7">
        <v>21.99</v>
      </c>
      <c r="Q7">
        <v>22.96</v>
      </c>
      <c r="R7">
        <v>23.96</v>
      </c>
      <c r="S7" s="2">
        <v>12.51</v>
      </c>
      <c r="T7">
        <v>21.59</v>
      </c>
      <c r="U7">
        <v>21.32</v>
      </c>
    </row>
    <row r="8" spans="1:21" x14ac:dyDescent="0.25">
      <c r="A8" t="s">
        <v>336</v>
      </c>
      <c r="D8" s="3" t="s">
        <v>43</v>
      </c>
      <c r="E8" t="s">
        <v>4</v>
      </c>
      <c r="F8">
        <v>129</v>
      </c>
      <c r="G8">
        <v>21790.7</v>
      </c>
      <c r="H8">
        <f t="shared" si="0"/>
        <v>21661.7</v>
      </c>
      <c r="I8">
        <f>(H8/21661.7)*100</f>
        <v>100</v>
      </c>
      <c r="M8" s="3" t="s">
        <v>200</v>
      </c>
      <c r="N8">
        <v>23.51</v>
      </c>
      <c r="O8">
        <v>23.69</v>
      </c>
      <c r="P8">
        <v>29.45</v>
      </c>
      <c r="Q8">
        <v>29.81</v>
      </c>
      <c r="R8">
        <v>32.19</v>
      </c>
      <c r="S8" s="2">
        <v>17.690000000000001</v>
      </c>
      <c r="T8">
        <v>26.91</v>
      </c>
      <c r="U8">
        <v>27.11</v>
      </c>
    </row>
    <row r="9" spans="1:21" x14ac:dyDescent="0.25">
      <c r="A9" t="s">
        <v>337</v>
      </c>
      <c r="D9" s="3"/>
      <c r="E9" t="s">
        <v>42</v>
      </c>
      <c r="F9">
        <v>129</v>
      </c>
      <c r="G9">
        <v>1553</v>
      </c>
      <c r="H9">
        <f t="shared" si="0"/>
        <v>1424</v>
      </c>
      <c r="I9">
        <f t="shared" ref="I9:I10" si="2">(H9/21661.7)*100</f>
        <v>6.5738146128881851</v>
      </c>
      <c r="M9" s="3" t="s">
        <v>201</v>
      </c>
      <c r="O9">
        <v>22.67</v>
      </c>
      <c r="P9">
        <v>29.26</v>
      </c>
      <c r="Q9">
        <v>24.91</v>
      </c>
      <c r="R9">
        <v>30.76</v>
      </c>
      <c r="S9" s="2">
        <v>19.53</v>
      </c>
      <c r="T9">
        <v>28.51</v>
      </c>
      <c r="U9">
        <v>44.42</v>
      </c>
    </row>
    <row r="10" spans="1:21" x14ac:dyDescent="0.25">
      <c r="A10" t="s">
        <v>338</v>
      </c>
      <c r="D10" s="3"/>
      <c r="E10" t="s">
        <v>5</v>
      </c>
      <c r="F10">
        <v>129</v>
      </c>
      <c r="G10">
        <v>4747</v>
      </c>
      <c r="H10">
        <f t="shared" si="0"/>
        <v>4618</v>
      </c>
      <c r="I10">
        <f t="shared" si="2"/>
        <v>21.318733063425306</v>
      </c>
      <c r="M10" s="3" t="s">
        <v>202</v>
      </c>
      <c r="N10">
        <v>29.98</v>
      </c>
      <c r="O10">
        <v>40.26</v>
      </c>
      <c r="P10">
        <v>33.020000000000003</v>
      </c>
      <c r="Q10">
        <v>26.62</v>
      </c>
      <c r="R10">
        <v>35.840000000000003</v>
      </c>
      <c r="S10" s="2">
        <v>19.920000000000002</v>
      </c>
      <c r="T10">
        <v>27.07</v>
      </c>
      <c r="U10">
        <v>27.65</v>
      </c>
    </row>
    <row r="11" spans="1:21" x14ac:dyDescent="0.25">
      <c r="A11" t="s">
        <v>339</v>
      </c>
      <c r="D11" s="3" t="s">
        <v>6</v>
      </c>
      <c r="E11" t="s">
        <v>4</v>
      </c>
      <c r="F11">
        <v>142.80000000000001</v>
      </c>
      <c r="G11">
        <v>20621.3</v>
      </c>
      <c r="H11">
        <f t="shared" si="0"/>
        <v>20478.5</v>
      </c>
      <c r="I11">
        <f>(H11/20478.5)*100</f>
        <v>100</v>
      </c>
      <c r="M11" s="3" t="s">
        <v>203</v>
      </c>
      <c r="O11">
        <v>25.63</v>
      </c>
      <c r="P11">
        <v>37.28</v>
      </c>
      <c r="Q11">
        <v>29.01</v>
      </c>
      <c r="R11">
        <v>43.53</v>
      </c>
      <c r="S11" s="2">
        <v>23.06</v>
      </c>
      <c r="T11">
        <v>30.95</v>
      </c>
      <c r="U11">
        <v>34.71</v>
      </c>
    </row>
    <row r="12" spans="1:21" x14ac:dyDescent="0.25">
      <c r="A12" t="s">
        <v>340</v>
      </c>
      <c r="D12" s="3"/>
      <c r="E12" t="s">
        <v>42</v>
      </c>
      <c r="F12">
        <v>142.80000000000001</v>
      </c>
      <c r="G12">
        <v>3546.3</v>
      </c>
      <c r="H12">
        <f t="shared" si="0"/>
        <v>3403.5</v>
      </c>
      <c r="I12">
        <f t="shared" ref="I12:I13" si="3">(H12/20478.5)*100</f>
        <v>16.619869619356887</v>
      </c>
      <c r="M12" s="3" t="s">
        <v>204</v>
      </c>
      <c r="N12">
        <v>57.71</v>
      </c>
      <c r="O12">
        <v>53.46</v>
      </c>
      <c r="P12">
        <v>58.98</v>
      </c>
      <c r="Q12">
        <v>53.86</v>
      </c>
      <c r="R12">
        <v>68.489999999999995</v>
      </c>
      <c r="S12" s="2">
        <v>47.03</v>
      </c>
      <c r="T12">
        <v>53.68</v>
      </c>
      <c r="U12">
        <v>52.28</v>
      </c>
    </row>
    <row r="13" spans="1:21" x14ac:dyDescent="0.25">
      <c r="A13" t="s">
        <v>341</v>
      </c>
      <c r="D13" s="3"/>
      <c r="E13" t="s">
        <v>5</v>
      </c>
      <c r="F13">
        <v>142.80000000000001</v>
      </c>
      <c r="G13">
        <v>5694.6</v>
      </c>
      <c r="H13">
        <f t="shared" si="0"/>
        <v>5551.8</v>
      </c>
      <c r="I13">
        <f t="shared" si="3"/>
        <v>27.110384061332617</v>
      </c>
      <c r="M13" s="3" t="s">
        <v>205</v>
      </c>
      <c r="N13">
        <v>62.44</v>
      </c>
      <c r="O13">
        <v>45.56</v>
      </c>
      <c r="P13">
        <v>53.39</v>
      </c>
      <c r="Q13">
        <v>50</v>
      </c>
      <c r="R13">
        <v>62.57</v>
      </c>
      <c r="S13" s="2">
        <v>50.08</v>
      </c>
      <c r="T13">
        <v>53.61</v>
      </c>
      <c r="U13">
        <v>45.89</v>
      </c>
    </row>
    <row r="14" spans="1:21" x14ac:dyDescent="0.25">
      <c r="A14" t="s">
        <v>342</v>
      </c>
      <c r="D14" s="3" t="s">
        <v>7</v>
      </c>
      <c r="E14" t="s">
        <v>4</v>
      </c>
      <c r="F14">
        <v>139.80000000000001</v>
      </c>
      <c r="G14">
        <v>14819.6</v>
      </c>
      <c r="H14">
        <f t="shared" si="0"/>
        <v>14679.800000000001</v>
      </c>
      <c r="I14">
        <f>(H14/14679.8)*100</f>
        <v>100.00000000000003</v>
      </c>
      <c r="M14" s="3" t="s">
        <v>206</v>
      </c>
      <c r="N14">
        <v>59.47</v>
      </c>
      <c r="O14">
        <v>53.38</v>
      </c>
      <c r="P14">
        <v>59.94</v>
      </c>
      <c r="Q14">
        <v>53.5</v>
      </c>
      <c r="R14">
        <v>61.76</v>
      </c>
      <c r="S14" s="2">
        <v>56.55</v>
      </c>
      <c r="T14">
        <v>58.72</v>
      </c>
      <c r="U14">
        <v>58.02</v>
      </c>
    </row>
    <row r="15" spans="1:21" x14ac:dyDescent="0.25">
      <c r="A15" t="s">
        <v>343</v>
      </c>
      <c r="D15" s="3"/>
      <c r="E15" t="s">
        <v>42</v>
      </c>
      <c r="F15">
        <v>139.80000000000001</v>
      </c>
      <c r="G15">
        <v>4065.4</v>
      </c>
      <c r="H15">
        <f t="shared" si="0"/>
        <v>3925.6</v>
      </c>
      <c r="I15">
        <f t="shared" ref="I15:I16" si="4">(H15/14679.8)*100</f>
        <v>26.741508739901086</v>
      </c>
      <c r="L15" s="5" t="s">
        <v>42</v>
      </c>
      <c r="M15" s="6" t="s">
        <v>376</v>
      </c>
      <c r="N15">
        <v>6.21</v>
      </c>
      <c r="P15">
        <v>5.73</v>
      </c>
      <c r="Q15">
        <v>6.99</v>
      </c>
      <c r="R15">
        <v>6.16</v>
      </c>
      <c r="S15" s="2">
        <v>3.58</v>
      </c>
      <c r="T15">
        <v>4.88</v>
      </c>
      <c r="U15">
        <v>5.91</v>
      </c>
    </row>
    <row r="16" spans="1:21" x14ac:dyDescent="0.25">
      <c r="A16" t="s">
        <v>344</v>
      </c>
      <c r="D16" s="3"/>
      <c r="E16" t="s">
        <v>5</v>
      </c>
      <c r="F16">
        <v>139.80000000000001</v>
      </c>
      <c r="G16">
        <v>6661</v>
      </c>
      <c r="H16">
        <f t="shared" si="0"/>
        <v>6521.2</v>
      </c>
      <c r="I16">
        <f t="shared" si="4"/>
        <v>44.422948541533266</v>
      </c>
      <c r="M16" s="3" t="s">
        <v>199</v>
      </c>
      <c r="N16">
        <v>9.0500000000000007</v>
      </c>
      <c r="O16">
        <v>6.92</v>
      </c>
      <c r="P16">
        <v>9.81</v>
      </c>
      <c r="Q16">
        <v>11.42</v>
      </c>
      <c r="R16">
        <v>9.14</v>
      </c>
      <c r="S16" s="2">
        <v>4.6399999999999997</v>
      </c>
      <c r="T16">
        <v>6.31</v>
      </c>
      <c r="U16">
        <v>6.57</v>
      </c>
    </row>
    <row r="17" spans="1:21" x14ac:dyDescent="0.25">
      <c r="A17" t="s">
        <v>345</v>
      </c>
      <c r="D17" s="3" t="s">
        <v>44</v>
      </c>
      <c r="E17" t="s">
        <v>4</v>
      </c>
      <c r="F17">
        <v>129.80000000000001</v>
      </c>
      <c r="G17">
        <v>20947.400000000001</v>
      </c>
      <c r="H17">
        <f t="shared" si="0"/>
        <v>20817.600000000002</v>
      </c>
      <c r="I17">
        <f>(H17/20817.6)*100</f>
        <v>100.00000000000003</v>
      </c>
      <c r="M17" s="3" t="s">
        <v>200</v>
      </c>
      <c r="N17">
        <v>18.84</v>
      </c>
      <c r="O17">
        <v>19.940000000000001</v>
      </c>
      <c r="P17">
        <v>22.13</v>
      </c>
      <c r="Q17">
        <v>21.21</v>
      </c>
      <c r="R17">
        <v>17.05</v>
      </c>
      <c r="S17" s="2">
        <v>9.7799999999999994</v>
      </c>
      <c r="T17">
        <v>14</v>
      </c>
      <c r="U17">
        <v>16.62</v>
      </c>
    </row>
    <row r="18" spans="1:21" x14ac:dyDescent="0.25">
      <c r="A18" t="s">
        <v>346</v>
      </c>
      <c r="D18" s="3"/>
      <c r="E18" t="s">
        <v>42</v>
      </c>
      <c r="F18">
        <v>129.80000000000001</v>
      </c>
      <c r="G18">
        <v>3129.2</v>
      </c>
      <c r="H18">
        <f t="shared" si="0"/>
        <v>2999.3999999999996</v>
      </c>
      <c r="I18">
        <f t="shared" ref="I18:I19" si="5">(H18/20817.6)*100</f>
        <v>14.408000922296518</v>
      </c>
      <c r="M18" s="3" t="s">
        <v>201</v>
      </c>
      <c r="O18">
        <v>19.649999999999999</v>
      </c>
      <c r="P18">
        <v>21.19</v>
      </c>
      <c r="Q18">
        <v>24.91</v>
      </c>
      <c r="R18">
        <v>17.690000000000001</v>
      </c>
      <c r="S18" s="2">
        <v>13.26</v>
      </c>
      <c r="T18">
        <v>16.52</v>
      </c>
      <c r="U18">
        <v>26.74</v>
      </c>
    </row>
    <row r="19" spans="1:21" x14ac:dyDescent="0.25">
      <c r="A19" t="s">
        <v>347</v>
      </c>
      <c r="D19" s="3"/>
      <c r="E19" t="s">
        <v>5</v>
      </c>
      <c r="F19">
        <v>129.80000000000001</v>
      </c>
      <c r="G19">
        <v>5885.1</v>
      </c>
      <c r="H19">
        <f t="shared" si="0"/>
        <v>5755.3</v>
      </c>
      <c r="I19">
        <f t="shared" si="5"/>
        <v>27.646318499730999</v>
      </c>
      <c r="M19" s="3" t="s">
        <v>202</v>
      </c>
      <c r="N19">
        <v>21.08</v>
      </c>
      <c r="O19">
        <v>35.57</v>
      </c>
      <c r="P19">
        <v>20.47</v>
      </c>
      <c r="Q19">
        <v>26.62</v>
      </c>
      <c r="R19">
        <v>19.32</v>
      </c>
      <c r="S19" s="2">
        <v>9.58</v>
      </c>
      <c r="T19">
        <v>13.06</v>
      </c>
      <c r="U19">
        <v>14.41</v>
      </c>
    </row>
    <row r="20" spans="1:21" x14ac:dyDescent="0.25">
      <c r="A20" t="s">
        <v>348</v>
      </c>
      <c r="D20" s="3" t="s">
        <v>8</v>
      </c>
      <c r="E20" t="s">
        <v>4</v>
      </c>
      <c r="F20">
        <v>93.2</v>
      </c>
      <c r="G20">
        <v>12865.7</v>
      </c>
      <c r="H20">
        <f t="shared" si="0"/>
        <v>12772.5</v>
      </c>
      <c r="I20">
        <f>(H20/12772.5)*100</f>
        <v>100</v>
      </c>
      <c r="M20" s="3" t="s">
        <v>203</v>
      </c>
      <c r="O20">
        <v>21.59</v>
      </c>
      <c r="P20">
        <v>24.81</v>
      </c>
      <c r="Q20">
        <v>29.01</v>
      </c>
      <c r="R20">
        <v>26.86</v>
      </c>
      <c r="S20" s="2">
        <v>12.52</v>
      </c>
      <c r="T20">
        <v>18.07</v>
      </c>
      <c r="U20">
        <v>17.940000000000001</v>
      </c>
    </row>
    <row r="21" spans="1:21" x14ac:dyDescent="0.25">
      <c r="A21" t="s">
        <v>349</v>
      </c>
      <c r="D21" s="3"/>
      <c r="E21" t="s">
        <v>42</v>
      </c>
      <c r="F21">
        <v>93.2</v>
      </c>
      <c r="G21">
        <v>2384</v>
      </c>
      <c r="H21">
        <f t="shared" si="0"/>
        <v>2290.8000000000002</v>
      </c>
      <c r="I21">
        <f t="shared" ref="I21:I22" si="6">(H21/12772.5)*100</f>
        <v>17.935408103347037</v>
      </c>
      <c r="M21" s="3" t="s">
        <v>204</v>
      </c>
      <c r="N21">
        <v>50.95</v>
      </c>
      <c r="O21">
        <v>49.58</v>
      </c>
      <c r="P21">
        <v>49.16</v>
      </c>
      <c r="Q21">
        <v>50.44</v>
      </c>
      <c r="R21">
        <v>51.03</v>
      </c>
      <c r="S21" s="2">
        <v>38.76</v>
      </c>
      <c r="T21">
        <v>43.35</v>
      </c>
      <c r="U21">
        <v>43.3</v>
      </c>
    </row>
    <row r="22" spans="1:21" x14ac:dyDescent="0.25">
      <c r="A22" t="s">
        <v>350</v>
      </c>
      <c r="D22" s="3"/>
      <c r="E22" t="s">
        <v>5</v>
      </c>
      <c r="F22">
        <v>93.2</v>
      </c>
      <c r="G22">
        <v>4526.1000000000004</v>
      </c>
      <c r="H22">
        <f t="shared" si="0"/>
        <v>4432.9000000000005</v>
      </c>
      <c r="I22">
        <f t="shared" si="6"/>
        <v>34.706596202779409</v>
      </c>
      <c r="M22" s="3" t="s">
        <v>205</v>
      </c>
      <c r="N22">
        <v>54.06</v>
      </c>
      <c r="O22">
        <v>43.45</v>
      </c>
      <c r="P22">
        <v>45.97</v>
      </c>
      <c r="Q22">
        <v>47.78</v>
      </c>
      <c r="R22">
        <v>46.2</v>
      </c>
      <c r="S22" s="2">
        <v>41.05</v>
      </c>
      <c r="T22">
        <v>44.59</v>
      </c>
      <c r="U22">
        <v>40.049999999999997</v>
      </c>
    </row>
    <row r="23" spans="1:21" x14ac:dyDescent="0.25">
      <c r="A23" t="s">
        <v>351</v>
      </c>
      <c r="D23" s="3" t="s">
        <v>45</v>
      </c>
      <c r="E23" t="s">
        <v>4</v>
      </c>
      <c r="F23">
        <v>137.80000000000001</v>
      </c>
      <c r="G23">
        <v>24127.3</v>
      </c>
      <c r="H23">
        <f t="shared" si="0"/>
        <v>23989.5</v>
      </c>
      <c r="I23">
        <f>(H23/23989.5)*100</f>
        <v>100</v>
      </c>
      <c r="M23" s="3" t="s">
        <v>206</v>
      </c>
      <c r="N23">
        <v>49.59</v>
      </c>
      <c r="O23">
        <v>45.73</v>
      </c>
      <c r="P23">
        <v>50.74</v>
      </c>
      <c r="Q23">
        <v>53.5</v>
      </c>
      <c r="R23">
        <v>47.94</v>
      </c>
      <c r="S23" s="2">
        <v>45.35</v>
      </c>
      <c r="T23">
        <v>49.49</v>
      </c>
      <c r="U23">
        <v>42.61</v>
      </c>
    </row>
    <row r="24" spans="1:21" x14ac:dyDescent="0.25">
      <c r="A24" t="s">
        <v>352</v>
      </c>
      <c r="D24" s="3"/>
      <c r="E24" t="s">
        <v>42</v>
      </c>
      <c r="F24">
        <v>137.80000000000001</v>
      </c>
      <c r="G24">
        <v>10524.2</v>
      </c>
      <c r="H24">
        <f t="shared" si="0"/>
        <v>10386.400000000001</v>
      </c>
      <c r="I24">
        <f t="shared" ref="I24:I25" si="7">(H24/23989.5)*100</f>
        <v>43.295608495383405</v>
      </c>
    </row>
    <row r="25" spans="1:21" x14ac:dyDescent="0.25">
      <c r="A25" t="s">
        <v>353</v>
      </c>
      <c r="D25" s="3"/>
      <c r="E25" t="s">
        <v>5</v>
      </c>
      <c r="F25">
        <v>137.80000000000001</v>
      </c>
      <c r="G25">
        <v>12678.9</v>
      </c>
      <c r="H25">
        <f t="shared" si="0"/>
        <v>12541.1</v>
      </c>
      <c r="I25">
        <f t="shared" si="7"/>
        <v>52.277454719773232</v>
      </c>
    </row>
    <row r="26" spans="1:21" x14ac:dyDescent="0.25">
      <c r="A26" t="s">
        <v>354</v>
      </c>
      <c r="D26" s="3" t="s">
        <v>46</v>
      </c>
      <c r="E26" t="s">
        <v>4</v>
      </c>
      <c r="F26">
        <v>139.5</v>
      </c>
      <c r="G26">
        <v>22795.7</v>
      </c>
      <c r="H26">
        <f t="shared" si="0"/>
        <v>22656.2</v>
      </c>
      <c r="I26">
        <f>(H26/22656.2)*100</f>
        <v>100</v>
      </c>
    </row>
    <row r="27" spans="1:21" x14ac:dyDescent="0.25">
      <c r="A27" t="s">
        <v>355</v>
      </c>
      <c r="D27" s="3"/>
      <c r="E27" t="s">
        <v>42</v>
      </c>
      <c r="F27">
        <v>139.5</v>
      </c>
      <c r="G27">
        <v>9214.1</v>
      </c>
      <c r="H27">
        <f t="shared" si="0"/>
        <v>9074.6</v>
      </c>
      <c r="I27">
        <f t="shared" ref="I27:I28" si="8">(H27/22656.2)*100</f>
        <v>40.053495290472362</v>
      </c>
    </row>
    <row r="28" spans="1:21" x14ac:dyDescent="0.25">
      <c r="A28" t="s">
        <v>356</v>
      </c>
      <c r="D28" s="3"/>
      <c r="E28" t="s">
        <v>5</v>
      </c>
      <c r="F28">
        <v>139.5</v>
      </c>
      <c r="G28">
        <v>10536.2</v>
      </c>
      <c r="H28">
        <f t="shared" si="0"/>
        <v>10396.700000000001</v>
      </c>
      <c r="I28">
        <f t="shared" si="8"/>
        <v>45.888984030861316</v>
      </c>
    </row>
    <row r="29" spans="1:21" x14ac:dyDescent="0.25">
      <c r="A29" t="s">
        <v>357</v>
      </c>
      <c r="D29" s="3" t="s">
        <v>47</v>
      </c>
      <c r="E29" t="s">
        <v>4</v>
      </c>
      <c r="F29">
        <v>143.5</v>
      </c>
      <c r="G29">
        <v>22598.3</v>
      </c>
      <c r="H29">
        <f t="shared" si="0"/>
        <v>22454.799999999999</v>
      </c>
      <c r="I29">
        <f>(H29/22454.8)*100</f>
        <v>100</v>
      </c>
    </row>
    <row r="30" spans="1:21" x14ac:dyDescent="0.25">
      <c r="A30" t="s">
        <v>358</v>
      </c>
      <c r="D30" s="3"/>
      <c r="E30" t="s">
        <v>42</v>
      </c>
      <c r="F30">
        <v>143.5</v>
      </c>
      <c r="G30">
        <v>9710.7000000000007</v>
      </c>
      <c r="H30">
        <f t="shared" si="0"/>
        <v>9567.2000000000007</v>
      </c>
      <c r="I30">
        <f t="shared" ref="I30:I31" si="9">(H30/22454.8)*100</f>
        <v>42.606480574309288</v>
      </c>
    </row>
    <row r="31" spans="1:21" x14ac:dyDescent="0.25">
      <c r="A31" t="s">
        <v>359</v>
      </c>
      <c r="D31" s="3"/>
      <c r="E31" t="s">
        <v>5</v>
      </c>
      <c r="F31">
        <v>143.5</v>
      </c>
      <c r="G31">
        <v>13172.3</v>
      </c>
      <c r="H31">
        <f t="shared" si="0"/>
        <v>13028.8</v>
      </c>
      <c r="I31">
        <f t="shared" si="9"/>
        <v>58.022338208311808</v>
      </c>
    </row>
    <row r="32" spans="1:21" x14ac:dyDescent="0.25">
      <c r="A32" t="s">
        <v>360</v>
      </c>
    </row>
    <row r="33" spans="1:9" x14ac:dyDescent="0.25">
      <c r="A33" t="s">
        <v>361</v>
      </c>
    </row>
    <row r="34" spans="1:9" x14ac:dyDescent="0.25">
      <c r="A34" t="s">
        <v>362</v>
      </c>
      <c r="D34" s="9"/>
      <c r="F34" s="1"/>
      <c r="G34" s="1"/>
      <c r="H34" s="1"/>
      <c r="I34" s="1"/>
    </row>
    <row r="35" spans="1:9" x14ac:dyDescent="0.25">
      <c r="A35" t="s">
        <v>363</v>
      </c>
      <c r="D35" s="3"/>
      <c r="F35" s="2"/>
    </row>
    <row r="36" spans="1:9" x14ac:dyDescent="0.25">
      <c r="A36" t="s">
        <v>364</v>
      </c>
      <c r="D36" s="3"/>
      <c r="F36" s="2"/>
    </row>
    <row r="37" spans="1:9" x14ac:dyDescent="0.25">
      <c r="A37" t="s">
        <v>365</v>
      </c>
      <c r="D37" s="3"/>
      <c r="F37" s="2"/>
    </row>
    <row r="38" spans="1:9" x14ac:dyDescent="0.25">
      <c r="A38" t="s">
        <v>366</v>
      </c>
      <c r="D38" s="3"/>
    </row>
    <row r="39" spans="1:9" x14ac:dyDescent="0.25">
      <c r="A39" t="s">
        <v>367</v>
      </c>
      <c r="D39" s="3"/>
    </row>
    <row r="40" spans="1:9" x14ac:dyDescent="0.25">
      <c r="A40" t="s">
        <v>368</v>
      </c>
      <c r="D40" s="3"/>
    </row>
    <row r="41" spans="1:9" x14ac:dyDescent="0.25">
      <c r="A41" t="s">
        <v>369</v>
      </c>
      <c r="D41" s="3"/>
    </row>
    <row r="42" spans="1:9" x14ac:dyDescent="0.25">
      <c r="A42" t="s">
        <v>370</v>
      </c>
      <c r="D42" s="3"/>
    </row>
    <row r="43" spans="1:9" x14ac:dyDescent="0.25">
      <c r="A43" t="s">
        <v>371</v>
      </c>
      <c r="D43" s="3"/>
    </row>
    <row r="44" spans="1:9" x14ac:dyDescent="0.25">
      <c r="A44" t="s">
        <v>372</v>
      </c>
      <c r="D44" s="3"/>
    </row>
    <row r="45" spans="1:9" x14ac:dyDescent="0.25">
      <c r="D45" s="3"/>
    </row>
    <row r="46" spans="1:9" x14ac:dyDescent="0.25">
      <c r="D46" s="3"/>
    </row>
    <row r="47" spans="1:9" x14ac:dyDescent="0.25">
      <c r="D47" s="3"/>
    </row>
    <row r="48" spans="1:9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8-31-23</vt:lpstr>
      <vt:lpstr>9-3-23</vt:lpstr>
      <vt:lpstr>9-8-23</vt:lpstr>
      <vt:lpstr>9-9-23</vt:lpstr>
      <vt:lpstr>9-11-23</vt:lpstr>
      <vt:lpstr>9-13-23</vt:lpstr>
      <vt:lpstr>9-15-23</vt:lpstr>
      <vt:lpstr>9-22-23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</dc:creator>
  <cp:lastModifiedBy>EMEL AKDOGAN</cp:lastModifiedBy>
  <dcterms:created xsi:type="dcterms:W3CDTF">2023-08-15T19:14:32Z</dcterms:created>
  <dcterms:modified xsi:type="dcterms:W3CDTF">2025-03-20T22:20:13Z</dcterms:modified>
</cp:coreProperties>
</file>