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l-FPR1EndocytosisCalculations-2022-23\"/>
    </mc:Choice>
  </mc:AlternateContent>
  <xr:revisionPtr revIDLastSave="0" documentId="13_ncr:1_{C14C9A4D-945F-43CB-B4AF-E4A7D30252BF}" xr6:coauthVersionLast="47" xr6:coauthVersionMax="47" xr10:uidLastSave="{00000000-0000-0000-0000-000000000000}"/>
  <bookViews>
    <workbookView xWindow="-120" yWindow="-120" windowWidth="29040" windowHeight="15840" activeTab="2" xr2:uid="{CDCF5E6B-61A9-4FEA-8888-0FCB2A5A8ADA}"/>
  </bookViews>
  <sheets>
    <sheet name="PrimNAV24" sheetId="1" r:id="rId1"/>
    <sheet name="PrimCmpd24" sheetId="2" r:id="rId2"/>
    <sheet name="PrimFH2i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I5" i="3"/>
  <c r="J5" i="3"/>
  <c r="I6" i="3"/>
  <c r="J6" i="3" s="1"/>
  <c r="I7" i="3"/>
  <c r="J7" i="3"/>
  <c r="I8" i="3"/>
  <c r="J8" i="3"/>
  <c r="I9" i="3"/>
  <c r="J9" i="3" s="1"/>
  <c r="I17" i="3"/>
  <c r="J17" i="3"/>
  <c r="I18" i="3"/>
  <c r="J18" i="3"/>
  <c r="I19" i="3"/>
  <c r="J19" i="3"/>
  <c r="I20" i="3"/>
  <c r="J20" i="3"/>
  <c r="I30" i="3"/>
  <c r="J30" i="3"/>
  <c r="I31" i="3"/>
  <c r="J31" i="3"/>
  <c r="I32" i="3"/>
  <c r="J32" i="3"/>
  <c r="I33" i="3"/>
  <c r="J33" i="3"/>
  <c r="I34" i="3"/>
  <c r="J34" i="3"/>
  <c r="I35" i="3"/>
  <c r="J35" i="3"/>
  <c r="I43" i="3"/>
  <c r="J43" i="3"/>
  <c r="I44" i="3"/>
  <c r="J44" i="3"/>
  <c r="I45" i="3"/>
  <c r="J45" i="3"/>
  <c r="I46" i="3"/>
  <c r="J46" i="3"/>
  <c r="I47" i="3"/>
  <c r="J47" i="3"/>
  <c r="I48" i="3"/>
  <c r="J48" i="3"/>
  <c r="I55" i="3"/>
  <c r="J55" i="3"/>
  <c r="I56" i="3"/>
  <c r="J56" i="3"/>
  <c r="I57" i="3"/>
  <c r="J57" i="3"/>
  <c r="I58" i="3"/>
  <c r="J58" i="3"/>
  <c r="I59" i="3"/>
  <c r="J59" i="3"/>
  <c r="I60" i="3"/>
  <c r="J60" i="3"/>
  <c r="G75" i="3"/>
  <c r="H75" i="3"/>
  <c r="G76" i="3"/>
  <c r="H76" i="3"/>
  <c r="G77" i="3"/>
  <c r="H77" i="3"/>
  <c r="G78" i="3"/>
  <c r="H78" i="3"/>
  <c r="G87" i="3"/>
  <c r="H87" i="3"/>
  <c r="G88" i="3"/>
  <c r="H88" i="3"/>
  <c r="G89" i="3"/>
  <c r="H89" i="3"/>
  <c r="G90" i="3"/>
  <c r="H90" i="3"/>
  <c r="H6" i="2"/>
  <c r="G7" i="2"/>
  <c r="H7" i="2" s="1"/>
  <c r="G8" i="2"/>
  <c r="H8" i="2" s="1"/>
  <c r="G9" i="2"/>
  <c r="H9" i="2" s="1"/>
  <c r="G16" i="2"/>
  <c r="H16" i="2" s="1"/>
  <c r="G17" i="2"/>
  <c r="H17" i="2" s="1"/>
  <c r="G18" i="2"/>
  <c r="H18" i="2" s="1"/>
  <c r="G19" i="2"/>
  <c r="H19" i="2" s="1"/>
  <c r="G27" i="2"/>
  <c r="H27" i="2"/>
  <c r="G28" i="2"/>
  <c r="H28" i="2"/>
  <c r="G29" i="2"/>
  <c r="H29" i="2"/>
  <c r="G30" i="2"/>
  <c r="H30" i="2" s="1"/>
  <c r="G40" i="2"/>
  <c r="H40" i="2"/>
  <c r="G41" i="2"/>
  <c r="H41" i="2"/>
  <c r="G42" i="2"/>
  <c r="H42" i="2"/>
  <c r="G43" i="2"/>
  <c r="H43" i="2"/>
  <c r="G73" i="2"/>
  <c r="H73" i="2"/>
  <c r="G74" i="2"/>
  <c r="H74" i="2"/>
  <c r="G75" i="2"/>
  <c r="H75" i="2"/>
  <c r="G76" i="2"/>
  <c r="H76" i="2"/>
  <c r="G85" i="2"/>
  <c r="H85" i="2"/>
  <c r="G86" i="2"/>
  <c r="H86" i="2"/>
  <c r="G87" i="2"/>
  <c r="H87" i="2"/>
  <c r="G88" i="2"/>
  <c r="H88" i="2" s="1"/>
  <c r="G95" i="2"/>
  <c r="H95" i="2"/>
  <c r="G96" i="2"/>
  <c r="H96" i="2"/>
  <c r="G97" i="2"/>
  <c r="H97" i="2"/>
  <c r="G98" i="2"/>
  <c r="H98" i="2"/>
  <c r="G6" i="1"/>
  <c r="H6" i="1" s="1"/>
  <c r="N6" i="1"/>
  <c r="G7" i="1"/>
  <c r="H7" i="1" s="1"/>
  <c r="G8" i="1"/>
  <c r="H8" i="1" s="1"/>
  <c r="N8" i="1"/>
  <c r="G9" i="1"/>
  <c r="H9" i="1" s="1"/>
  <c r="G16" i="1"/>
  <c r="H16" i="1" s="1"/>
  <c r="G17" i="1"/>
  <c r="H17" i="1" s="1"/>
  <c r="G18" i="1"/>
  <c r="H18" i="1" s="1"/>
  <c r="G19" i="1"/>
  <c r="H19" i="1" s="1"/>
  <c r="G26" i="1"/>
  <c r="H26" i="1" s="1"/>
  <c r="G27" i="1"/>
  <c r="H27" i="1" s="1"/>
  <c r="G28" i="1"/>
  <c r="H28" i="1" s="1"/>
  <c r="G29" i="1"/>
  <c r="H29" i="1" s="1"/>
  <c r="G34" i="1"/>
  <c r="H34" i="1" s="1"/>
  <c r="G35" i="1"/>
  <c r="H35" i="1" s="1"/>
  <c r="G36" i="1"/>
  <c r="H36" i="1"/>
  <c r="G37" i="1"/>
  <c r="H37" i="1" s="1"/>
  <c r="G42" i="1"/>
  <c r="H42" i="1" s="1"/>
  <c r="G43" i="1"/>
  <c r="H43" i="1"/>
  <c r="G44" i="1"/>
  <c r="H44" i="1" s="1"/>
  <c r="G45" i="1"/>
  <c r="H45" i="1"/>
  <c r="G65" i="1"/>
  <c r="H65" i="1" s="1"/>
  <c r="G66" i="1"/>
  <c r="H66" i="1"/>
  <c r="G67" i="1"/>
  <c r="H67" i="1"/>
  <c r="G68" i="1"/>
  <c r="H68" i="1"/>
  <c r="G69" i="1"/>
  <c r="H69" i="1"/>
  <c r="G70" i="1"/>
  <c r="H70" i="1" s="1"/>
</calcChain>
</file>

<file path=xl/sharedStrings.xml><?xml version="1.0" encoding="utf-8"?>
<sst xmlns="http://schemas.openxmlformats.org/spreadsheetml/2006/main" count="460" uniqueCount="126">
  <si>
    <t>Primary_Untreat_Unstim.fcs     0.73       892.1       0.302</t>
  </si>
  <si>
    <t>100 nM</t>
  </si>
  <si>
    <t>Primary_Untreat_100nM.fcs      0.76       697.4       0.140</t>
  </si>
  <si>
    <t>medium</t>
  </si>
  <si>
    <t>Cmpd101</t>
  </si>
  <si>
    <t>10 uM</t>
  </si>
  <si>
    <t>Primary_NAV_Unstim.fcs         0.83       945.9       0.278</t>
  </si>
  <si>
    <t>Primary_NAV_100nM.fcs          0.83       739.8       0.127</t>
  </si>
  <si>
    <t>NAV50</t>
  </si>
  <si>
    <t>50 uM</t>
  </si>
  <si>
    <t>Primary_101_Unstim.fcs         0.70      1030.5       0.323</t>
  </si>
  <si>
    <t>Primary_101_100nM.fcs          0.78       652.4       0.136</t>
  </si>
  <si>
    <t>Untreated</t>
  </si>
  <si>
    <t>Sample                        Gated  APC-A-mean  APC-A-frac</t>
  </si>
  <si>
    <t>Primary</t>
  </si>
  <si>
    <t>% FPR1 on Surface</t>
  </si>
  <si>
    <t>Background Substracted</t>
  </si>
  <si>
    <t>APC</t>
  </si>
  <si>
    <t>Background</t>
  </si>
  <si>
    <t>SUMMARY TABLE:</t>
  </si>
  <si>
    <t>Applying gate R1</t>
  </si>
  <si>
    <t>EA20240702_PrimaryCells_NAV_101</t>
  </si>
  <si>
    <t>EXCLUDED- poor endocytosis of control - prob bc cells were not pure</t>
  </si>
  <si>
    <t>Primary_Untreat_Unstim.fcs     0.65       535.6       0.192</t>
  </si>
  <si>
    <t>Primary_Untreat_100nM.fcs      0.82       165.1       0.070</t>
  </si>
  <si>
    <t>Primary_NAV_Unstim.fcs         0.83       518.7       0.146</t>
  </si>
  <si>
    <t>Primary_NAV_100nM.fcs          0.83       340.6       0.076</t>
  </si>
  <si>
    <t>Primary_Cmpd101_Unstim.fcs     0.83       495.3       0.138</t>
  </si>
  <si>
    <t>Primary_Cmpd101_100nM.fcs      0.83       185.9       0.070</t>
  </si>
  <si>
    <t>Sample                        Gated   APC-A-med  APC-A-frac</t>
  </si>
  <si>
    <t>EA20240819_PrimaryCells_Cmpd101_NAV2729</t>
  </si>
  <si>
    <t>Primary_unst.fcs               0.65        77.5       0.001</t>
  </si>
  <si>
    <t>Primary_Untreat_Unstim.fcs     0.77       623.8       0.100</t>
  </si>
  <si>
    <t>Primary_Untreat_100nM.fcs      0.67       263.2       0.034</t>
  </si>
  <si>
    <t>Primary_NAV_Unstim.fcs         0.78       553.1       0.083</t>
  </si>
  <si>
    <t>Primary_NAV_100nM.fcs          0.71       374.1       0.043</t>
  </si>
  <si>
    <t>EA20240708_PrimaryCells_NAV_Donor2</t>
  </si>
  <si>
    <t>Primary_Untreat_Unstim.fcs     0.86      1021.9       0.279</t>
  </si>
  <si>
    <t>Primary_Untreat_100nM.fcs      0.88       426.0       0.044</t>
  </si>
  <si>
    <t>Primary_NAV_Unstim.fcs         0.89       903.3       0.258</t>
  </si>
  <si>
    <t>Primary_NAV_100nM.fcs          0.90       643.8       0.057</t>
  </si>
  <si>
    <t>EA20240630_PrimaryCells_NAV</t>
  </si>
  <si>
    <t>Primary_Untreat_Unstim.fcs     0.90      1148.2       0.432</t>
  </si>
  <si>
    <t>Primary_Untreat_100nM.fcs      0.86       443.5       0.051</t>
  </si>
  <si>
    <t>Primary_NAV_Unstim.fcs         0.90      1034.1       0.357</t>
  </si>
  <si>
    <t>Primary_NAV_100nM.fcs          0.81       675.5       0.079</t>
  </si>
  <si>
    <t>100nM</t>
  </si>
  <si>
    <t>EA20240626_PrimaryCells_NAV</t>
  </si>
  <si>
    <t>Primary_Untreat_Unstim.fcs     0.74      1016.6       0.602</t>
  </si>
  <si>
    <t>Primary_Untreat_100nM.fcs      0.74       182.0       0.060</t>
  </si>
  <si>
    <t>Primary_SMIFH2_Unstim.fcs      0.73       429.0       0.120</t>
  </si>
  <si>
    <t>Primary_SMIFH2_100nM.fcs       0.72       165.7       0.049</t>
  </si>
  <si>
    <t>Primary_Cmpd101_Unstim.fcs     0.73       925.6       0.524</t>
  </si>
  <si>
    <t>Primary_Cmpd101_100nM.fcs      0.72       206.0       0.054</t>
  </si>
  <si>
    <t>EA20240816_PrimaryCells_Cmpd101_SMIFH2</t>
  </si>
  <si>
    <t>Primary_Untreat_Unstim.fcs     0.63      1023.1       0.593</t>
  </si>
  <si>
    <t>Primary_Untreat_100nM.fcs      0.78       162.5       0.064</t>
  </si>
  <si>
    <t>Primary_Cmpd101_Unstim.fcs     0.76       417.3       0.096</t>
  </si>
  <si>
    <t>Primary_Cmpd101_100nM.fcs      0.74       193.7       0.072</t>
  </si>
  <si>
    <t>Applying gate R1 using MEDIAN APC</t>
  </si>
  <si>
    <t>EA20240812_PrimaryCells_Cmpd101</t>
  </si>
  <si>
    <t>Exp from 08122024 - not included due to poor staining of the Cmpd101 treated control cells</t>
  </si>
  <si>
    <t>Primary_unst.fcs               0.39        76.6        0.00</t>
  </si>
  <si>
    <t>Primary_Untreat_Unstim.fcs     0.39      1657.7        0.48</t>
  </si>
  <si>
    <t>Primary_Untreat_100nM.fcs      0.38      1360.6        0.36</t>
  </si>
  <si>
    <t>Primary_Cmpd101_Unstim.fcs     0.54      1296.4        0.34</t>
  </si>
  <si>
    <t>Primary_Cmpd101_100nM.fcs      0.58      1288.6        0.31</t>
  </si>
  <si>
    <t>Exp from 08022024 - not included due to poor endocytosis of control and poor purification</t>
  </si>
  <si>
    <t>Primary_Untreat_Unstim.fcs     0.71       607.1       0.192</t>
  </si>
  <si>
    <t>Primary_Untreat_100nM.fcs      0.69       178.1       0.071</t>
  </si>
  <si>
    <t>Primary_SMIFH2_Unstim.fcs      0.71       669.5       0.257</t>
  </si>
  <si>
    <t>Primary_SMIFH2_100nM.fcs       0.73       179.4       0.081</t>
  </si>
  <si>
    <t>Primary_Cmpd101_Unstim.fcs     0.70       609.7       0.218</t>
  </si>
  <si>
    <t>Primary_Cmpd101_100nM.fcs      0.68       214.5       0.111</t>
  </si>
  <si>
    <t>EA20240826_PrimaryCells_Cmpd101_SMIFH2</t>
  </si>
  <si>
    <t>Primary_Untreat_Unstim.fcs     0.89       527.8       0.098</t>
  </si>
  <si>
    <t>Primary_Untreat_100nM.fcs      0.87       148.2       0.013</t>
  </si>
  <si>
    <t>Primary_Cmpd101_Unstim.fcs     0.90       525.2       0.099</t>
  </si>
  <si>
    <t>Primary_Cmpd101_100nM.fcs      0.86       191.1       0.019</t>
  </si>
  <si>
    <t>EA20240814_Exp1_PrimaryCells_Cmpd101</t>
  </si>
  <si>
    <t>Primary_Untreat_Unstim.fcs     0.84       856.8       0.312</t>
  </si>
  <si>
    <t>Primary_Untreat_100nM.fcs      0.84       338.3       0.057</t>
  </si>
  <si>
    <t>Primary_Cmpd101_Unstim.fcs     0.84       791.1       0.296</t>
  </si>
  <si>
    <t>Primary_Cmpd101_100nM.fcs      0.83       399.8       0.071</t>
  </si>
  <si>
    <t>EA20240807_PrimaryCells_Cmpd101</t>
  </si>
  <si>
    <t>SMIFH2</t>
  </si>
  <si>
    <t>20uM</t>
  </si>
  <si>
    <t>Surface FPR1 levels are very different!</t>
  </si>
  <si>
    <t>Primary_Untreat_Unstim.fcs     0.91       913.1       0.336</t>
  </si>
  <si>
    <t>Primary_Untreat_100nM.fcs      0.91       360.8       0.036</t>
  </si>
  <si>
    <t>Primary_SMIFH2_50_Unstim.fcs   0.92       791.5       0.222</t>
  </si>
  <si>
    <t>Primary_SMIFH2_50_100nM.fcs    0.92       586.4       0.068</t>
  </si>
  <si>
    <t>100 uM SMIFH2</t>
  </si>
  <si>
    <t>Primary_SMIFH2_100_Unstim.fcs  0.92       915.2       0.274</t>
  </si>
  <si>
    <t>Primary_SMIFH2_100_100nM.fcs   0.93       912.6       0.229</t>
  </si>
  <si>
    <t>50 uM SMIFH2</t>
  </si>
  <si>
    <t>EA20240913_PrimaryCells_SMIFH2_Exp2</t>
  </si>
  <si>
    <t>Primary_Untreat_Unstim.fcs     0.90      1028.1       0.364</t>
  </si>
  <si>
    <t>Primary_Untreat_100nM.fcs      0.91       351.6       0.039</t>
  </si>
  <si>
    <t>Primary_SMIFH2_50_Unstim.fcs   0.92       840.8       0.243</t>
  </si>
  <si>
    <t>Primary_SMIFH2_50_100nM.fcs    0.93       595.6       0.074</t>
  </si>
  <si>
    <t>Primary_SMIFH2_100_Unstim.fcs  0.92       825.0       0.248</t>
  </si>
  <si>
    <t>Primary_SMIFH2_100_100nM.fcs   0.93       824.0       0.209</t>
  </si>
  <si>
    <t>EA20240913_PrimaryCells_SMIFH2_Exp1</t>
  </si>
  <si>
    <t>Primary_Untreat_Unstim.fcs     0.94       563.3       0.084</t>
  </si>
  <si>
    <t>Primary_Untreat_100nM.fcs      0.93       171.9       0.008</t>
  </si>
  <si>
    <t>Primary_SMIFH2_50_Unstim.fcs   0.95       546.5       0.077</t>
  </si>
  <si>
    <t>Primary_SMIFH2_50_100nM.fcs    0.94       502.4       0.037</t>
  </si>
  <si>
    <t>Primary_SMIFH2_100_Unstim.fcs  0.95       564.0       0.085</t>
  </si>
  <si>
    <t>Primary_SMIFH2_100_100nM.fcs   0.94       567.5       0.065</t>
  </si>
  <si>
    <t>EA20240909_PrimaryCells_SMIFH2</t>
  </si>
  <si>
    <t>Primary_Untreat_Unstim.fcs     0.96       630.1       0.089</t>
  </si>
  <si>
    <t>Primary_Untreat_100nM.fcs      0.94       188.2       0.010</t>
  </si>
  <si>
    <t>Primary_SMIFH2_50_Unstim.fcs   0.96       651.5       0.092</t>
  </si>
  <si>
    <t>Primary_SMIFH2_50_100nM.fcs    0.95       543.9       0.025</t>
  </si>
  <si>
    <t>EA20240906_PrimaryCells_SMIFH2</t>
  </si>
  <si>
    <t>Primary_Untreat_Unstim.fcs     0.92       753.8       0.123</t>
  </si>
  <si>
    <t>Primary_Untreat_100nM.fcs      0.92       297.6       0.022</t>
  </si>
  <si>
    <t>Primary_SMIFH2_50_Unstim.fcs   0.92       717.4       0.137</t>
  </si>
  <si>
    <t>Primary_SMIFH2_50_100nM.fcs    0.93       645.2       0.053</t>
  </si>
  <si>
    <t>Primary_SMIFH2_100_Unstim.fcs  0.92       738.6       0.105</t>
  </si>
  <si>
    <t>Primary_SMIFH2_100_100nM.fcs   0.91       842.9       0.151</t>
  </si>
  <si>
    <t>Exp2</t>
  </si>
  <si>
    <t>Exp1</t>
  </si>
  <si>
    <t>EA20240902_PrimaryCells_SMIFH2</t>
  </si>
  <si>
    <t>9/6/2024 (excluded since we had data for only 1 concentration)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</si>
</sst>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rial"/>
      <family val="2"/>
    </font>
    <font>
      <sz val="10"/>
      <color rgb="FFA709F5"/>
      <name val="Consolas"/>
      <family val="3"/>
    </font>
    <font>
      <sz val="11"/>
      <color theme="4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indent="3"/>
    </xf>
    <xf numFmtId="0" fontId="1" fillId="0" borderId="0" xfId="0" applyFont="1"/>
    <xf numFmtId="16" fontId="0" fillId="0" borderId="0" xfId="0" applyNumberFormat="1" applyAlignment="1">
      <alignment horizontal="right" vertical="center"/>
    </xf>
    <xf numFmtId="16" fontId="4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6" fillId="0" borderId="0" xfId="0" applyFont="1"/>
    <xf numFmtId="0" fontId="0" fillId="0" borderId="0" xfId="0" applyAlignment="1">
      <alignment horizontal="right" wrapText="1"/>
    </xf>
    <xf numFmtId="16" fontId="0" fillId="0" borderId="0" xfId="0" applyNumberFormat="1"/>
    <xf numFmtId="16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E8D0-215C-46EA-89FF-BBBE7BD5890E}">
  <dimension ref="A1:T71"/>
  <sheetViews>
    <sheetView workbookViewId="0">
      <selection activeCell="D50" sqref="D50"/>
    </sheetView>
  </sheetViews>
  <sheetFormatPr defaultRowHeight="15" x14ac:dyDescent="0.25"/>
  <cols>
    <col min="1" max="1" width="48.140625" bestFit="1" customWidth="1"/>
    <col min="5" max="5" width="12.42578125" customWidth="1"/>
    <col min="6" max="6" width="12.140625" customWidth="1"/>
    <col min="7" max="7" width="12.28515625" customWidth="1"/>
    <col min="8" max="8" width="12" customWidth="1"/>
    <col min="10" max="10" width="8.7109375" bestFit="1" customWidth="1"/>
    <col min="14" max="14" width="11.5703125" customWidth="1"/>
  </cols>
  <sheetData>
    <row r="1" spans="1:20" x14ac:dyDescent="0.25">
      <c r="A1" s="4" t="s">
        <v>47</v>
      </c>
    </row>
    <row r="3" spans="1:20" x14ac:dyDescent="0.25">
      <c r="A3" t="s">
        <v>20</v>
      </c>
    </row>
    <row r="5" spans="1:20" ht="38.25" customHeight="1" x14ac:dyDescent="0.25">
      <c r="A5" t="s">
        <v>19</v>
      </c>
      <c r="C5" s="1" t="s">
        <v>14</v>
      </c>
      <c r="E5" s="3" t="s">
        <v>18</v>
      </c>
      <c r="F5" s="3" t="s">
        <v>17</v>
      </c>
      <c r="G5" s="3" t="s">
        <v>16</v>
      </c>
      <c r="H5" s="3" t="s">
        <v>15</v>
      </c>
      <c r="K5" s="1" t="s">
        <v>14</v>
      </c>
      <c r="M5" s="3" t="s">
        <v>17</v>
      </c>
      <c r="N5" s="3" t="s">
        <v>15</v>
      </c>
      <c r="P5" t="s">
        <v>46</v>
      </c>
      <c r="Q5" s="7">
        <v>45469</v>
      </c>
      <c r="R5" s="7">
        <v>45473</v>
      </c>
      <c r="S5" s="7">
        <v>45481</v>
      </c>
      <c r="T5" s="6">
        <v>45523</v>
      </c>
    </row>
    <row r="6" spans="1:20" x14ac:dyDescent="0.25">
      <c r="A6" t="s">
        <v>13</v>
      </c>
      <c r="C6" s="1" t="s">
        <v>12</v>
      </c>
      <c r="D6" t="s">
        <v>3</v>
      </c>
      <c r="E6">
        <v>0</v>
      </c>
      <c r="F6">
        <v>1148.2</v>
      </c>
      <c r="G6" s="2">
        <f>F6-E6</f>
        <v>1148.2</v>
      </c>
      <c r="H6">
        <f>(G6/1148.2)*100</f>
        <v>100</v>
      </c>
      <c r="K6" s="1" t="s">
        <v>12</v>
      </c>
      <c r="L6" t="s">
        <v>3</v>
      </c>
      <c r="M6">
        <v>1148.2</v>
      </c>
      <c r="N6">
        <f>(M6/1148.2)*100</f>
        <v>100</v>
      </c>
      <c r="P6" s="1" t="s">
        <v>12</v>
      </c>
      <c r="Q6">
        <v>38.630000000000003</v>
      </c>
      <c r="R6">
        <v>41.69</v>
      </c>
      <c r="S6">
        <v>42.19</v>
      </c>
      <c r="T6">
        <v>30.83</v>
      </c>
    </row>
    <row r="7" spans="1:20" x14ac:dyDescent="0.25">
      <c r="A7" t="s">
        <v>45</v>
      </c>
      <c r="C7" s="1"/>
      <c r="D7" t="s">
        <v>1</v>
      </c>
      <c r="E7">
        <v>0</v>
      </c>
      <c r="F7">
        <v>443.5</v>
      </c>
      <c r="G7" s="2">
        <f>F7-E7</f>
        <v>443.5</v>
      </c>
      <c r="H7">
        <f>(G7/1148.2)*100</f>
        <v>38.625674969517505</v>
      </c>
      <c r="K7" s="1"/>
      <c r="L7" t="s">
        <v>1</v>
      </c>
      <c r="M7">
        <v>443.5</v>
      </c>
      <c r="N7">
        <v>38.630000000000003</v>
      </c>
      <c r="P7" s="1" t="s">
        <v>8</v>
      </c>
      <c r="Q7">
        <v>65.319999999999993</v>
      </c>
      <c r="R7">
        <v>71.27</v>
      </c>
      <c r="S7">
        <v>67.64</v>
      </c>
      <c r="T7">
        <v>65.66</v>
      </c>
    </row>
    <row r="8" spans="1:20" x14ac:dyDescent="0.25">
      <c r="A8" t="s">
        <v>44</v>
      </c>
      <c r="C8" s="1" t="s">
        <v>8</v>
      </c>
      <c r="D8" t="s">
        <v>3</v>
      </c>
      <c r="E8">
        <v>0</v>
      </c>
      <c r="F8">
        <v>1034.0999999999999</v>
      </c>
      <c r="G8" s="2">
        <f>F8-E8</f>
        <v>1034.0999999999999</v>
      </c>
      <c r="H8">
        <f>(G8/1034.1)*100</f>
        <v>100</v>
      </c>
      <c r="K8" s="1" t="s">
        <v>8</v>
      </c>
      <c r="L8" t="s">
        <v>3</v>
      </c>
      <c r="M8">
        <v>1034.0999999999999</v>
      </c>
      <c r="N8">
        <f>(M8/1034.1)*100</f>
        <v>100</v>
      </c>
    </row>
    <row r="9" spans="1:20" x14ac:dyDescent="0.25">
      <c r="A9" t="s">
        <v>43</v>
      </c>
      <c r="C9" s="1"/>
      <c r="D9" t="s">
        <v>1</v>
      </c>
      <c r="E9">
        <v>0</v>
      </c>
      <c r="F9">
        <v>675.5</v>
      </c>
      <c r="G9" s="2">
        <f>F9-E9</f>
        <v>675.5</v>
      </c>
      <c r="H9" s="5">
        <f>(G9/1034.1)*100</f>
        <v>65.32250265931728</v>
      </c>
      <c r="K9" s="1"/>
      <c r="L9" t="s">
        <v>1</v>
      </c>
      <c r="M9">
        <v>675.5</v>
      </c>
      <c r="N9" s="5">
        <v>65.319999999999993</v>
      </c>
    </row>
    <row r="10" spans="1:20" x14ac:dyDescent="0.25">
      <c r="A10" t="s">
        <v>42</v>
      </c>
    </row>
    <row r="12" spans="1:20" x14ac:dyDescent="0.25">
      <c r="A12" s="4" t="s">
        <v>41</v>
      </c>
    </row>
    <row r="13" spans="1:20" x14ac:dyDescent="0.25">
      <c r="A13" t="s">
        <v>20</v>
      </c>
    </row>
    <row r="15" spans="1:20" ht="28.5" x14ac:dyDescent="0.25">
      <c r="A15" t="s">
        <v>19</v>
      </c>
      <c r="C15" s="1" t="s">
        <v>14</v>
      </c>
      <c r="E15" s="3" t="s">
        <v>18</v>
      </c>
      <c r="F15" s="3" t="s">
        <v>17</v>
      </c>
      <c r="G15" s="3" t="s">
        <v>16</v>
      </c>
      <c r="H15" s="3" t="s">
        <v>15</v>
      </c>
      <c r="K15" s="1" t="s">
        <v>14</v>
      </c>
      <c r="M15" s="3" t="s">
        <v>17</v>
      </c>
      <c r="N15" s="3" t="s">
        <v>15</v>
      </c>
    </row>
    <row r="16" spans="1:20" x14ac:dyDescent="0.25">
      <c r="A16" t="s">
        <v>13</v>
      </c>
      <c r="C16" s="1" t="s">
        <v>12</v>
      </c>
      <c r="D16" t="s">
        <v>3</v>
      </c>
      <c r="E16">
        <v>0</v>
      </c>
      <c r="F16">
        <v>1021.9</v>
      </c>
      <c r="G16" s="2">
        <f>F16-E16</f>
        <v>1021.9</v>
      </c>
      <c r="H16">
        <f>(G16/1021.9)*100</f>
        <v>100</v>
      </c>
      <c r="K16" s="1" t="s">
        <v>12</v>
      </c>
      <c r="L16" t="s">
        <v>3</v>
      </c>
      <c r="M16">
        <v>1021.9</v>
      </c>
      <c r="N16">
        <v>100</v>
      </c>
    </row>
    <row r="17" spans="1:14" x14ac:dyDescent="0.25">
      <c r="A17" t="s">
        <v>40</v>
      </c>
      <c r="C17" s="1"/>
      <c r="D17" t="s">
        <v>1</v>
      </c>
      <c r="E17">
        <v>0</v>
      </c>
      <c r="F17">
        <v>426</v>
      </c>
      <c r="G17" s="2">
        <f>F17-E17</f>
        <v>426</v>
      </c>
      <c r="H17">
        <f>(G17/1021.9)*100</f>
        <v>41.687053527742442</v>
      </c>
      <c r="K17" s="1"/>
      <c r="L17" t="s">
        <v>1</v>
      </c>
      <c r="M17">
        <v>426</v>
      </c>
      <c r="N17">
        <v>41.69</v>
      </c>
    </row>
    <row r="18" spans="1:14" x14ac:dyDescent="0.25">
      <c r="A18" t="s">
        <v>39</v>
      </c>
      <c r="C18" s="1" t="s">
        <v>8</v>
      </c>
      <c r="D18" t="s">
        <v>3</v>
      </c>
      <c r="E18">
        <v>0</v>
      </c>
      <c r="F18">
        <v>903.3</v>
      </c>
      <c r="G18" s="2">
        <f>F18-E18</f>
        <v>903.3</v>
      </c>
      <c r="H18">
        <f>(G18/903.3)*100</f>
        <v>100</v>
      </c>
      <c r="K18" s="1" t="s">
        <v>8</v>
      </c>
      <c r="L18" t="s">
        <v>3</v>
      </c>
      <c r="M18">
        <v>903.3</v>
      </c>
      <c r="N18">
        <v>100</v>
      </c>
    </row>
    <row r="19" spans="1:14" x14ac:dyDescent="0.25">
      <c r="A19" t="s">
        <v>38</v>
      </c>
      <c r="C19" s="1"/>
      <c r="D19" t="s">
        <v>1</v>
      </c>
      <c r="E19">
        <v>0</v>
      </c>
      <c r="F19">
        <v>643.79999999999995</v>
      </c>
      <c r="G19" s="2">
        <f>F19-E19</f>
        <v>643.79999999999995</v>
      </c>
      <c r="H19" s="5">
        <f>(G19/903.3)*100</f>
        <v>71.272002656924599</v>
      </c>
      <c r="K19" s="1"/>
      <c r="L19" t="s">
        <v>1</v>
      </c>
      <c r="M19">
        <v>643.79999999999995</v>
      </c>
      <c r="N19" s="5">
        <v>71.27</v>
      </c>
    </row>
    <row r="20" spans="1:14" x14ac:dyDescent="0.25">
      <c r="A20" t="s">
        <v>37</v>
      </c>
    </row>
    <row r="22" spans="1:14" x14ac:dyDescent="0.25">
      <c r="A22" s="4" t="s">
        <v>36</v>
      </c>
    </row>
    <row r="23" spans="1:14" x14ac:dyDescent="0.25">
      <c r="A23" t="s">
        <v>20</v>
      </c>
      <c r="B23" s="1"/>
      <c r="C23" s="1"/>
      <c r="G23" s="2"/>
    </row>
    <row r="25" spans="1:14" ht="28.5" x14ac:dyDescent="0.25">
      <c r="A25" t="s">
        <v>19</v>
      </c>
      <c r="B25" s="1"/>
      <c r="C25" s="1" t="s">
        <v>14</v>
      </c>
      <c r="E25" s="3" t="s">
        <v>18</v>
      </c>
      <c r="F25" s="3" t="s">
        <v>17</v>
      </c>
      <c r="G25" s="3" t="s">
        <v>16</v>
      </c>
      <c r="H25" s="3" t="s">
        <v>15</v>
      </c>
      <c r="K25" s="1" t="s">
        <v>14</v>
      </c>
      <c r="M25" s="3" t="s">
        <v>17</v>
      </c>
      <c r="N25" s="3" t="s">
        <v>15</v>
      </c>
    </row>
    <row r="26" spans="1:14" x14ac:dyDescent="0.25">
      <c r="A26" t="s">
        <v>13</v>
      </c>
      <c r="B26" s="1"/>
      <c r="C26" s="1" t="s">
        <v>12</v>
      </c>
      <c r="D26" t="s">
        <v>3</v>
      </c>
      <c r="E26">
        <v>0</v>
      </c>
      <c r="F26">
        <v>623.79999999999995</v>
      </c>
      <c r="G26" s="2">
        <f t="shared" ref="G26:G31" si="0">F26-E26</f>
        <v>623.79999999999995</v>
      </c>
      <c r="H26">
        <f>(G26/623.8)*100</f>
        <v>100</v>
      </c>
      <c r="K26" s="1" t="s">
        <v>12</v>
      </c>
      <c r="L26" t="s">
        <v>3</v>
      </c>
      <c r="M26">
        <v>623.79999999999995</v>
      </c>
      <c r="N26">
        <v>100</v>
      </c>
    </row>
    <row r="27" spans="1:14" x14ac:dyDescent="0.25">
      <c r="A27" t="s">
        <v>35</v>
      </c>
      <c r="B27" s="1"/>
      <c r="C27" s="1"/>
      <c r="D27" t="s">
        <v>1</v>
      </c>
      <c r="E27">
        <v>0</v>
      </c>
      <c r="F27">
        <v>263.2</v>
      </c>
      <c r="G27" s="2">
        <f t="shared" si="0"/>
        <v>263.2</v>
      </c>
      <c r="H27">
        <f>(G27/623.8)*100</f>
        <v>42.193010580314208</v>
      </c>
      <c r="K27" s="1"/>
      <c r="L27" t="s">
        <v>1</v>
      </c>
      <c r="M27">
        <v>263.2</v>
      </c>
      <c r="N27">
        <v>42.19</v>
      </c>
    </row>
    <row r="28" spans="1:14" x14ac:dyDescent="0.25">
      <c r="A28" t="s">
        <v>34</v>
      </c>
      <c r="B28" s="1" t="s">
        <v>9</v>
      </c>
      <c r="C28" s="1" t="s">
        <v>8</v>
      </c>
      <c r="D28" t="s">
        <v>3</v>
      </c>
      <c r="E28">
        <v>0</v>
      </c>
      <c r="F28">
        <v>553.1</v>
      </c>
      <c r="G28" s="2">
        <f t="shared" si="0"/>
        <v>553.1</v>
      </c>
      <c r="H28">
        <f>(G28/553.1)*100</f>
        <v>100</v>
      </c>
      <c r="K28" s="1" t="s">
        <v>8</v>
      </c>
      <c r="L28" t="s">
        <v>3</v>
      </c>
      <c r="M28">
        <v>553.1</v>
      </c>
      <c r="N28">
        <v>100</v>
      </c>
    </row>
    <row r="29" spans="1:14" x14ac:dyDescent="0.25">
      <c r="A29" t="s">
        <v>33</v>
      </c>
      <c r="B29" s="1"/>
      <c r="C29" s="1"/>
      <c r="D29" t="s">
        <v>1</v>
      </c>
      <c r="E29">
        <v>0</v>
      </c>
      <c r="F29">
        <v>374.1</v>
      </c>
      <c r="G29" s="2">
        <f t="shared" si="0"/>
        <v>374.1</v>
      </c>
      <c r="H29">
        <f>(G29/553.1)*100</f>
        <v>67.636955342614357</v>
      </c>
      <c r="K29" s="1"/>
      <c r="L29" t="s">
        <v>1</v>
      </c>
      <c r="M29">
        <v>374.1</v>
      </c>
      <c r="N29" s="5">
        <v>67.64</v>
      </c>
    </row>
    <row r="30" spans="1:14" x14ac:dyDescent="0.25">
      <c r="A30" t="s">
        <v>32</v>
      </c>
      <c r="B30" s="1"/>
      <c r="C30" s="1"/>
      <c r="G30" s="2"/>
    </row>
    <row r="31" spans="1:14" x14ac:dyDescent="0.25">
      <c r="A31" t="s">
        <v>31</v>
      </c>
      <c r="B31" s="1"/>
      <c r="C31" s="1"/>
      <c r="G31" s="2"/>
    </row>
    <row r="33" spans="1:8" ht="28.5" x14ac:dyDescent="0.25">
      <c r="B33" s="1"/>
      <c r="C33" s="1" t="s">
        <v>14</v>
      </c>
      <c r="E33" s="3" t="s">
        <v>18</v>
      </c>
      <c r="F33" s="3" t="s">
        <v>17</v>
      </c>
      <c r="G33" s="3" t="s">
        <v>16</v>
      </c>
      <c r="H33" s="3" t="s">
        <v>15</v>
      </c>
    </row>
    <row r="34" spans="1:8" x14ac:dyDescent="0.25">
      <c r="B34" s="1"/>
      <c r="C34" s="1" t="s">
        <v>12</v>
      </c>
      <c r="D34" t="s">
        <v>3</v>
      </c>
      <c r="E34">
        <v>77.5</v>
      </c>
      <c r="F34">
        <v>623.79999999999995</v>
      </c>
      <c r="G34" s="2">
        <f>F34-E34</f>
        <v>546.29999999999995</v>
      </c>
      <c r="H34">
        <f>(G34/546.3)*100</f>
        <v>100</v>
      </c>
    </row>
    <row r="35" spans="1:8" x14ac:dyDescent="0.25">
      <c r="B35" s="1"/>
      <c r="C35" s="1"/>
      <c r="D35" t="s">
        <v>1</v>
      </c>
      <c r="E35">
        <v>77.5</v>
      </c>
      <c r="F35">
        <v>263.2</v>
      </c>
      <c r="G35" s="2">
        <f>F35-E35</f>
        <v>185.7</v>
      </c>
      <c r="H35">
        <f>(G35/546.3)*100</f>
        <v>33.992311916529374</v>
      </c>
    </row>
    <row r="36" spans="1:8" x14ac:dyDescent="0.25">
      <c r="B36" s="1" t="s">
        <v>9</v>
      </c>
      <c r="C36" s="1" t="s">
        <v>8</v>
      </c>
      <c r="D36" t="s">
        <v>3</v>
      </c>
      <c r="E36">
        <v>77.5</v>
      </c>
      <c r="F36">
        <v>553.1</v>
      </c>
      <c r="G36" s="2">
        <f>F36-E36</f>
        <v>475.6</v>
      </c>
      <c r="H36">
        <f>(G36/475.6)*100</f>
        <v>100</v>
      </c>
    </row>
    <row r="37" spans="1:8" x14ac:dyDescent="0.25">
      <c r="B37" s="1"/>
      <c r="C37" s="1"/>
      <c r="D37" t="s">
        <v>1</v>
      </c>
      <c r="E37">
        <v>77.5</v>
      </c>
      <c r="F37">
        <v>374.1</v>
      </c>
      <c r="G37" s="2">
        <f>F37-E37</f>
        <v>296.60000000000002</v>
      </c>
      <c r="H37">
        <f>(G37/475.6)*100</f>
        <v>62.363330529857016</v>
      </c>
    </row>
    <row r="38" spans="1:8" ht="33" customHeight="1" x14ac:dyDescent="0.25"/>
    <row r="39" spans="1:8" x14ac:dyDescent="0.25">
      <c r="A39" s="4" t="s">
        <v>30</v>
      </c>
    </row>
    <row r="40" spans="1:8" x14ac:dyDescent="0.25">
      <c r="A40" t="s">
        <v>20</v>
      </c>
    </row>
    <row r="41" spans="1:8" ht="28.5" x14ac:dyDescent="0.25">
      <c r="C41" s="1" t="s">
        <v>14</v>
      </c>
      <c r="E41" s="3" t="s">
        <v>18</v>
      </c>
      <c r="F41" s="3" t="s">
        <v>17</v>
      </c>
      <c r="G41" s="3" t="s">
        <v>16</v>
      </c>
      <c r="H41" s="3" t="s">
        <v>15</v>
      </c>
    </row>
    <row r="42" spans="1:8" x14ac:dyDescent="0.25">
      <c r="A42" t="s">
        <v>19</v>
      </c>
      <c r="C42" s="1" t="s">
        <v>12</v>
      </c>
      <c r="D42" t="s">
        <v>3</v>
      </c>
      <c r="E42">
        <v>0</v>
      </c>
      <c r="F42">
        <v>535.6</v>
      </c>
      <c r="G42" s="2">
        <f>F42-E42</f>
        <v>535.6</v>
      </c>
      <c r="H42">
        <f>(G42/535.6)*100</f>
        <v>100</v>
      </c>
    </row>
    <row r="43" spans="1:8" x14ac:dyDescent="0.25">
      <c r="A43" t="s">
        <v>29</v>
      </c>
      <c r="C43" s="1"/>
      <c r="D43" t="s">
        <v>1</v>
      </c>
      <c r="E43">
        <v>0</v>
      </c>
      <c r="F43">
        <v>165.1</v>
      </c>
      <c r="G43" s="2">
        <f>F43-E43</f>
        <v>165.1</v>
      </c>
      <c r="H43">
        <f>(G43/535.6)*100</f>
        <v>30.825242718446599</v>
      </c>
    </row>
    <row r="44" spans="1:8" x14ac:dyDescent="0.25">
      <c r="A44" t="s">
        <v>26</v>
      </c>
      <c r="B44" s="1" t="s">
        <v>9</v>
      </c>
      <c r="C44" s="1" t="s">
        <v>8</v>
      </c>
      <c r="D44" t="s">
        <v>3</v>
      </c>
      <c r="E44">
        <v>0</v>
      </c>
      <c r="F44">
        <v>518.70000000000005</v>
      </c>
      <c r="G44" s="2">
        <f>F44-E44</f>
        <v>518.70000000000005</v>
      </c>
      <c r="H44">
        <f>(G44/518.7)*100</f>
        <v>100</v>
      </c>
    </row>
    <row r="45" spans="1:8" x14ac:dyDescent="0.25">
      <c r="A45" t="s">
        <v>25</v>
      </c>
      <c r="C45" s="1"/>
      <c r="D45" t="s">
        <v>1</v>
      </c>
      <c r="E45">
        <v>0</v>
      </c>
      <c r="F45">
        <v>340.6</v>
      </c>
      <c r="G45" s="2">
        <f>F45-E45</f>
        <v>340.6</v>
      </c>
      <c r="H45" s="5">
        <f>(G45/518.7)*100</f>
        <v>65.664160401002505</v>
      </c>
    </row>
    <row r="46" spans="1:8" x14ac:dyDescent="0.25">
      <c r="A46" t="s">
        <v>24</v>
      </c>
    </row>
    <row r="47" spans="1:8" x14ac:dyDescent="0.25">
      <c r="A47" t="s">
        <v>23</v>
      </c>
    </row>
    <row r="59" spans="1:11" x14ac:dyDescent="0.25">
      <c r="A59" t="s">
        <v>22</v>
      </c>
    </row>
    <row r="61" spans="1:11" x14ac:dyDescent="0.25">
      <c r="A61" s="4" t="s">
        <v>21</v>
      </c>
    </row>
    <row r="62" spans="1:11" x14ac:dyDescent="0.25">
      <c r="A62" t="s">
        <v>20</v>
      </c>
    </row>
    <row r="64" spans="1:11" ht="28.5" x14ac:dyDescent="0.25">
      <c r="A64" t="s">
        <v>19</v>
      </c>
      <c r="B64" s="1"/>
      <c r="C64" s="1" t="s">
        <v>14</v>
      </c>
      <c r="E64" s="3" t="s">
        <v>18</v>
      </c>
      <c r="F64" s="3" t="s">
        <v>17</v>
      </c>
      <c r="G64" s="3" t="s">
        <v>16</v>
      </c>
      <c r="H64" s="3" t="s">
        <v>15</v>
      </c>
      <c r="K64" s="1" t="s">
        <v>14</v>
      </c>
    </row>
    <row r="65" spans="1:12" x14ac:dyDescent="0.25">
      <c r="A65" t="s">
        <v>13</v>
      </c>
      <c r="B65" s="1"/>
      <c r="C65" s="1" t="s">
        <v>12</v>
      </c>
      <c r="D65" t="s">
        <v>3</v>
      </c>
      <c r="E65">
        <v>0</v>
      </c>
      <c r="F65">
        <v>892.1</v>
      </c>
      <c r="G65" s="2">
        <f t="shared" ref="G65:G70" si="1">F65-E65</f>
        <v>892.1</v>
      </c>
      <c r="H65">
        <f>(G65/892.1)*100</f>
        <v>100</v>
      </c>
      <c r="K65" s="1" t="s">
        <v>12</v>
      </c>
      <c r="L65" t="s">
        <v>3</v>
      </c>
    </row>
    <row r="66" spans="1:12" x14ac:dyDescent="0.25">
      <c r="A66" t="s">
        <v>11</v>
      </c>
      <c r="B66" s="1"/>
      <c r="C66" s="1"/>
      <c r="D66" t="s">
        <v>1</v>
      </c>
      <c r="E66">
        <v>0</v>
      </c>
      <c r="F66">
        <v>697.4</v>
      </c>
      <c r="G66" s="2">
        <f t="shared" si="1"/>
        <v>697.4</v>
      </c>
      <c r="H66">
        <f>(G66/892.1)*100</f>
        <v>78.175092478421689</v>
      </c>
      <c r="K66" s="1"/>
      <c r="L66" t="s">
        <v>1</v>
      </c>
    </row>
    <row r="67" spans="1:12" x14ac:dyDescent="0.25">
      <c r="A67" t="s">
        <v>10</v>
      </c>
      <c r="B67" s="1" t="s">
        <v>9</v>
      </c>
      <c r="C67" s="1" t="s">
        <v>8</v>
      </c>
      <c r="D67" t="s">
        <v>3</v>
      </c>
      <c r="E67">
        <v>0</v>
      </c>
      <c r="F67">
        <v>945.9</v>
      </c>
      <c r="G67" s="2">
        <f t="shared" si="1"/>
        <v>945.9</v>
      </c>
      <c r="H67">
        <f>(G67/945.9)*100</f>
        <v>100</v>
      </c>
      <c r="K67" s="1" t="s">
        <v>8</v>
      </c>
      <c r="L67" t="s">
        <v>3</v>
      </c>
    </row>
    <row r="68" spans="1:12" x14ac:dyDescent="0.25">
      <c r="A68" t="s">
        <v>7</v>
      </c>
      <c r="B68" s="1"/>
      <c r="C68" s="1"/>
      <c r="D68" t="s">
        <v>1</v>
      </c>
      <c r="E68">
        <v>0</v>
      </c>
      <c r="F68">
        <v>739.8</v>
      </c>
      <c r="G68" s="2">
        <f t="shared" si="1"/>
        <v>739.8</v>
      </c>
      <c r="H68">
        <f>(G68/945.9)*100</f>
        <v>78.211227402473824</v>
      </c>
      <c r="K68" s="1"/>
      <c r="L68" t="s">
        <v>1</v>
      </c>
    </row>
    <row r="69" spans="1:12" x14ac:dyDescent="0.25">
      <c r="A69" t="s">
        <v>6</v>
      </c>
      <c r="B69" s="1" t="s">
        <v>5</v>
      </c>
      <c r="C69" s="1" t="s">
        <v>4</v>
      </c>
      <c r="D69" t="s">
        <v>3</v>
      </c>
      <c r="E69">
        <v>0</v>
      </c>
      <c r="F69">
        <v>1030.5</v>
      </c>
      <c r="G69" s="2">
        <f t="shared" si="1"/>
        <v>1030.5</v>
      </c>
      <c r="H69">
        <f>(G69/1030.5)*100</f>
        <v>100</v>
      </c>
    </row>
    <row r="70" spans="1:12" x14ac:dyDescent="0.25">
      <c r="A70" t="s">
        <v>2</v>
      </c>
      <c r="B70" s="1"/>
      <c r="C70" s="1"/>
      <c r="D70" t="s">
        <v>1</v>
      </c>
      <c r="E70">
        <v>0</v>
      </c>
      <c r="F70">
        <v>652.4</v>
      </c>
      <c r="G70" s="2">
        <f t="shared" si="1"/>
        <v>652.4</v>
      </c>
      <c r="H70">
        <f>(G70/1030.5)*100</f>
        <v>63.309073265405132</v>
      </c>
    </row>
    <row r="71" spans="1:12" x14ac:dyDescent="0.25">
      <c r="A71" t="s">
        <v>0</v>
      </c>
      <c r="B7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A173-2ED6-4AB8-BFB1-2A87586EE900}">
  <dimension ref="A1:Q102"/>
  <sheetViews>
    <sheetView workbookViewId="0">
      <selection activeCell="L24" sqref="L24"/>
    </sheetView>
  </sheetViews>
  <sheetFormatPr defaultRowHeight="15" x14ac:dyDescent="0.25"/>
  <cols>
    <col min="1" max="1" width="49.28515625" bestFit="1" customWidth="1"/>
    <col min="5" max="5" width="11.85546875" customWidth="1"/>
    <col min="7" max="7" width="12" customWidth="1"/>
  </cols>
  <sheetData>
    <row r="1" spans="1:17" x14ac:dyDescent="0.25">
      <c r="A1" s="4" t="s">
        <v>84</v>
      </c>
    </row>
    <row r="2" spans="1:17" x14ac:dyDescent="0.25">
      <c r="L2" t="s">
        <v>46</v>
      </c>
      <c r="M2" s="7">
        <v>45511</v>
      </c>
      <c r="N2" s="7">
        <v>45518</v>
      </c>
      <c r="O2" s="6">
        <v>45523</v>
      </c>
      <c r="P2" s="6">
        <v>45530</v>
      </c>
    </row>
    <row r="3" spans="1:17" x14ac:dyDescent="0.25">
      <c r="A3" t="s">
        <v>20</v>
      </c>
      <c r="L3" s="1" t="s">
        <v>12</v>
      </c>
      <c r="M3">
        <v>39.479999999999997</v>
      </c>
      <c r="N3">
        <v>28.08</v>
      </c>
      <c r="O3">
        <v>30.83</v>
      </c>
      <c r="P3">
        <v>29.34</v>
      </c>
    </row>
    <row r="4" spans="1:17" x14ac:dyDescent="0.25">
      <c r="L4" s="1" t="s">
        <v>4</v>
      </c>
      <c r="M4">
        <v>50.54</v>
      </c>
      <c r="N4">
        <v>36.39</v>
      </c>
      <c r="O4">
        <v>37.35</v>
      </c>
      <c r="P4">
        <v>35.18</v>
      </c>
    </row>
    <row r="5" spans="1:17" ht="57" x14ac:dyDescent="0.25">
      <c r="A5" t="s">
        <v>19</v>
      </c>
      <c r="C5" s="1" t="s">
        <v>14</v>
      </c>
      <c r="E5" s="3" t="s">
        <v>18</v>
      </c>
      <c r="F5" s="3" t="s">
        <v>17</v>
      </c>
      <c r="G5" s="3" t="s">
        <v>16</v>
      </c>
      <c r="H5" s="3" t="s">
        <v>15</v>
      </c>
    </row>
    <row r="6" spans="1:17" x14ac:dyDescent="0.25">
      <c r="A6" t="s">
        <v>13</v>
      </c>
      <c r="C6" s="1" t="s">
        <v>12</v>
      </c>
      <c r="D6" t="s">
        <v>3</v>
      </c>
      <c r="E6">
        <v>0</v>
      </c>
      <c r="F6" s="2">
        <v>856.8</v>
      </c>
      <c r="G6" s="2">
        <v>856.8</v>
      </c>
      <c r="H6">
        <f>(G6/856.8)*100</f>
        <v>100</v>
      </c>
    </row>
    <row r="7" spans="1:17" x14ac:dyDescent="0.25">
      <c r="A7" t="s">
        <v>83</v>
      </c>
      <c r="C7" s="1"/>
      <c r="D7" t="s">
        <v>1</v>
      </c>
      <c r="E7">
        <v>0</v>
      </c>
      <c r="F7">
        <v>338.3</v>
      </c>
      <c r="G7" s="2">
        <f>F7-E9</f>
        <v>338.3</v>
      </c>
      <c r="H7">
        <f>(G7/856.8)*100</f>
        <v>39.484126984126988</v>
      </c>
    </row>
    <row r="8" spans="1:17" x14ac:dyDescent="0.25">
      <c r="A8" t="s">
        <v>82</v>
      </c>
      <c r="C8" s="1" t="s">
        <v>4</v>
      </c>
      <c r="D8" t="s">
        <v>3</v>
      </c>
      <c r="E8">
        <v>0</v>
      </c>
      <c r="F8">
        <v>791.1</v>
      </c>
      <c r="G8" s="2">
        <f>F8-E6</f>
        <v>791.1</v>
      </c>
      <c r="H8">
        <f>(G8/791.1)*100</f>
        <v>100</v>
      </c>
    </row>
    <row r="9" spans="1:17" x14ac:dyDescent="0.25">
      <c r="A9" t="s">
        <v>81</v>
      </c>
      <c r="C9" s="1"/>
      <c r="D9" t="s">
        <v>1</v>
      </c>
      <c r="E9">
        <v>0</v>
      </c>
      <c r="F9">
        <v>399.8</v>
      </c>
      <c r="G9" s="2">
        <f>F9-E7</f>
        <v>399.8</v>
      </c>
      <c r="H9" s="5">
        <f>(G9/791.1)*100</f>
        <v>50.537226646441667</v>
      </c>
    </row>
    <row r="10" spans="1:17" x14ac:dyDescent="0.25">
      <c r="A10" t="s">
        <v>80</v>
      </c>
    </row>
    <row r="13" spans="1:17" x14ac:dyDescent="0.25">
      <c r="A13" s="4" t="s">
        <v>79</v>
      </c>
      <c r="J13" s="4"/>
    </row>
    <row r="14" spans="1:17" x14ac:dyDescent="0.25">
      <c r="A14" t="s">
        <v>20</v>
      </c>
    </row>
    <row r="15" spans="1:17" ht="57" x14ac:dyDescent="0.25">
      <c r="C15" s="1" t="s">
        <v>14</v>
      </c>
      <c r="E15" s="3" t="s">
        <v>18</v>
      </c>
      <c r="F15" s="3" t="s">
        <v>17</v>
      </c>
      <c r="G15" s="3" t="s">
        <v>16</v>
      </c>
      <c r="H15" s="3" t="s">
        <v>15</v>
      </c>
      <c r="L15" s="1"/>
      <c r="N15" s="3"/>
      <c r="O15" s="3"/>
      <c r="P15" s="3"/>
      <c r="Q15" s="3"/>
    </row>
    <row r="16" spans="1:17" x14ac:dyDescent="0.25">
      <c r="A16" t="s">
        <v>19</v>
      </c>
      <c r="C16" s="1" t="s">
        <v>12</v>
      </c>
      <c r="D16" t="s">
        <v>3</v>
      </c>
      <c r="E16">
        <v>0</v>
      </c>
      <c r="F16">
        <v>527.79999999999995</v>
      </c>
      <c r="G16" s="2">
        <f>F16-E16</f>
        <v>527.79999999999995</v>
      </c>
      <c r="H16">
        <f>(G16/527.8)*100</f>
        <v>100</v>
      </c>
      <c r="L16" s="1"/>
      <c r="P16" s="2"/>
    </row>
    <row r="17" spans="1:17" x14ac:dyDescent="0.25">
      <c r="A17" t="s">
        <v>29</v>
      </c>
      <c r="C17" s="1"/>
      <c r="D17" t="s">
        <v>1</v>
      </c>
      <c r="E17">
        <v>0</v>
      </c>
      <c r="F17">
        <v>148.19999999999999</v>
      </c>
      <c r="G17" s="2">
        <f>F17-E17</f>
        <v>148.19999999999999</v>
      </c>
      <c r="H17">
        <f>(G17/527.8)*100</f>
        <v>28.078817733990146</v>
      </c>
      <c r="L17" s="1"/>
      <c r="P17" s="2"/>
    </row>
    <row r="18" spans="1:17" x14ac:dyDescent="0.25">
      <c r="A18" t="s">
        <v>78</v>
      </c>
      <c r="C18" s="1" t="s">
        <v>4</v>
      </c>
      <c r="D18" t="s">
        <v>3</v>
      </c>
      <c r="E18">
        <v>0</v>
      </c>
      <c r="F18">
        <v>525.20000000000005</v>
      </c>
      <c r="G18" s="2">
        <f>F18-E18</f>
        <v>525.20000000000005</v>
      </c>
      <c r="H18">
        <f>(G18/525.2)*100</f>
        <v>100</v>
      </c>
      <c r="L18" s="1"/>
      <c r="P18" s="2"/>
    </row>
    <row r="19" spans="1:17" x14ac:dyDescent="0.25">
      <c r="A19" t="s">
        <v>77</v>
      </c>
      <c r="C19" s="1"/>
      <c r="D19" t="s">
        <v>1</v>
      </c>
      <c r="E19">
        <v>0</v>
      </c>
      <c r="F19">
        <v>191.1</v>
      </c>
      <c r="G19" s="2">
        <f>F19-E19</f>
        <v>191.1</v>
      </c>
      <c r="H19" s="5">
        <f>(G19/525.2)*100</f>
        <v>36.386138613861377</v>
      </c>
      <c r="L19" s="1"/>
      <c r="P19" s="2"/>
      <c r="Q19" s="5"/>
    </row>
    <row r="20" spans="1:17" x14ac:dyDescent="0.25">
      <c r="A20" t="s">
        <v>76</v>
      </c>
    </row>
    <row r="21" spans="1:17" x14ac:dyDescent="0.25">
      <c r="A21" t="s">
        <v>75</v>
      </c>
    </row>
    <row r="24" spans="1:17" x14ac:dyDescent="0.25">
      <c r="A24" s="4" t="s">
        <v>30</v>
      </c>
    </row>
    <row r="25" spans="1:17" x14ac:dyDescent="0.25">
      <c r="A25" t="s">
        <v>20</v>
      </c>
    </row>
    <row r="26" spans="1:17" ht="57" x14ac:dyDescent="0.25">
      <c r="C26" s="1" t="s">
        <v>14</v>
      </c>
      <c r="E26" s="3" t="s">
        <v>18</v>
      </c>
      <c r="F26" s="3" t="s">
        <v>17</v>
      </c>
      <c r="G26" s="3" t="s">
        <v>16</v>
      </c>
      <c r="H26" s="3" t="s">
        <v>15</v>
      </c>
    </row>
    <row r="27" spans="1:17" x14ac:dyDescent="0.25">
      <c r="A27" t="s">
        <v>19</v>
      </c>
      <c r="C27" s="1" t="s">
        <v>12</v>
      </c>
      <c r="D27" t="s">
        <v>3</v>
      </c>
      <c r="E27">
        <v>0</v>
      </c>
      <c r="F27">
        <v>535.6</v>
      </c>
      <c r="G27" s="2">
        <f>F27-E27</f>
        <v>535.6</v>
      </c>
      <c r="H27">
        <f>(G27/535.6)*100</f>
        <v>100</v>
      </c>
    </row>
    <row r="28" spans="1:17" x14ac:dyDescent="0.25">
      <c r="A28" t="s">
        <v>29</v>
      </c>
      <c r="C28" s="1"/>
      <c r="D28" t="s">
        <v>1</v>
      </c>
      <c r="E28">
        <v>0</v>
      </c>
      <c r="F28">
        <v>165.1</v>
      </c>
      <c r="G28" s="2">
        <f>F28-E28</f>
        <v>165.1</v>
      </c>
      <c r="H28">
        <f>(G28/535.6)*100</f>
        <v>30.825242718446599</v>
      </c>
    </row>
    <row r="29" spans="1:17" x14ac:dyDescent="0.25">
      <c r="A29" t="s">
        <v>28</v>
      </c>
      <c r="C29" s="1" t="s">
        <v>4</v>
      </c>
      <c r="D29" t="s">
        <v>3</v>
      </c>
      <c r="E29">
        <v>0</v>
      </c>
      <c r="F29">
        <v>495.3</v>
      </c>
      <c r="G29" s="2">
        <f>F29-E29</f>
        <v>495.3</v>
      </c>
      <c r="H29">
        <f>(G29/495.3)*100</f>
        <v>100</v>
      </c>
    </row>
    <row r="30" spans="1:17" x14ac:dyDescent="0.25">
      <c r="A30" t="s">
        <v>27</v>
      </c>
      <c r="C30" s="1"/>
      <c r="D30" t="s">
        <v>1</v>
      </c>
      <c r="E30">
        <v>0</v>
      </c>
      <c r="F30">
        <v>185</v>
      </c>
      <c r="G30" s="2">
        <f>F30-E30</f>
        <v>185</v>
      </c>
      <c r="H30" s="5">
        <f>(G30/495.3)*100</f>
        <v>37.351100343226328</v>
      </c>
    </row>
    <row r="31" spans="1:17" x14ac:dyDescent="0.25">
      <c r="A31" t="s">
        <v>24</v>
      </c>
    </row>
    <row r="32" spans="1:17" x14ac:dyDescent="0.25">
      <c r="A32" t="s">
        <v>23</v>
      </c>
    </row>
    <row r="37" spans="1:8" x14ac:dyDescent="0.25">
      <c r="A37" s="4" t="s">
        <v>74</v>
      </c>
    </row>
    <row r="38" spans="1:8" x14ac:dyDescent="0.25">
      <c r="A38" t="s">
        <v>20</v>
      </c>
    </row>
    <row r="39" spans="1:8" ht="57" x14ac:dyDescent="0.25">
      <c r="C39" s="1" t="s">
        <v>14</v>
      </c>
      <c r="E39" s="3" t="s">
        <v>18</v>
      </c>
      <c r="F39" s="3" t="s">
        <v>17</v>
      </c>
      <c r="G39" s="3" t="s">
        <v>16</v>
      </c>
      <c r="H39" s="3" t="s">
        <v>15</v>
      </c>
    </row>
    <row r="40" spans="1:8" x14ac:dyDescent="0.25">
      <c r="A40" t="s">
        <v>19</v>
      </c>
      <c r="C40" s="1" t="s">
        <v>12</v>
      </c>
      <c r="D40" t="s">
        <v>3</v>
      </c>
      <c r="E40">
        <v>0</v>
      </c>
      <c r="F40">
        <v>607.1</v>
      </c>
      <c r="G40" s="2">
        <f>F40-E40</f>
        <v>607.1</v>
      </c>
      <c r="H40">
        <f>(G40/607.1)*100</f>
        <v>100</v>
      </c>
    </row>
    <row r="41" spans="1:8" x14ac:dyDescent="0.25">
      <c r="A41" t="s">
        <v>29</v>
      </c>
      <c r="C41" s="1"/>
      <c r="D41" t="s">
        <v>1</v>
      </c>
      <c r="E41">
        <v>0</v>
      </c>
      <c r="F41">
        <v>178.1</v>
      </c>
      <c r="G41" s="2">
        <f>F41-E41</f>
        <v>178.1</v>
      </c>
      <c r="H41">
        <f>(G41/607.1)*100</f>
        <v>29.336188436830835</v>
      </c>
    </row>
    <row r="42" spans="1:8" x14ac:dyDescent="0.25">
      <c r="A42" t="s">
        <v>73</v>
      </c>
      <c r="C42" s="1" t="s">
        <v>4</v>
      </c>
      <c r="D42" t="s">
        <v>3</v>
      </c>
      <c r="E42">
        <v>0</v>
      </c>
      <c r="F42">
        <v>609.70000000000005</v>
      </c>
      <c r="G42" s="2">
        <f>F42-E42</f>
        <v>609.70000000000005</v>
      </c>
      <c r="H42">
        <f>(G42/609.7)*100</f>
        <v>100</v>
      </c>
    </row>
    <row r="43" spans="1:8" x14ac:dyDescent="0.25">
      <c r="A43" t="s">
        <v>72</v>
      </c>
      <c r="C43" s="1"/>
      <c r="D43" t="s">
        <v>1</v>
      </c>
      <c r="E43">
        <v>0</v>
      </c>
      <c r="F43">
        <v>214.5</v>
      </c>
      <c r="G43" s="2">
        <f>F43-E43</f>
        <v>214.5</v>
      </c>
      <c r="H43" s="5">
        <f>(G43/609.7)*100</f>
        <v>35.181236673773988</v>
      </c>
    </row>
    <row r="44" spans="1:8" x14ac:dyDescent="0.25">
      <c r="A44" t="s">
        <v>69</v>
      </c>
    </row>
    <row r="45" spans="1:8" x14ac:dyDescent="0.25">
      <c r="A45" t="s">
        <v>68</v>
      </c>
    </row>
    <row r="69" spans="1:8" x14ac:dyDescent="0.25">
      <c r="A69" s="8" t="s">
        <v>67</v>
      </c>
    </row>
    <row r="70" spans="1:8" x14ac:dyDescent="0.25">
      <c r="A70" t="s">
        <v>20</v>
      </c>
    </row>
    <row r="72" spans="1:8" ht="57" x14ac:dyDescent="0.25">
      <c r="A72" t="s">
        <v>19</v>
      </c>
      <c r="C72" s="1" t="s">
        <v>14</v>
      </c>
      <c r="E72" s="3" t="s">
        <v>18</v>
      </c>
      <c r="F72" s="3" t="s">
        <v>17</v>
      </c>
      <c r="G72" s="3" t="s">
        <v>16</v>
      </c>
      <c r="H72" s="3" t="s">
        <v>15</v>
      </c>
    </row>
    <row r="73" spans="1:8" x14ac:dyDescent="0.25">
      <c r="A73" t="s">
        <v>13</v>
      </c>
      <c r="C73" s="1" t="s">
        <v>12</v>
      </c>
      <c r="D73" t="s">
        <v>3</v>
      </c>
      <c r="E73">
        <v>76.599999999999994</v>
      </c>
      <c r="F73">
        <v>1657.7</v>
      </c>
      <c r="G73" s="2">
        <f>F73-E73</f>
        <v>1581.1000000000001</v>
      </c>
      <c r="H73">
        <f>(G73/1581.1)*100</f>
        <v>100.00000000000003</v>
      </c>
    </row>
    <row r="74" spans="1:8" x14ac:dyDescent="0.25">
      <c r="A74" t="s">
        <v>66</v>
      </c>
      <c r="C74" s="1"/>
      <c r="D74" t="s">
        <v>1</v>
      </c>
      <c r="E74">
        <v>76.599999999999994</v>
      </c>
      <c r="F74">
        <v>1360.6</v>
      </c>
      <c r="G74" s="2">
        <f>F74-E74</f>
        <v>1284</v>
      </c>
      <c r="H74">
        <f>(G74/1581.1)*100</f>
        <v>81.209284675226115</v>
      </c>
    </row>
    <row r="75" spans="1:8" x14ac:dyDescent="0.25">
      <c r="A75" t="s">
        <v>65</v>
      </c>
      <c r="C75" s="1" t="s">
        <v>4</v>
      </c>
      <c r="D75" t="s">
        <v>3</v>
      </c>
      <c r="E75">
        <v>76.599999999999994</v>
      </c>
      <c r="F75">
        <v>1296.4000000000001</v>
      </c>
      <c r="G75" s="2">
        <f>F75-E75</f>
        <v>1219.8000000000002</v>
      </c>
      <c r="H75">
        <f>(G75/1034.1)*100</f>
        <v>117.95764432840154</v>
      </c>
    </row>
    <row r="76" spans="1:8" x14ac:dyDescent="0.25">
      <c r="A76" t="s">
        <v>64</v>
      </c>
      <c r="C76" s="1"/>
      <c r="D76" t="s">
        <v>1</v>
      </c>
      <c r="E76">
        <v>76.599999999999994</v>
      </c>
      <c r="F76">
        <v>1288.5999999999999</v>
      </c>
      <c r="G76" s="2">
        <f>F76-E76</f>
        <v>1212</v>
      </c>
      <c r="H76" s="5">
        <f>(G76/1034.1)*100</f>
        <v>117.20336524514072</v>
      </c>
    </row>
    <row r="77" spans="1:8" x14ac:dyDescent="0.25">
      <c r="A77" t="s">
        <v>63</v>
      </c>
    </row>
    <row r="78" spans="1:8" x14ac:dyDescent="0.25">
      <c r="A78" t="s">
        <v>62</v>
      </c>
    </row>
    <row r="81" spans="1:8" x14ac:dyDescent="0.25">
      <c r="A81" t="s">
        <v>61</v>
      </c>
    </row>
    <row r="82" spans="1:8" x14ac:dyDescent="0.25">
      <c r="A82" s="4" t="s">
        <v>60</v>
      </c>
    </row>
    <row r="83" spans="1:8" x14ac:dyDescent="0.25">
      <c r="A83" t="s">
        <v>59</v>
      </c>
    </row>
    <row r="84" spans="1:8" ht="57" x14ac:dyDescent="0.25">
      <c r="C84" s="1" t="s">
        <v>14</v>
      </c>
      <c r="E84" s="3" t="s">
        <v>18</v>
      </c>
      <c r="F84" s="3" t="s">
        <v>17</v>
      </c>
      <c r="G84" s="3" t="s">
        <v>16</v>
      </c>
      <c r="H84" s="3" t="s">
        <v>15</v>
      </c>
    </row>
    <row r="85" spans="1:8" x14ac:dyDescent="0.25">
      <c r="A85" t="s">
        <v>19</v>
      </c>
      <c r="C85" s="1" t="s">
        <v>12</v>
      </c>
      <c r="D85" t="s">
        <v>3</v>
      </c>
      <c r="E85">
        <v>0</v>
      </c>
      <c r="F85">
        <v>1023.1</v>
      </c>
      <c r="G85" s="2">
        <f>F85-E85</f>
        <v>1023.1</v>
      </c>
      <c r="H85">
        <f>(G85/1023.1)*100</f>
        <v>100</v>
      </c>
    </row>
    <row r="86" spans="1:8" x14ac:dyDescent="0.25">
      <c r="A86" t="s">
        <v>29</v>
      </c>
      <c r="C86" s="1"/>
      <c r="D86" t="s">
        <v>1</v>
      </c>
      <c r="E86">
        <v>0</v>
      </c>
      <c r="F86">
        <v>162.5</v>
      </c>
      <c r="G86" s="2">
        <f>F86-E86</f>
        <v>162.5</v>
      </c>
      <c r="H86">
        <f>(G86/1023.1)*100</f>
        <v>15.88310038119441</v>
      </c>
    </row>
    <row r="87" spans="1:8" x14ac:dyDescent="0.25">
      <c r="A87" t="s">
        <v>58</v>
      </c>
      <c r="C87" s="1" t="s">
        <v>4</v>
      </c>
      <c r="D87" t="s">
        <v>3</v>
      </c>
      <c r="E87">
        <v>0</v>
      </c>
      <c r="F87">
        <v>417.3</v>
      </c>
      <c r="G87" s="2">
        <f>F87-E87</f>
        <v>417.3</v>
      </c>
      <c r="H87">
        <f>(G87/417.3)*100</f>
        <v>100</v>
      </c>
    </row>
    <row r="88" spans="1:8" x14ac:dyDescent="0.25">
      <c r="A88" t="s">
        <v>57</v>
      </c>
      <c r="C88" s="1"/>
      <c r="D88" t="s">
        <v>1</v>
      </c>
      <c r="E88">
        <v>0</v>
      </c>
      <c r="F88">
        <v>193.7</v>
      </c>
      <c r="G88" s="2">
        <f>F88-E88</f>
        <v>193.7</v>
      </c>
      <c r="H88">
        <f>(G88/417.3)*100</f>
        <v>46.417445482866036</v>
      </c>
    </row>
    <row r="89" spans="1:8" x14ac:dyDescent="0.25">
      <c r="A89" t="s">
        <v>56</v>
      </c>
    </row>
    <row r="90" spans="1:8" x14ac:dyDescent="0.25">
      <c r="A90" t="s">
        <v>55</v>
      </c>
    </row>
    <row r="92" spans="1:8" x14ac:dyDescent="0.25">
      <c r="A92" s="4" t="s">
        <v>54</v>
      </c>
    </row>
    <row r="93" spans="1:8" x14ac:dyDescent="0.25">
      <c r="A93" t="s">
        <v>20</v>
      </c>
    </row>
    <row r="94" spans="1:8" ht="57" x14ac:dyDescent="0.25">
      <c r="C94" s="1" t="s">
        <v>14</v>
      </c>
      <c r="E94" s="3" t="s">
        <v>18</v>
      </c>
      <c r="F94" s="3" t="s">
        <v>17</v>
      </c>
      <c r="G94" s="3" t="s">
        <v>16</v>
      </c>
      <c r="H94" s="3" t="s">
        <v>15</v>
      </c>
    </row>
    <row r="95" spans="1:8" x14ac:dyDescent="0.25">
      <c r="A95" t="s">
        <v>19</v>
      </c>
      <c r="C95" s="1" t="s">
        <v>12</v>
      </c>
      <c r="D95" t="s">
        <v>3</v>
      </c>
      <c r="E95">
        <v>0</v>
      </c>
      <c r="F95">
        <v>1016.6</v>
      </c>
      <c r="G95" s="2">
        <f>F95-E95</f>
        <v>1016.6</v>
      </c>
      <c r="H95">
        <f>(G95/1016.6)*100</f>
        <v>100</v>
      </c>
    </row>
    <row r="96" spans="1:8" x14ac:dyDescent="0.25">
      <c r="A96" t="s">
        <v>29</v>
      </c>
      <c r="C96" s="1"/>
      <c r="D96" t="s">
        <v>1</v>
      </c>
      <c r="E96">
        <v>0</v>
      </c>
      <c r="F96">
        <v>182</v>
      </c>
      <c r="G96" s="2">
        <f>F96-E96</f>
        <v>182</v>
      </c>
      <c r="H96">
        <f>(G96/1016.6)*100</f>
        <v>17.902813299232736</v>
      </c>
    </row>
    <row r="97" spans="1:8" x14ac:dyDescent="0.25">
      <c r="A97" t="s">
        <v>53</v>
      </c>
      <c r="C97" s="1" t="s">
        <v>4</v>
      </c>
      <c r="D97" t="s">
        <v>3</v>
      </c>
      <c r="E97">
        <v>0</v>
      </c>
      <c r="F97">
        <v>925.6</v>
      </c>
      <c r="G97" s="2">
        <f>F97-E97</f>
        <v>925.6</v>
      </c>
      <c r="H97">
        <f>(G97/925.6)*100</f>
        <v>100</v>
      </c>
    </row>
    <row r="98" spans="1:8" x14ac:dyDescent="0.25">
      <c r="A98" t="s">
        <v>52</v>
      </c>
      <c r="C98" s="1"/>
      <c r="D98" t="s">
        <v>1</v>
      </c>
      <c r="E98">
        <v>0</v>
      </c>
      <c r="F98">
        <v>206</v>
      </c>
      <c r="G98" s="2">
        <f>F98-E98</f>
        <v>206</v>
      </c>
      <c r="H98" s="5">
        <f>(G98/925.6)*100</f>
        <v>22.255834053586863</v>
      </c>
    </row>
    <row r="99" spans="1:8" x14ac:dyDescent="0.25">
      <c r="A99" t="s">
        <v>51</v>
      </c>
    </row>
    <row r="100" spans="1:8" x14ac:dyDescent="0.25">
      <c r="A100" t="s">
        <v>50</v>
      </c>
    </row>
    <row r="101" spans="1:8" x14ac:dyDescent="0.25">
      <c r="A101" t="s">
        <v>49</v>
      </c>
    </row>
    <row r="102" spans="1:8" x14ac:dyDescent="0.25">
      <c r="A102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E4A0-3AB0-4166-BD95-60A4DBAD0BB1}">
  <dimension ref="A2:S94"/>
  <sheetViews>
    <sheetView tabSelected="1" workbookViewId="0">
      <selection activeCell="P11" sqref="P11"/>
    </sheetView>
  </sheetViews>
  <sheetFormatPr defaultRowHeight="15" x14ac:dyDescent="0.25"/>
  <cols>
    <col min="1" max="1" width="49.28515625" bestFit="1" customWidth="1"/>
    <col min="5" max="5" width="14.140625" bestFit="1" customWidth="1"/>
    <col min="7" max="7" width="13.28515625" customWidth="1"/>
    <col min="8" max="8" width="8.7109375" customWidth="1"/>
    <col min="9" max="9" width="12.7109375" customWidth="1"/>
    <col min="10" max="10" width="13" customWidth="1"/>
    <col min="14" max="14" width="14" customWidth="1"/>
    <col min="16" max="16" width="30" bestFit="1" customWidth="1"/>
  </cols>
  <sheetData>
    <row r="2" spans="1:19" x14ac:dyDescent="0.25">
      <c r="A2" s="4" t="s">
        <v>124</v>
      </c>
      <c r="R2" t="s">
        <v>123</v>
      </c>
      <c r="S2" t="s">
        <v>122</v>
      </c>
    </row>
    <row r="3" spans="1:19" ht="38.25" customHeight="1" x14ac:dyDescent="0.25">
      <c r="A3" t="s">
        <v>20</v>
      </c>
      <c r="E3" s="1" t="s">
        <v>14</v>
      </c>
      <c r="G3" s="3" t="s">
        <v>18</v>
      </c>
      <c r="H3" s="3" t="s">
        <v>17</v>
      </c>
      <c r="I3" s="3" t="s">
        <v>16</v>
      </c>
      <c r="J3" s="3" t="s">
        <v>15</v>
      </c>
      <c r="N3" s="10"/>
      <c r="O3" s="11">
        <v>45537</v>
      </c>
      <c r="P3" s="12" t="s">
        <v>125</v>
      </c>
      <c r="Q3" s="11">
        <v>45544</v>
      </c>
      <c r="R3" s="11">
        <v>45548</v>
      </c>
      <c r="S3" s="11">
        <v>45548</v>
      </c>
    </row>
    <row r="4" spans="1:19" x14ac:dyDescent="0.25">
      <c r="E4" s="1" t="s">
        <v>12</v>
      </c>
      <c r="F4" t="s">
        <v>3</v>
      </c>
      <c r="G4">
        <v>0</v>
      </c>
      <c r="H4">
        <v>753.8</v>
      </c>
      <c r="I4" s="2">
        <f t="shared" ref="I4:I9" si="0">H4-G4</f>
        <v>753.8</v>
      </c>
      <c r="J4">
        <f>(I4/753.8)*100</f>
        <v>100</v>
      </c>
      <c r="N4" s="1" t="s">
        <v>12</v>
      </c>
      <c r="O4">
        <v>39.479999999999997</v>
      </c>
      <c r="P4">
        <v>29.87</v>
      </c>
      <c r="Q4">
        <v>30.52</v>
      </c>
      <c r="R4">
        <v>34.200000000000003</v>
      </c>
      <c r="S4">
        <v>39.51</v>
      </c>
    </row>
    <row r="5" spans="1:19" x14ac:dyDescent="0.25">
      <c r="A5" t="s">
        <v>19</v>
      </c>
      <c r="E5" s="1"/>
      <c r="F5" t="s">
        <v>1</v>
      </c>
      <c r="G5">
        <v>0</v>
      </c>
      <c r="H5">
        <v>297.60000000000002</v>
      </c>
      <c r="I5" s="2">
        <f t="shared" si="0"/>
        <v>297.60000000000002</v>
      </c>
      <c r="J5">
        <f>(I5/753.8)*100</f>
        <v>39.479968161316002</v>
      </c>
      <c r="N5" s="1" t="s">
        <v>95</v>
      </c>
      <c r="O5">
        <v>89.94</v>
      </c>
      <c r="P5">
        <v>83.48</v>
      </c>
      <c r="Q5">
        <v>91.93</v>
      </c>
      <c r="R5">
        <v>70.84</v>
      </c>
      <c r="S5">
        <v>74.09</v>
      </c>
    </row>
    <row r="6" spans="1:19" ht="14.25" customHeight="1" x14ac:dyDescent="0.25">
      <c r="A6" t="s">
        <v>13</v>
      </c>
      <c r="E6" s="1" t="s">
        <v>95</v>
      </c>
      <c r="F6" t="s">
        <v>3</v>
      </c>
      <c r="G6">
        <v>0</v>
      </c>
      <c r="H6" s="9">
        <v>717.4</v>
      </c>
      <c r="I6" s="2">
        <f t="shared" si="0"/>
        <v>717.4</v>
      </c>
      <c r="J6">
        <f>(I6/717.4)*100</f>
        <v>100</v>
      </c>
      <c r="N6" s="1" t="s">
        <v>92</v>
      </c>
      <c r="O6">
        <v>114.12</v>
      </c>
      <c r="Q6">
        <v>100.62</v>
      </c>
      <c r="R6">
        <v>99.88</v>
      </c>
      <c r="S6">
        <v>99.72</v>
      </c>
    </row>
    <row r="7" spans="1:19" x14ac:dyDescent="0.25">
      <c r="A7" t="s">
        <v>121</v>
      </c>
      <c r="E7" s="1"/>
      <c r="F7" t="s">
        <v>1</v>
      </c>
      <c r="G7">
        <v>0</v>
      </c>
      <c r="H7">
        <v>645.20000000000005</v>
      </c>
      <c r="I7" s="2">
        <f t="shared" si="0"/>
        <v>645.20000000000005</v>
      </c>
      <c r="J7">
        <f>(I7/717.4)*100</f>
        <v>89.935879565096187</v>
      </c>
      <c r="N7" s="10"/>
    </row>
    <row r="8" spans="1:19" ht="17.25" customHeight="1" x14ac:dyDescent="0.25">
      <c r="A8" t="s">
        <v>120</v>
      </c>
      <c r="E8" s="1" t="s">
        <v>92</v>
      </c>
      <c r="F8" t="s">
        <v>3</v>
      </c>
      <c r="G8">
        <v>0</v>
      </c>
      <c r="H8" s="9">
        <v>738.6</v>
      </c>
      <c r="I8" s="2">
        <f t="shared" si="0"/>
        <v>738.6</v>
      </c>
      <c r="J8">
        <f>(I8/738.6)*100</f>
        <v>100</v>
      </c>
      <c r="N8" s="10"/>
    </row>
    <row r="9" spans="1:19" x14ac:dyDescent="0.25">
      <c r="A9" t="s">
        <v>119</v>
      </c>
      <c r="E9" s="1"/>
      <c r="F9" t="s">
        <v>1</v>
      </c>
      <c r="G9">
        <v>0</v>
      </c>
      <c r="H9">
        <v>842.9</v>
      </c>
      <c r="I9" s="2">
        <f t="shared" si="0"/>
        <v>842.9</v>
      </c>
      <c r="J9">
        <f>(I9/738.6)*100</f>
        <v>114.12131058759816</v>
      </c>
      <c r="N9" s="10"/>
    </row>
    <row r="10" spans="1:19" x14ac:dyDescent="0.25">
      <c r="A10" t="s">
        <v>118</v>
      </c>
    </row>
    <row r="11" spans="1:19" x14ac:dyDescent="0.25">
      <c r="A11" t="s">
        <v>117</v>
      </c>
    </row>
    <row r="12" spans="1:19" x14ac:dyDescent="0.25">
      <c r="A12" t="s">
        <v>116</v>
      </c>
    </row>
    <row r="15" spans="1:19" x14ac:dyDescent="0.25">
      <c r="A15" s="4" t="s">
        <v>115</v>
      </c>
    </row>
    <row r="16" spans="1:19" ht="28.5" x14ac:dyDescent="0.25">
      <c r="A16" t="s">
        <v>20</v>
      </c>
      <c r="E16" s="1" t="s">
        <v>14</v>
      </c>
      <c r="G16" s="3" t="s">
        <v>18</v>
      </c>
      <c r="H16" s="3" t="s">
        <v>17</v>
      </c>
      <c r="I16" s="3" t="s">
        <v>16</v>
      </c>
      <c r="J16" s="3" t="s">
        <v>15</v>
      </c>
    </row>
    <row r="17" spans="1:10" x14ac:dyDescent="0.25">
      <c r="E17" s="1" t="s">
        <v>12</v>
      </c>
      <c r="F17" t="s">
        <v>3</v>
      </c>
      <c r="G17">
        <v>0</v>
      </c>
      <c r="H17">
        <v>630.1</v>
      </c>
      <c r="I17" s="2">
        <f>H17-G17</f>
        <v>630.1</v>
      </c>
      <c r="J17">
        <f>(I17/630.1)*100</f>
        <v>100</v>
      </c>
    </row>
    <row r="18" spans="1:10" x14ac:dyDescent="0.25">
      <c r="A18" t="s">
        <v>19</v>
      </c>
      <c r="E18" s="1"/>
      <c r="F18" t="s">
        <v>1</v>
      </c>
      <c r="G18">
        <v>0</v>
      </c>
      <c r="H18">
        <v>188.2</v>
      </c>
      <c r="I18" s="2">
        <f>H18-G18</f>
        <v>188.2</v>
      </c>
      <c r="J18">
        <f>(I18/630.1)*100</f>
        <v>29.868274877003646</v>
      </c>
    </row>
    <row r="19" spans="1:10" x14ac:dyDescent="0.25">
      <c r="A19" t="s">
        <v>13</v>
      </c>
      <c r="E19" s="1" t="s">
        <v>95</v>
      </c>
      <c r="F19" t="s">
        <v>3</v>
      </c>
      <c r="G19">
        <v>0</v>
      </c>
      <c r="H19" s="9">
        <v>651.5</v>
      </c>
      <c r="I19" s="2">
        <f>H19-G19</f>
        <v>651.5</v>
      </c>
      <c r="J19">
        <f>(I19/651.5)*100</f>
        <v>100</v>
      </c>
    </row>
    <row r="20" spans="1:10" x14ac:dyDescent="0.25">
      <c r="A20" t="s">
        <v>114</v>
      </c>
      <c r="E20" s="1"/>
      <c r="F20" t="s">
        <v>1</v>
      </c>
      <c r="G20">
        <v>0</v>
      </c>
      <c r="H20">
        <v>543.9</v>
      </c>
      <c r="I20" s="2">
        <f>H20-G20</f>
        <v>543.9</v>
      </c>
      <c r="J20" s="5">
        <f>(I20/651.5)*100</f>
        <v>83.484267075978508</v>
      </c>
    </row>
    <row r="21" spans="1:10" x14ac:dyDescent="0.25">
      <c r="A21" t="s">
        <v>113</v>
      </c>
      <c r="E21" s="1"/>
      <c r="H21" s="9"/>
      <c r="I21" s="2"/>
    </row>
    <row r="22" spans="1:10" x14ac:dyDescent="0.25">
      <c r="A22" t="s">
        <v>112</v>
      </c>
      <c r="E22" s="1"/>
      <c r="I22" s="2"/>
    </row>
    <row r="23" spans="1:10" x14ac:dyDescent="0.25">
      <c r="A23" t="s">
        <v>111</v>
      </c>
    </row>
    <row r="28" spans="1:10" x14ac:dyDescent="0.25">
      <c r="A28" s="4" t="s">
        <v>110</v>
      </c>
    </row>
    <row r="29" spans="1:10" ht="28.5" x14ac:dyDescent="0.25">
      <c r="A29" t="s">
        <v>20</v>
      </c>
      <c r="E29" s="1" t="s">
        <v>14</v>
      </c>
      <c r="G29" s="3" t="s">
        <v>18</v>
      </c>
      <c r="H29" s="3" t="s">
        <v>17</v>
      </c>
      <c r="I29" s="3" t="s">
        <v>16</v>
      </c>
      <c r="J29" s="3" t="s">
        <v>15</v>
      </c>
    </row>
    <row r="30" spans="1:10" x14ac:dyDescent="0.25">
      <c r="E30" s="1" t="s">
        <v>12</v>
      </c>
      <c r="F30" t="s">
        <v>3</v>
      </c>
      <c r="G30">
        <v>0</v>
      </c>
      <c r="H30">
        <v>563.29999999999995</v>
      </c>
      <c r="I30" s="2">
        <f t="shared" ref="I30:I35" si="1">H30-G30</f>
        <v>563.29999999999995</v>
      </c>
      <c r="J30">
        <f>(I30/563.3)*100</f>
        <v>100</v>
      </c>
    </row>
    <row r="31" spans="1:10" x14ac:dyDescent="0.25">
      <c r="A31" t="s">
        <v>19</v>
      </c>
      <c r="E31" s="1"/>
      <c r="F31" t="s">
        <v>1</v>
      </c>
      <c r="G31">
        <v>0</v>
      </c>
      <c r="H31">
        <v>171.9</v>
      </c>
      <c r="I31" s="2">
        <f t="shared" si="1"/>
        <v>171.9</v>
      </c>
      <c r="J31">
        <f>(I31/563.3)*100</f>
        <v>30.51659861530268</v>
      </c>
    </row>
    <row r="32" spans="1:10" x14ac:dyDescent="0.25">
      <c r="A32" t="s">
        <v>13</v>
      </c>
      <c r="E32" s="1" t="s">
        <v>95</v>
      </c>
      <c r="F32" t="s">
        <v>3</v>
      </c>
      <c r="G32">
        <v>0</v>
      </c>
      <c r="H32" s="9">
        <v>546.5</v>
      </c>
      <c r="I32" s="2">
        <f t="shared" si="1"/>
        <v>546.5</v>
      </c>
      <c r="J32">
        <f>(I32/546.5)*100</f>
        <v>100</v>
      </c>
    </row>
    <row r="33" spans="1:10" x14ac:dyDescent="0.25">
      <c r="A33" t="s">
        <v>109</v>
      </c>
      <c r="E33" s="1"/>
      <c r="F33" t="s">
        <v>1</v>
      </c>
      <c r="G33">
        <v>0</v>
      </c>
      <c r="H33">
        <v>502.4</v>
      </c>
      <c r="I33" s="2">
        <f t="shared" si="1"/>
        <v>502.4</v>
      </c>
      <c r="J33">
        <f>(I33/546.5)*100</f>
        <v>91.93046660567245</v>
      </c>
    </row>
    <row r="34" spans="1:10" x14ac:dyDescent="0.25">
      <c r="A34" t="s">
        <v>108</v>
      </c>
      <c r="E34" s="1" t="s">
        <v>92</v>
      </c>
      <c r="F34" t="s">
        <v>3</v>
      </c>
      <c r="G34">
        <v>0</v>
      </c>
      <c r="H34" s="9">
        <v>564</v>
      </c>
      <c r="I34" s="2">
        <f t="shared" si="1"/>
        <v>564</v>
      </c>
      <c r="J34">
        <f>(I34/564)*100</f>
        <v>100</v>
      </c>
    </row>
    <row r="35" spans="1:10" x14ac:dyDescent="0.25">
      <c r="A35" t="s">
        <v>107</v>
      </c>
      <c r="E35" s="1"/>
      <c r="F35" t="s">
        <v>1</v>
      </c>
      <c r="G35">
        <v>0</v>
      </c>
      <c r="H35">
        <v>567.5</v>
      </c>
      <c r="I35" s="2">
        <f t="shared" si="1"/>
        <v>567.5</v>
      </c>
      <c r="J35">
        <f>(I35/564)*100</f>
        <v>100.62056737588651</v>
      </c>
    </row>
    <row r="36" spans="1:10" x14ac:dyDescent="0.25">
      <c r="A36" t="s">
        <v>106</v>
      </c>
    </row>
    <row r="37" spans="1:10" x14ac:dyDescent="0.25">
      <c r="A37" t="s">
        <v>105</v>
      </c>
    </row>
    <row r="38" spans="1:10" x14ac:dyDescent="0.25">
      <c r="A38" t="s">
        <v>104</v>
      </c>
    </row>
    <row r="41" spans="1:10" x14ac:dyDescent="0.25">
      <c r="A41" s="4" t="s">
        <v>103</v>
      </c>
    </row>
    <row r="42" spans="1:10" ht="28.5" x14ac:dyDescent="0.25">
      <c r="A42" t="s">
        <v>20</v>
      </c>
      <c r="E42" s="1" t="s">
        <v>14</v>
      </c>
      <c r="G42" s="3" t="s">
        <v>18</v>
      </c>
      <c r="H42" s="3" t="s">
        <v>17</v>
      </c>
      <c r="I42" s="3" t="s">
        <v>16</v>
      </c>
      <c r="J42" s="3" t="s">
        <v>15</v>
      </c>
    </row>
    <row r="43" spans="1:10" x14ac:dyDescent="0.25">
      <c r="E43" s="1" t="s">
        <v>12</v>
      </c>
      <c r="F43" t="s">
        <v>3</v>
      </c>
      <c r="G43">
        <v>0</v>
      </c>
      <c r="H43">
        <v>1028.0999999999999</v>
      </c>
      <c r="I43" s="2">
        <f t="shared" ref="I43:I48" si="2">H43-G43</f>
        <v>1028.0999999999999</v>
      </c>
      <c r="J43">
        <f>(I43/1028.1)*100</f>
        <v>100</v>
      </c>
    </row>
    <row r="44" spans="1:10" x14ac:dyDescent="0.25">
      <c r="A44" t="s">
        <v>19</v>
      </c>
      <c r="E44" s="1"/>
      <c r="F44" t="s">
        <v>1</v>
      </c>
      <c r="G44">
        <v>0</v>
      </c>
      <c r="H44">
        <v>351.6</v>
      </c>
      <c r="I44" s="2">
        <f t="shared" si="2"/>
        <v>351.6</v>
      </c>
      <c r="J44">
        <f>(I44/1028.1)*100</f>
        <v>34.199007878611035</v>
      </c>
    </row>
    <row r="45" spans="1:10" x14ac:dyDescent="0.25">
      <c r="A45" t="s">
        <v>13</v>
      </c>
      <c r="E45" s="1" t="s">
        <v>95</v>
      </c>
      <c r="F45" t="s">
        <v>3</v>
      </c>
      <c r="G45">
        <v>0</v>
      </c>
      <c r="H45" s="9">
        <v>840.8</v>
      </c>
      <c r="I45" s="2">
        <f t="shared" si="2"/>
        <v>840.8</v>
      </c>
      <c r="J45">
        <f>(I45/840.8)*100</f>
        <v>100</v>
      </c>
    </row>
    <row r="46" spans="1:10" x14ac:dyDescent="0.25">
      <c r="A46" t="s">
        <v>102</v>
      </c>
      <c r="E46" s="1"/>
      <c r="F46" t="s">
        <v>1</v>
      </c>
      <c r="G46">
        <v>0</v>
      </c>
      <c r="H46">
        <v>595.6</v>
      </c>
      <c r="I46" s="2">
        <f t="shared" si="2"/>
        <v>595.6</v>
      </c>
      <c r="J46">
        <f>(I46/840.8)*100</f>
        <v>70.837297811607996</v>
      </c>
    </row>
    <row r="47" spans="1:10" x14ac:dyDescent="0.25">
      <c r="A47" t="s">
        <v>101</v>
      </c>
      <c r="E47" s="1" t="s">
        <v>92</v>
      </c>
      <c r="F47" t="s">
        <v>3</v>
      </c>
      <c r="G47">
        <v>0</v>
      </c>
      <c r="H47" s="9">
        <v>825</v>
      </c>
      <c r="I47" s="2">
        <f t="shared" si="2"/>
        <v>825</v>
      </c>
      <c r="J47">
        <f>(I47/825)*100</f>
        <v>100</v>
      </c>
    </row>
    <row r="48" spans="1:10" x14ac:dyDescent="0.25">
      <c r="A48" t="s">
        <v>100</v>
      </c>
      <c r="E48" s="1"/>
      <c r="F48" t="s">
        <v>1</v>
      </c>
      <c r="G48">
        <v>0</v>
      </c>
      <c r="H48">
        <v>824</v>
      </c>
      <c r="I48" s="2">
        <f t="shared" si="2"/>
        <v>824</v>
      </c>
      <c r="J48">
        <f>(I48/825)*100</f>
        <v>99.878787878787875</v>
      </c>
    </row>
    <row r="49" spans="1:10" x14ac:dyDescent="0.25">
      <c r="A49" t="s">
        <v>99</v>
      </c>
    </row>
    <row r="50" spans="1:10" x14ac:dyDescent="0.25">
      <c r="A50" t="s">
        <v>98</v>
      </c>
    </row>
    <row r="51" spans="1:10" x14ac:dyDescent="0.25">
      <c r="A51" t="s">
        <v>97</v>
      </c>
    </row>
    <row r="53" spans="1:10" x14ac:dyDescent="0.25">
      <c r="A53" s="4" t="s">
        <v>96</v>
      </c>
    </row>
    <row r="54" spans="1:10" ht="28.5" x14ac:dyDescent="0.25">
      <c r="A54" t="s">
        <v>20</v>
      </c>
      <c r="E54" s="1" t="s">
        <v>14</v>
      </c>
      <c r="G54" s="3" t="s">
        <v>18</v>
      </c>
      <c r="H54" s="3" t="s">
        <v>17</v>
      </c>
      <c r="I54" s="3" t="s">
        <v>16</v>
      </c>
      <c r="J54" s="3" t="s">
        <v>15</v>
      </c>
    </row>
    <row r="55" spans="1:10" x14ac:dyDescent="0.25">
      <c r="E55" s="1" t="s">
        <v>12</v>
      </c>
      <c r="F55" t="s">
        <v>3</v>
      </c>
      <c r="G55">
        <v>0</v>
      </c>
      <c r="H55">
        <v>913.1</v>
      </c>
      <c r="I55" s="2">
        <f t="shared" ref="I55:I60" si="3">H55-G55</f>
        <v>913.1</v>
      </c>
      <c r="J55">
        <f>(I55/913.1)*100</f>
        <v>100</v>
      </c>
    </row>
    <row r="56" spans="1:10" x14ac:dyDescent="0.25">
      <c r="A56" t="s">
        <v>19</v>
      </c>
      <c r="E56" s="1"/>
      <c r="F56" t="s">
        <v>1</v>
      </c>
      <c r="G56">
        <v>0</v>
      </c>
      <c r="H56">
        <v>360.8</v>
      </c>
      <c r="I56" s="2">
        <f t="shared" si="3"/>
        <v>360.8</v>
      </c>
      <c r="J56">
        <f>(I56/913.1)*100</f>
        <v>39.513744387252217</v>
      </c>
    </row>
    <row r="57" spans="1:10" x14ac:dyDescent="0.25">
      <c r="A57" t="s">
        <v>13</v>
      </c>
      <c r="E57" s="1" t="s">
        <v>95</v>
      </c>
      <c r="F57" t="s">
        <v>3</v>
      </c>
      <c r="G57">
        <v>0</v>
      </c>
      <c r="H57" s="9">
        <v>791.5</v>
      </c>
      <c r="I57" s="2">
        <f t="shared" si="3"/>
        <v>791.5</v>
      </c>
      <c r="J57">
        <f>(I57/791.5)*100</f>
        <v>100</v>
      </c>
    </row>
    <row r="58" spans="1:10" x14ac:dyDescent="0.25">
      <c r="A58" t="s">
        <v>94</v>
      </c>
      <c r="E58" s="1"/>
      <c r="F58" t="s">
        <v>1</v>
      </c>
      <c r="G58">
        <v>0</v>
      </c>
      <c r="H58">
        <v>586.4</v>
      </c>
      <c r="I58" s="2">
        <f t="shared" si="3"/>
        <v>586.4</v>
      </c>
      <c r="J58">
        <f>(I58/791.5)*100</f>
        <v>74.087176247631078</v>
      </c>
    </row>
    <row r="59" spans="1:10" x14ac:dyDescent="0.25">
      <c r="A59" t="s">
        <v>93</v>
      </c>
      <c r="E59" s="1" t="s">
        <v>92</v>
      </c>
      <c r="F59" t="s">
        <v>3</v>
      </c>
      <c r="G59">
        <v>0</v>
      </c>
      <c r="H59" s="9">
        <v>915.2</v>
      </c>
      <c r="I59" s="2">
        <f t="shared" si="3"/>
        <v>915.2</v>
      </c>
      <c r="J59">
        <f>(I59/915.2)*100</f>
        <v>100</v>
      </c>
    </row>
    <row r="60" spans="1:10" x14ac:dyDescent="0.25">
      <c r="A60" t="s">
        <v>91</v>
      </c>
      <c r="E60" s="1"/>
      <c r="F60" t="s">
        <v>1</v>
      </c>
      <c r="G60">
        <v>0</v>
      </c>
      <c r="H60">
        <v>912.6</v>
      </c>
      <c r="I60" s="2">
        <f t="shared" si="3"/>
        <v>912.6</v>
      </c>
      <c r="J60">
        <f>(I60/915.2)*100</f>
        <v>99.715909090909093</v>
      </c>
    </row>
    <row r="61" spans="1:10" x14ac:dyDescent="0.25">
      <c r="A61" t="s">
        <v>90</v>
      </c>
    </row>
    <row r="62" spans="1:10" x14ac:dyDescent="0.25">
      <c r="A62" t="s">
        <v>89</v>
      </c>
    </row>
    <row r="63" spans="1:10" x14ac:dyDescent="0.25">
      <c r="A63" t="s">
        <v>88</v>
      </c>
    </row>
    <row r="71" spans="1:8" x14ac:dyDescent="0.25">
      <c r="A71" t="s">
        <v>87</v>
      </c>
    </row>
    <row r="72" spans="1:8" x14ac:dyDescent="0.25">
      <c r="A72" s="4" t="s">
        <v>54</v>
      </c>
    </row>
    <row r="73" spans="1:8" x14ac:dyDescent="0.25">
      <c r="A73" t="s">
        <v>20</v>
      </c>
    </row>
    <row r="74" spans="1:8" ht="57" x14ac:dyDescent="0.25">
      <c r="C74" s="1" t="s">
        <v>14</v>
      </c>
      <c r="E74" s="3" t="s">
        <v>18</v>
      </c>
      <c r="F74" s="3" t="s">
        <v>17</v>
      </c>
      <c r="G74" s="3" t="s">
        <v>16</v>
      </c>
      <c r="H74" s="3" t="s">
        <v>15</v>
      </c>
    </row>
    <row r="75" spans="1:8" x14ac:dyDescent="0.25">
      <c r="A75" t="s">
        <v>19</v>
      </c>
      <c r="C75" s="1" t="s">
        <v>12</v>
      </c>
      <c r="D75" t="s">
        <v>3</v>
      </c>
      <c r="E75">
        <v>0</v>
      </c>
      <c r="F75">
        <v>1016.6</v>
      </c>
      <c r="G75" s="2">
        <f>F75-E75</f>
        <v>1016.6</v>
      </c>
      <c r="H75">
        <f>(G75/1016.6)*100</f>
        <v>100</v>
      </c>
    </row>
    <row r="76" spans="1:8" x14ac:dyDescent="0.25">
      <c r="A76" t="s">
        <v>29</v>
      </c>
      <c r="C76" s="1"/>
      <c r="D76" t="s">
        <v>1</v>
      </c>
      <c r="E76">
        <v>0</v>
      </c>
      <c r="F76">
        <v>182</v>
      </c>
      <c r="G76" s="2">
        <f>F76-E76</f>
        <v>182</v>
      </c>
      <c r="H76">
        <f>(G76/1016.6)*100</f>
        <v>17.902813299232736</v>
      </c>
    </row>
    <row r="77" spans="1:8" x14ac:dyDescent="0.25">
      <c r="A77" t="s">
        <v>53</v>
      </c>
      <c r="B77" t="s">
        <v>86</v>
      </c>
      <c r="C77" s="1" t="s">
        <v>85</v>
      </c>
      <c r="D77" t="s">
        <v>3</v>
      </c>
      <c r="E77">
        <v>0</v>
      </c>
      <c r="F77" s="9">
        <v>429</v>
      </c>
      <c r="G77" s="2">
        <f>F77-E77</f>
        <v>429</v>
      </c>
      <c r="H77">
        <f>(G77/429)*100</f>
        <v>100</v>
      </c>
    </row>
    <row r="78" spans="1:8" x14ac:dyDescent="0.25">
      <c r="A78" t="s">
        <v>52</v>
      </c>
      <c r="C78" s="1"/>
      <c r="D78" t="s">
        <v>1</v>
      </c>
      <c r="E78">
        <v>0</v>
      </c>
      <c r="F78">
        <v>165.7</v>
      </c>
      <c r="G78" s="2">
        <f>F78-E78</f>
        <v>165.7</v>
      </c>
      <c r="H78" s="5">
        <f>(G78/429)*100</f>
        <v>38.624708624708617</v>
      </c>
    </row>
    <row r="79" spans="1:8" x14ac:dyDescent="0.25">
      <c r="A79" t="s">
        <v>51</v>
      </c>
    </row>
    <row r="80" spans="1:8" x14ac:dyDescent="0.25">
      <c r="A80" t="s">
        <v>50</v>
      </c>
    </row>
    <row r="81" spans="1:8" x14ac:dyDescent="0.25">
      <c r="A81" t="s">
        <v>49</v>
      </c>
    </row>
    <row r="82" spans="1:8" x14ac:dyDescent="0.25">
      <c r="A82" t="s">
        <v>48</v>
      </c>
    </row>
    <row r="84" spans="1:8" x14ac:dyDescent="0.25">
      <c r="A84" s="4" t="s">
        <v>74</v>
      </c>
    </row>
    <row r="85" spans="1:8" x14ac:dyDescent="0.25">
      <c r="A85" t="s">
        <v>20</v>
      </c>
    </row>
    <row r="86" spans="1:8" ht="57" x14ac:dyDescent="0.25">
      <c r="C86" s="1" t="s">
        <v>14</v>
      </c>
      <c r="E86" s="3" t="s">
        <v>18</v>
      </c>
      <c r="F86" s="3" t="s">
        <v>17</v>
      </c>
      <c r="G86" s="3" t="s">
        <v>16</v>
      </c>
      <c r="H86" s="3" t="s">
        <v>15</v>
      </c>
    </row>
    <row r="87" spans="1:8" x14ac:dyDescent="0.25">
      <c r="A87" t="s">
        <v>19</v>
      </c>
      <c r="C87" s="1" t="s">
        <v>12</v>
      </c>
      <c r="D87" t="s">
        <v>3</v>
      </c>
      <c r="E87">
        <v>0</v>
      </c>
      <c r="F87">
        <v>607.1</v>
      </c>
      <c r="G87" s="2">
        <f>F87-E87</f>
        <v>607.1</v>
      </c>
      <c r="H87">
        <f>(G87/607.1)*100</f>
        <v>100</v>
      </c>
    </row>
    <row r="88" spans="1:8" x14ac:dyDescent="0.25">
      <c r="A88" t="s">
        <v>29</v>
      </c>
      <c r="C88" s="1"/>
      <c r="D88" t="s">
        <v>1</v>
      </c>
      <c r="E88">
        <v>0</v>
      </c>
      <c r="F88">
        <v>178.1</v>
      </c>
      <c r="G88" s="2">
        <f>F88-E88</f>
        <v>178.1</v>
      </c>
      <c r="H88">
        <f>(G88/607.1)*100</f>
        <v>29.336188436830835</v>
      </c>
    </row>
    <row r="89" spans="1:8" x14ac:dyDescent="0.25">
      <c r="A89" t="s">
        <v>73</v>
      </c>
      <c r="C89" s="1" t="s">
        <v>85</v>
      </c>
      <c r="D89" t="s">
        <v>3</v>
      </c>
      <c r="E89">
        <v>0</v>
      </c>
      <c r="F89">
        <v>669.5</v>
      </c>
      <c r="G89" s="2">
        <f>F89-E89</f>
        <v>669.5</v>
      </c>
      <c r="H89">
        <f>(G89/669.5)*100</f>
        <v>100</v>
      </c>
    </row>
    <row r="90" spans="1:8" x14ac:dyDescent="0.25">
      <c r="A90" t="s">
        <v>72</v>
      </c>
      <c r="C90" s="1"/>
      <c r="D90" t="s">
        <v>1</v>
      </c>
      <c r="E90">
        <v>0</v>
      </c>
      <c r="F90">
        <v>179.4</v>
      </c>
      <c r="G90" s="2">
        <f>F90-E90</f>
        <v>179.4</v>
      </c>
      <c r="H90" s="9">
        <f>(G90/669.5)*100</f>
        <v>26.796116504854368</v>
      </c>
    </row>
    <row r="91" spans="1:8" x14ac:dyDescent="0.25">
      <c r="A91" t="s">
        <v>71</v>
      </c>
    </row>
    <row r="92" spans="1:8" x14ac:dyDescent="0.25">
      <c r="A92" t="s">
        <v>70</v>
      </c>
    </row>
    <row r="93" spans="1:8" x14ac:dyDescent="0.25">
      <c r="A93" t="s">
        <v>69</v>
      </c>
    </row>
    <row r="94" spans="1:8" x14ac:dyDescent="0.25">
      <c r="A94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PrimNAV24</vt:lpstr>
      <vt:lpstr>PrimCmpd24</vt:lpstr>
      <vt:lpstr>PrimFH2i24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 AKDOGAN</dc:creator>
  <cp:lastModifiedBy>EMEL AKDOGAN</cp:lastModifiedBy>
  <dcterms:created xsi:type="dcterms:W3CDTF">2025-03-31T20:53:47Z</dcterms:created>
  <dcterms:modified xsi:type="dcterms:W3CDTF">2025-03-31T21:01:32Z</dcterms:modified>
</cp:coreProperties>
</file>