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Work\!Expert\Price_SGCU\"/>
    </mc:Choice>
  </mc:AlternateContent>
  <xr:revisionPtr revIDLastSave="0" documentId="13_ncr:1_{C7104D50-48D0-4A70-8D92-77B8830B46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чёт ДГЦУ " sheetId="1" r:id="rId1"/>
    <sheet name="Расчёт Массы" sheetId="2" r:id="rId2"/>
    <sheet name="Масса круг. брил. " sheetId="4" r:id="rId3"/>
    <sheet name="Плотность" sheetId="3" r:id="rId4"/>
    <sheet name="РасчетКоэфф." sheetId="5" r:id="rId5"/>
  </sheets>
  <definedNames>
    <definedName name="Название_минерала" localSheetId="3">Плотность!$B$5:$B$51</definedName>
    <definedName name="Плотность_минерала">Плотность!$C$5:$C$51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E5" i="5"/>
  <c r="G5" i="5" s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J4" i="2" l="1"/>
  <c r="J3" i="2"/>
  <c r="H31" i="2" l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41" i="1" l="1"/>
  <c r="G40" i="1"/>
  <c r="G39" i="1"/>
  <c r="G13" i="1"/>
  <c r="G7" i="1"/>
  <c r="G45" i="1" l="1"/>
  <c r="H5" i="2" l="1"/>
  <c r="G48" i="1" l="1"/>
  <c r="G47" i="1" l="1"/>
  <c r="H30" i="2" l="1"/>
  <c r="H29" i="2"/>
  <c r="H18" i="2"/>
  <c r="H17" i="2"/>
  <c r="H16" i="2"/>
  <c r="H15" i="2"/>
  <c r="H28" i="2"/>
  <c r="H27" i="2"/>
  <c r="H26" i="2"/>
  <c r="H25" i="2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15" i="2"/>
  <c r="L15" i="2" s="1"/>
  <c r="J16" i="2"/>
  <c r="J17" i="2"/>
  <c r="J18" i="2"/>
  <c r="L18" i="2" s="1"/>
  <c r="J19" i="2"/>
  <c r="L19" i="2" s="1"/>
  <c r="J20" i="2"/>
  <c r="L20" i="2" s="1"/>
  <c r="H22" i="2"/>
  <c r="H23" i="2"/>
  <c r="H24" i="2"/>
  <c r="H19" i="2"/>
  <c r="H20" i="2"/>
  <c r="N16" i="2" l="1"/>
  <c r="N23" i="2"/>
  <c r="N20" i="2"/>
  <c r="N22" i="2"/>
  <c r="N28" i="2"/>
  <c r="N24" i="2"/>
  <c r="N29" i="2"/>
  <c r="N26" i="2"/>
  <c r="N31" i="2"/>
  <c r="N27" i="2"/>
  <c r="N30" i="2"/>
  <c r="N25" i="2"/>
  <c r="N19" i="2"/>
  <c r="N17" i="2"/>
  <c r="N15" i="2"/>
  <c r="L17" i="2"/>
  <c r="L16" i="2"/>
  <c r="N18" i="2"/>
  <c r="H7" i="2"/>
  <c r="G46" i="1" l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28" i="1"/>
  <c r="G14" i="1"/>
  <c r="G12" i="1"/>
  <c r="G11" i="1"/>
  <c r="G10" i="1"/>
  <c r="G9" i="1"/>
  <c r="G8" i="1"/>
  <c r="G6" i="1"/>
  <c r="G5" i="1"/>
  <c r="G4" i="1"/>
  <c r="G3" i="1"/>
  <c r="G50" i="1" l="1"/>
  <c r="H50" i="1" s="1"/>
  <c r="H6" i="2"/>
  <c r="H8" i="2"/>
  <c r="H9" i="2"/>
  <c r="H10" i="2"/>
  <c r="H11" i="2"/>
  <c r="H12" i="2"/>
  <c r="H13" i="2"/>
  <c r="H14" i="2"/>
  <c r="H4" i="2"/>
  <c r="H3" i="2"/>
  <c r="L3" i="2"/>
  <c r="L4" i="2"/>
  <c r="J5" i="2"/>
  <c r="L5" i="2" s="1"/>
  <c r="J6" i="2"/>
  <c r="L6" i="2" s="1"/>
  <c r="J7" i="2"/>
  <c r="J8" i="2"/>
  <c r="J9" i="2"/>
  <c r="L9" i="2" s="1"/>
  <c r="J10" i="2"/>
  <c r="L10" i="2" s="1"/>
  <c r="J11" i="2"/>
  <c r="J12" i="2"/>
  <c r="J13" i="2"/>
  <c r="L13" i="2" s="1"/>
  <c r="J14" i="2"/>
  <c r="L14" i="2" s="1"/>
  <c r="L7" i="2" l="1"/>
  <c r="N7" i="2"/>
  <c r="N8" i="2"/>
  <c r="N9" i="2"/>
  <c r="N14" i="2"/>
  <c r="N10" i="2"/>
  <c r="N13" i="2"/>
  <c r="N12" i="2"/>
  <c r="N11" i="2"/>
  <c r="N5" i="2"/>
  <c r="N6" i="2"/>
  <c r="L8" i="2"/>
  <c r="L11" i="2"/>
  <c r="L12" i="2"/>
  <c r="N4" i="2"/>
  <c r="N3" i="2"/>
</calcChain>
</file>

<file path=xl/sharedStrings.xml><?xml version="1.0" encoding="utf-8"?>
<sst xmlns="http://schemas.openxmlformats.org/spreadsheetml/2006/main" count="302" uniqueCount="191">
  <si>
    <t>Діагностика</t>
  </si>
  <si>
    <t>просте обладнання</t>
  </si>
  <si>
    <t>складне обладнання</t>
  </si>
  <si>
    <t>Визначення маси</t>
  </si>
  <si>
    <t>зважування</t>
  </si>
  <si>
    <t>розрах. шляхом</t>
  </si>
  <si>
    <t>Визначення х-к діамантів</t>
  </si>
  <si>
    <t>до 0,19 ct.</t>
  </si>
  <si>
    <t>від 0,20 до 0,29 ct.</t>
  </si>
  <si>
    <t>від 0,30 до 0,49 ct.</t>
  </si>
  <si>
    <t>від 0,50 до 0,99 ct.</t>
  </si>
  <si>
    <t>від 5,00 ct.</t>
  </si>
  <si>
    <t>Визначення х-к смарагдів, рубінів, сапфірів синіх, олександритів</t>
  </si>
  <si>
    <t>від 0,20 до 0,49 ct.</t>
  </si>
  <si>
    <t>від 1,00 ct.</t>
  </si>
  <si>
    <t>—</t>
  </si>
  <si>
    <t>Спец.  наукове обладнання</t>
  </si>
  <si>
    <t>Визначення вартості</t>
  </si>
  <si>
    <t>Видача експ. висновку  встановл. зразка</t>
  </si>
  <si>
    <t>Вартість</t>
  </si>
  <si>
    <t>Всього</t>
  </si>
  <si>
    <t>від 0,20 ct.</t>
  </si>
  <si>
    <t>Інформац. лист.</t>
  </si>
  <si>
    <t>від 1,00 до 2,99 ct.</t>
  </si>
  <si>
    <t>3,00 ct. і більше</t>
  </si>
  <si>
    <t xml:space="preserve"> спец. бланк.</t>
  </si>
  <si>
    <t>Визначення х-к природ. обробл. 2-4 порядку</t>
  </si>
  <si>
    <t>Визн. х-к напівдорог. оброблених</t>
  </si>
  <si>
    <t>Визн. х-к органоненного утворення, оброблених</t>
  </si>
  <si>
    <t>Визн. х-к необроблених 1-4 порядків</t>
  </si>
  <si>
    <t>Визн. х-к необроблених орган. утворення, напівдорог., колекційних зразків</t>
  </si>
  <si>
    <t>Форма камня</t>
  </si>
  <si>
    <t>Круг</t>
  </si>
  <si>
    <t>Круг кабошон</t>
  </si>
  <si>
    <t>Овал</t>
  </si>
  <si>
    <t>Овал кабошон</t>
  </si>
  <si>
    <t>Груша</t>
  </si>
  <si>
    <t>Груша кабошон</t>
  </si>
  <si>
    <t>Маркиз</t>
  </si>
  <si>
    <t xml:space="preserve">Маркиз кабошон </t>
  </si>
  <si>
    <t>Сердце</t>
  </si>
  <si>
    <t>Сердце кабошон</t>
  </si>
  <si>
    <t>Формула</t>
  </si>
  <si>
    <t>L*W*D*SG*0,00245</t>
  </si>
  <si>
    <t>L*W*D*SG*0,00270</t>
  </si>
  <si>
    <t>L*W*D*SG*0,00210</t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</si>
  <si>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0,00270</t>
    </r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</si>
  <si>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0,00200</t>
    </r>
  </si>
  <si>
    <t>L*W*D*SG*0,00235</t>
  </si>
  <si>
    <t>L*W*D*SG*0,00290</t>
  </si>
  <si>
    <t>L*W*D*SG*0,00190</t>
  </si>
  <si>
    <t>L*W*D*SG*0,00240</t>
  </si>
  <si>
    <t>L*W*D*SG*0,00195</t>
  </si>
  <si>
    <t>L*W*D*SG*0,00250</t>
  </si>
  <si>
    <t>L (длинна), мм</t>
  </si>
  <si>
    <t>D (глубина), мм</t>
  </si>
  <si>
    <t>Масса, сt</t>
  </si>
  <si>
    <r>
      <t>SG (плотность), г/см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</si>
  <si>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t>L*W*D*SG*0,00200</t>
  </si>
  <si>
    <t>Название минерала</t>
  </si>
  <si>
    <t>Танзанит</t>
  </si>
  <si>
    <t>Диаспор</t>
  </si>
  <si>
    <t>Оникс</t>
  </si>
  <si>
    <t>Кордиерит(иолит)</t>
  </si>
  <si>
    <t>Бирюза</t>
  </si>
  <si>
    <t>Полевые шпаты(Pl)</t>
  </si>
  <si>
    <t>Изумруд</t>
  </si>
  <si>
    <t>Рубин, Сапфир</t>
  </si>
  <si>
    <t>Кварц</t>
  </si>
  <si>
    <t>Силлиманит</t>
  </si>
  <si>
    <t>Янтарь</t>
  </si>
  <si>
    <t>Родолит</t>
  </si>
  <si>
    <t>Гессонит</t>
  </si>
  <si>
    <t>Пироп</t>
  </si>
  <si>
    <t>Альмандин</t>
  </si>
  <si>
    <t>Пироп-альмандин</t>
  </si>
  <si>
    <t>Малахит</t>
  </si>
  <si>
    <t>Корал</t>
  </si>
  <si>
    <t>Халцедон</t>
  </si>
  <si>
    <t>Хризолит</t>
  </si>
  <si>
    <t>Аквамарин</t>
  </si>
  <si>
    <t>Берил</t>
  </si>
  <si>
    <t>Пектолит(ларимар)</t>
  </si>
  <si>
    <t>Цоизит</t>
  </si>
  <si>
    <t>Кианит</t>
  </si>
  <si>
    <t>Тигровый глаз</t>
  </si>
  <si>
    <t>Яшма</t>
  </si>
  <si>
    <t>Родохрозит</t>
  </si>
  <si>
    <t>Перламутр</t>
  </si>
  <si>
    <t>Опал</t>
  </si>
  <si>
    <t>Пренит</t>
  </si>
  <si>
    <t>Полевые шпаты(щелочные)</t>
  </si>
  <si>
    <t>Турмалин</t>
  </si>
  <si>
    <t>Адуляр</t>
  </si>
  <si>
    <t>Диопсид</t>
  </si>
  <si>
    <t>Цаворит</t>
  </si>
  <si>
    <t>Лабродорит</t>
  </si>
  <si>
    <t>Флюорит</t>
  </si>
  <si>
    <t>Амазонит</t>
  </si>
  <si>
    <t>Минерал</t>
  </si>
  <si>
    <t xml:space="preserve"> Ø (диаметр), мм</t>
  </si>
  <si>
    <t>D (глубина расчётная), мм</t>
  </si>
  <si>
    <t xml:space="preserve">Масса(расчёт глубины), сt </t>
  </si>
  <si>
    <r>
      <t xml:space="preserve">Визн. х-к природ. і </t>
    </r>
    <r>
      <rPr>
        <b/>
        <sz val="12"/>
        <color rgb="FFFF0000"/>
        <rFont val="Times New Roman"/>
        <family val="1"/>
        <charset val="204"/>
      </rPr>
      <t xml:space="preserve">ШТУЧНОГО </t>
    </r>
    <r>
      <rPr>
        <b/>
        <sz val="12"/>
        <color theme="1"/>
        <rFont val="Times New Roman"/>
        <family val="1"/>
        <charset val="204"/>
      </rPr>
      <t>обробл. та необробл., колекційних зразків</t>
    </r>
  </si>
  <si>
    <t>Радиант</t>
  </si>
  <si>
    <t>Изумрудная</t>
  </si>
  <si>
    <t>Прямоугольная (ступенч.)</t>
  </si>
  <si>
    <t>Квадрат принцесса</t>
  </si>
  <si>
    <t>Квадрат изумруд.</t>
  </si>
  <si>
    <t>Кушон прямоуг.</t>
  </si>
  <si>
    <t>Кушон прямоуг. кабошон</t>
  </si>
  <si>
    <t>Кушон квадр.</t>
  </si>
  <si>
    <t>Кушон квадр.  кабошон</t>
  </si>
  <si>
    <t>Треугольник (ступенч.)</t>
  </si>
  <si>
    <t>Трильйон (фасет.)</t>
  </si>
  <si>
    <t>Треугольник скош.углы(ступенч.)</t>
  </si>
  <si>
    <t xml:space="preserve">Треугольник кабошон </t>
  </si>
  <si>
    <t>Пентагон (ступенч.)</t>
  </si>
  <si>
    <t>Гексагон (ступенч.)</t>
  </si>
  <si>
    <t>Октагон (ступенч.)</t>
  </si>
  <si>
    <t>L*W*D*SG*0,00260</t>
  </si>
  <si>
    <t>L*W*D*SG*0,00230</t>
  </si>
  <si>
    <t>L*W*D*SG*0,00300</t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</si>
  <si>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*D*SG*0,00180</t>
    </r>
  </si>
  <si>
    <r>
      <t>Average W (point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*D*SG*0,00150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</si>
  <si>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</si>
  <si>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*D*SG*0,00235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</si>
  <si>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*D*SG*0,00170-0,00190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</si>
  <si>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*D*SG*0,00210-0,00230</t>
    </r>
  </si>
  <si>
    <r>
      <t>(Average W)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*D*SG*0,00220-0,00240</t>
    </r>
  </si>
  <si>
    <t>Принцесса прямоуг. и багет</t>
  </si>
  <si>
    <t>Квадрат ступенч.</t>
  </si>
  <si>
    <t>W, H (ширина, высота), мм</t>
  </si>
  <si>
    <t>Виклик експерта для проведення експерт експеризи</t>
  </si>
  <si>
    <t>до 3 год.</t>
  </si>
  <si>
    <t>понад 3 год.</t>
  </si>
  <si>
    <t>Топаз</t>
  </si>
  <si>
    <t>Фианит</t>
  </si>
  <si>
    <t>Стекло</t>
  </si>
  <si>
    <t>Чароит</t>
  </si>
  <si>
    <t>Морганит</t>
  </si>
  <si>
    <t>Видача експ. висновку  встановл. зразка з фото</t>
  </si>
  <si>
    <t>Апатит</t>
  </si>
  <si>
    <t>Сфен</t>
  </si>
  <si>
    <t>Масса, ct</t>
  </si>
  <si>
    <t>Ø, mm</t>
  </si>
  <si>
    <t>Масса круглых бриллиантов в зависимости от диаметра</t>
  </si>
  <si>
    <t>Визначення розмірів, виду/форми огранування</t>
  </si>
  <si>
    <t>від 3,00 до 4,99 ct.</t>
  </si>
  <si>
    <t>Сортування бурштину за масовими групами /кг</t>
  </si>
  <si>
    <t>Сортування бурштину за класами /кг</t>
  </si>
  <si>
    <t>Сортування бурштину за групами яості /кг</t>
  </si>
  <si>
    <t xml:space="preserve">Дослідження алмазів з складанням рисунку </t>
  </si>
  <si>
    <t>Визначення х-к синтетичних діамантів</t>
  </si>
  <si>
    <t>Визначення х-к синтетичних алмазів у сировині</t>
  </si>
  <si>
    <t>К-ть, шт/кг</t>
  </si>
  <si>
    <t>Шпинель</t>
  </si>
  <si>
    <t>Касситерит</t>
  </si>
  <si>
    <t>Шеелит</t>
  </si>
  <si>
    <t>Титанат стронция (фабулит)</t>
  </si>
  <si>
    <t>Циркон</t>
  </si>
  <si>
    <t>Ниобат лития</t>
  </si>
  <si>
    <t>ИАГ</t>
  </si>
  <si>
    <t>Рутил синтет.</t>
  </si>
  <si>
    <t>Спессартин</t>
  </si>
  <si>
    <t>Корунд</t>
  </si>
  <si>
    <t>Демантоид</t>
  </si>
  <si>
    <t>Хризоберил</t>
  </si>
  <si>
    <t>Гессонит (гроссуляр)</t>
  </si>
  <si>
    <t>Бенитоит (борат титана)</t>
  </si>
  <si>
    <t>Шпинель синтет.</t>
  </si>
  <si>
    <t>Оливин</t>
  </si>
  <si>
    <t>Жадеит</t>
  </si>
  <si>
    <t>Хромдиопсид</t>
  </si>
  <si>
    <t>Клиногумит</t>
  </si>
  <si>
    <t xml:space="preserve">Апатит </t>
  </si>
  <si>
    <t>Кунцит</t>
  </si>
  <si>
    <t>Андалузит</t>
  </si>
  <si>
    <t>Данбурит</t>
  </si>
  <si>
    <t>Фенакит</t>
  </si>
  <si>
    <t>Берилл</t>
  </si>
  <si>
    <t>Стекло берилловое</t>
  </si>
  <si>
    <t>Опал огненній</t>
  </si>
  <si>
    <t>Диаметр блил.</t>
  </si>
  <si>
    <t>Масса брил.</t>
  </si>
  <si>
    <t>Масса расчёт</t>
  </si>
  <si>
    <t>Колличество</t>
  </si>
  <si>
    <t>Плотность минералов</t>
  </si>
  <si>
    <t>Коеффициенты для пересчета массы через бриллианты круглой формы</t>
  </si>
  <si>
    <t>Коэффициент, ср.</t>
  </si>
  <si>
    <r>
      <t>Плотность, г/см</t>
    </r>
    <r>
      <rPr>
        <b/>
        <vertAlign val="superscript"/>
        <sz val="12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</si>
</sst>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Fill="1" applyBorder="1"/>
    <xf numFmtId="0" fontId="6" fillId="0" borderId="0" xfId="0" applyFont="1" applyFill="1" applyAlignment="1">
      <alignment horizontal="center" vertical="center" wrapText="1"/>
    </xf>
    <xf numFmtId="0" fontId="11" fillId="0" borderId="0" xfId="0" applyFont="1" applyAlignment="1" applyProtection="1">
      <alignment horizontal="center" vertical="center"/>
    </xf>
    <xf numFmtId="2" fontId="3" fillId="0" borderId="0" xfId="0" applyNumberFormat="1" applyFont="1" applyAlignment="1" applyProtection="1"/>
    <xf numFmtId="2" fontId="3" fillId="0" borderId="0" xfId="0" applyNumberFormat="1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2" fontId="3" fillId="5" borderId="0" xfId="0" applyNumberFormat="1" applyFont="1" applyFill="1" applyProtection="1"/>
    <xf numFmtId="2" fontId="3" fillId="0" borderId="0" xfId="0" applyNumberFormat="1" applyFont="1" applyProtection="1"/>
    <xf numFmtId="2" fontId="8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3" fillId="6" borderId="0" xfId="0" applyFont="1" applyFill="1"/>
    <xf numFmtId="0" fontId="8" fillId="6" borderId="0" xfId="0" applyFont="1" applyFill="1" applyAlignment="1">
      <alignment horizontal="center" vertical="center"/>
    </xf>
    <xf numFmtId="2" fontId="3" fillId="6" borderId="0" xfId="0" applyNumberFormat="1" applyFont="1" applyFill="1" applyProtection="1"/>
    <xf numFmtId="2" fontId="3" fillId="6" borderId="0" xfId="0" applyNumberFormat="1" applyFont="1" applyFill="1" applyAlignment="1" applyProtection="1">
      <alignment horizontal="right"/>
    </xf>
    <xf numFmtId="2" fontId="3" fillId="2" borderId="0" xfId="0" applyNumberFormat="1" applyFont="1" applyFill="1" applyProtection="1"/>
    <xf numFmtId="0" fontId="14" fillId="0" borderId="0" xfId="0" applyFont="1"/>
    <xf numFmtId="2" fontId="14" fillId="0" borderId="1" xfId="0" applyNumberFormat="1" applyFont="1" applyBorder="1"/>
    <xf numFmtId="0" fontId="5" fillId="0" borderId="1" xfId="0" applyFont="1" applyFill="1" applyBorder="1" applyProtection="1">
      <protection locked="0"/>
    </xf>
    <xf numFmtId="0" fontId="3" fillId="0" borderId="1" xfId="0" applyFont="1" applyBorder="1" applyAlignment="1">
      <alignment vertical="center"/>
    </xf>
    <xf numFmtId="0" fontId="12" fillId="11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/>
    <xf numFmtId="0" fontId="12" fillId="0" borderId="1" xfId="0" applyFont="1" applyFill="1" applyBorder="1" applyAlignment="1">
      <alignment horizontal="left" vertical="center" wrapText="1"/>
    </xf>
    <xf numFmtId="2" fontId="14" fillId="0" borderId="1" xfId="0" applyNumberFormat="1" applyFont="1" applyBorder="1" applyAlignment="1">
      <alignment horizontal="right" vertical="center"/>
    </xf>
    <xf numFmtId="0" fontId="12" fillId="10" borderId="1" xfId="0" applyFont="1" applyFill="1" applyBorder="1" applyAlignment="1">
      <alignment vertical="center" wrapText="1"/>
    </xf>
    <xf numFmtId="2" fontId="14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12" fillId="10" borderId="1" xfId="0" applyFont="1" applyFill="1" applyBorder="1"/>
    <xf numFmtId="0" fontId="12" fillId="4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12" fillId="7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2" fillId="11" borderId="1" xfId="0" applyFont="1" applyFill="1" applyBorder="1" applyAlignment="1">
      <alignment wrapText="1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Fill="1" applyBorder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2" fontId="1" fillId="0" borderId="0" xfId="0" applyNumberFormat="1" applyFont="1" applyBorder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18" fillId="6" borderId="0" xfId="0" applyFont="1" applyFill="1"/>
    <xf numFmtId="2" fontId="7" fillId="0" borderId="0" xfId="0" applyNumberFormat="1" applyFont="1"/>
    <xf numFmtId="165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7" fillId="0" borderId="5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2" fillId="11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165" fontId="7" fillId="0" borderId="0" xfId="0" applyNumberFormat="1" applyFont="1"/>
    <xf numFmtId="0" fontId="7" fillId="0" borderId="5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" xfId="0" applyFont="1" applyFill="1" applyBorder="1"/>
    <xf numFmtId="2" fontId="7" fillId="0" borderId="1" xfId="0" applyNumberFormat="1" applyFont="1" applyFill="1" applyBorder="1"/>
    <xf numFmtId="164" fontId="17" fillId="0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2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FFF6DD"/>
      <color rgb="FFF0E1FF"/>
      <color rgb="FFFFE7E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B52BB-C6B3-46E0-AC62-316FABEE7CEE}" name="Расчет_массы_кругБрил" displayName="Расчет_массы_кругБрил" ref="B4:C50" totalsRowShown="0" headerRowDxfId="0" headerRowBorderDxfId="20" tableBorderDxfId="21" totalsRowBorderDxfId="19">
  <autoFilter ref="B4:C50" xr:uid="{7CA1CA96-764E-4F9B-80A6-DC23FBCFD66E}"/>
  <tableColumns count="2">
    <tableColumn id="1" xr3:uid="{E200585F-080F-4726-8158-1858A85BC4EF}" name="Ø, mm" dataDxfId="18"/>
    <tableColumn id="2" xr3:uid="{7C623213-941A-4A33-B15B-B0B4943FCFE1}" name="Масса, c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лотность" displayName="Плотность" ref="B4:C51" totalsRowShown="0" headerRowDxfId="1" dataDxfId="11" headerRowBorderDxfId="8" tableBorderDxfId="22">
  <autoFilter ref="B4:C51" xr:uid="{00000000-0009-0000-0100-000002000000}"/>
  <sortState xmlns:xlrd2="http://schemas.microsoft.com/office/spreadsheetml/2017/richdata2" ref="B5:C50">
    <sortCondition ref="B4:B50"/>
  </sortState>
  <tableColumns count="2">
    <tableColumn id="1" xr3:uid="{00000000-0010-0000-0000-000001000000}" name="Название минерала" dataDxfId="10"/>
    <tableColumn id="2" xr3:uid="{00000000-0010-0000-0000-000002000000}" name="Плотность, г/см3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96167-1823-413D-97F4-208DAB751639}" name="Таблица4" displayName="Таблица4" ref="B4:G41" totalsRowShown="0" headerRowDxfId="12" dataDxfId="13" headerRowBorderDxfId="15" tableBorderDxfId="16" totalsRowBorderDxfId="14">
  <autoFilter ref="B4:G41" xr:uid="{4EB8A87B-6209-4BCD-B986-74E320AFB41F}"/>
  <tableColumns count="6">
    <tableColumn id="1" xr3:uid="{A7EF1A84-9933-4D75-8A70-E86DFE78A12D}" name="Название минерала" dataDxfId="7"/>
    <tableColumn id="2" xr3:uid="{BCC90E2E-1153-4C09-96B2-BAE4F97C809E}" name="Коэффициент, ср." dataDxfId="6"/>
    <tableColumn id="3" xr3:uid="{30461F13-C8BA-457F-BF8C-1E42056D69C3}" name="Диаметр блил." dataDxfId="5"/>
    <tableColumn id="4" xr3:uid="{14A9E5FD-93CC-498E-ADFE-E8D839C2F3F5}" name="Масса брил." dataDxfId="4">
      <calculatedColumnFormula>VLOOKUP(D5,Расчет_массы_кругБрил[],2,0)</calculatedColumnFormula>
    </tableColumn>
    <tableColumn id="5" xr3:uid="{923467A4-EF3D-487D-B51A-814463B6D4B5}" name="Колличество" dataDxfId="3"/>
    <tableColumn id="6" xr3:uid="{7AE0A6B9-E80C-4BB7-9093-697F20C9D22F}" name="Масса расчёт" dataDxfId="2">
      <calculatedColumnFormula>Таблица4[[#This Row],[Коэффициент, ср.]]*Таблица4[[#This Row],[Масса брил.]]*Таблица4[[#This Row],[Колличество]]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H54"/>
  <sheetViews>
    <sheetView tabSelected="1" zoomScale="120" zoomScaleNormal="120" workbookViewId="0">
      <pane ySplit="2" topLeftCell="A3" activePane="bottomLeft" state="frozen"/>
      <selection pane="bottomLeft" activeCell="E41" sqref="E41"/>
    </sheetView>
  </sheetViews>
  <sheetFormatPr defaultRowHeight="15" x14ac:dyDescent="0.25"/>
  <cols>
    <col min="2" max="2" width="57.140625" customWidth="1"/>
    <col min="4" max="4" width="10.42578125" customWidth="1"/>
    <col min="5" max="5" width="9.85546875" customWidth="1"/>
    <col min="6" max="6" width="9.7109375" customWidth="1"/>
    <col min="8" max="8" width="10.42578125" customWidth="1"/>
  </cols>
  <sheetData>
    <row r="2" spans="2:8" ht="31.5" x14ac:dyDescent="0.25">
      <c r="B2" s="105"/>
      <c r="C2" s="106"/>
      <c r="D2" s="104"/>
      <c r="E2" s="102" t="s">
        <v>19</v>
      </c>
      <c r="F2" s="103" t="s">
        <v>155</v>
      </c>
      <c r="G2" s="103" t="s">
        <v>20</v>
      </c>
      <c r="H2" s="25"/>
    </row>
    <row r="3" spans="2:8" ht="15.95" customHeight="1" x14ac:dyDescent="0.25">
      <c r="B3" s="83" t="s">
        <v>0</v>
      </c>
      <c r="C3" s="73" t="s">
        <v>1</v>
      </c>
      <c r="D3" s="73"/>
      <c r="E3" s="33">
        <v>8</v>
      </c>
      <c r="F3" s="34"/>
      <c r="G3" s="35">
        <f>F3*E3</f>
        <v>0</v>
      </c>
    </row>
    <row r="4" spans="2:8" ht="15.95" customHeight="1" x14ac:dyDescent="0.25">
      <c r="B4" s="84"/>
      <c r="C4" s="73" t="s">
        <v>2</v>
      </c>
      <c r="D4" s="73"/>
      <c r="E4" s="33">
        <v>36</v>
      </c>
      <c r="F4" s="34"/>
      <c r="G4" s="35">
        <f t="shared" ref="G4:G48" si="0">F4*E4</f>
        <v>0</v>
      </c>
    </row>
    <row r="5" spans="2:8" ht="15.95" customHeight="1" x14ac:dyDescent="0.25">
      <c r="B5" s="82" t="s">
        <v>3</v>
      </c>
      <c r="C5" s="73" t="s">
        <v>4</v>
      </c>
      <c r="D5" s="73"/>
      <c r="E5" s="33">
        <v>5</v>
      </c>
      <c r="F5" s="34"/>
      <c r="G5" s="35">
        <f t="shared" si="0"/>
        <v>0</v>
      </c>
    </row>
    <row r="6" spans="2:8" ht="15.95" customHeight="1" x14ac:dyDescent="0.25">
      <c r="B6" s="82"/>
      <c r="C6" s="73" t="s">
        <v>5</v>
      </c>
      <c r="D6" s="73"/>
      <c r="E6" s="33">
        <v>8</v>
      </c>
      <c r="F6" s="34"/>
      <c r="G6" s="35">
        <f t="shared" si="0"/>
        <v>0</v>
      </c>
    </row>
    <row r="7" spans="2:8" ht="15.95" customHeight="1" x14ac:dyDescent="0.25">
      <c r="B7" s="36" t="s">
        <v>147</v>
      </c>
      <c r="C7" s="74" t="s">
        <v>15</v>
      </c>
      <c r="D7" s="74"/>
      <c r="E7" s="33">
        <v>8</v>
      </c>
      <c r="F7" s="34"/>
      <c r="G7" s="35">
        <f t="shared" si="0"/>
        <v>0</v>
      </c>
    </row>
    <row r="8" spans="2:8" ht="15.95" customHeight="1" x14ac:dyDescent="0.25">
      <c r="B8" s="81" t="s">
        <v>6</v>
      </c>
      <c r="C8" s="73" t="s">
        <v>7</v>
      </c>
      <c r="D8" s="73"/>
      <c r="E8" s="33">
        <v>48</v>
      </c>
      <c r="F8" s="34"/>
      <c r="G8" s="35">
        <f t="shared" si="0"/>
        <v>0</v>
      </c>
    </row>
    <row r="9" spans="2:8" ht="15.95" customHeight="1" x14ac:dyDescent="0.25">
      <c r="B9" s="81"/>
      <c r="C9" s="73" t="s">
        <v>8</v>
      </c>
      <c r="D9" s="73"/>
      <c r="E9" s="33">
        <v>86</v>
      </c>
      <c r="F9" s="34"/>
      <c r="G9" s="35">
        <f t="shared" si="0"/>
        <v>0</v>
      </c>
    </row>
    <row r="10" spans="2:8" ht="15.95" customHeight="1" x14ac:dyDescent="0.25">
      <c r="B10" s="81"/>
      <c r="C10" s="73" t="s">
        <v>9</v>
      </c>
      <c r="D10" s="73"/>
      <c r="E10" s="33">
        <v>175</v>
      </c>
      <c r="F10" s="34"/>
      <c r="G10" s="35">
        <f t="shared" si="0"/>
        <v>0</v>
      </c>
    </row>
    <row r="11" spans="2:8" ht="15.95" customHeight="1" x14ac:dyDescent="0.25">
      <c r="B11" s="81"/>
      <c r="C11" s="73" t="s">
        <v>10</v>
      </c>
      <c r="D11" s="73"/>
      <c r="E11" s="33">
        <v>329</v>
      </c>
      <c r="F11" s="34"/>
      <c r="G11" s="35">
        <f t="shared" si="0"/>
        <v>0</v>
      </c>
    </row>
    <row r="12" spans="2:8" ht="15.95" customHeight="1" x14ac:dyDescent="0.25">
      <c r="B12" s="81"/>
      <c r="C12" s="73" t="s">
        <v>23</v>
      </c>
      <c r="D12" s="73"/>
      <c r="E12" s="33">
        <v>533</v>
      </c>
      <c r="F12" s="34"/>
      <c r="G12" s="35">
        <f t="shared" si="0"/>
        <v>0</v>
      </c>
    </row>
    <row r="13" spans="2:8" ht="16.5" customHeight="1" x14ac:dyDescent="0.25">
      <c r="B13" s="81"/>
      <c r="C13" s="73" t="s">
        <v>148</v>
      </c>
      <c r="D13" s="73"/>
      <c r="E13" s="33">
        <v>593</v>
      </c>
      <c r="F13" s="34"/>
      <c r="G13" s="35">
        <f t="shared" si="0"/>
        <v>0</v>
      </c>
    </row>
    <row r="14" spans="2:8" ht="15.95" customHeight="1" x14ac:dyDescent="0.25">
      <c r="B14" s="81"/>
      <c r="C14" s="73" t="s">
        <v>11</v>
      </c>
      <c r="D14" s="73"/>
      <c r="E14" s="33">
        <v>824</v>
      </c>
      <c r="F14" s="34"/>
      <c r="G14" s="35">
        <f t="shared" si="0"/>
        <v>0</v>
      </c>
    </row>
    <row r="15" spans="2:8" ht="15.95" customHeight="1" x14ac:dyDescent="0.25">
      <c r="B15" s="75" t="s">
        <v>152</v>
      </c>
      <c r="C15" s="73" t="s">
        <v>9</v>
      </c>
      <c r="D15" s="73"/>
      <c r="E15" s="37">
        <v>275</v>
      </c>
      <c r="F15" s="34"/>
      <c r="G15" s="35">
        <f t="shared" ref="G15:G27" si="1">F15*E15</f>
        <v>0</v>
      </c>
    </row>
    <row r="16" spans="2:8" ht="15.95" customHeight="1" x14ac:dyDescent="0.25">
      <c r="B16" s="75"/>
      <c r="C16" s="73" t="s">
        <v>10</v>
      </c>
      <c r="D16" s="73"/>
      <c r="E16" s="37">
        <v>429</v>
      </c>
      <c r="F16" s="34"/>
      <c r="G16" s="35">
        <f t="shared" si="1"/>
        <v>0</v>
      </c>
    </row>
    <row r="17" spans="2:7" ht="15.95" customHeight="1" x14ac:dyDescent="0.25">
      <c r="B17" s="75"/>
      <c r="C17" s="73" t="s">
        <v>23</v>
      </c>
      <c r="D17" s="73"/>
      <c r="E17" s="37">
        <v>633</v>
      </c>
      <c r="F17" s="34"/>
      <c r="G17" s="35">
        <f t="shared" si="1"/>
        <v>0</v>
      </c>
    </row>
    <row r="18" spans="2:7" ht="15.95" customHeight="1" x14ac:dyDescent="0.25">
      <c r="B18" s="75"/>
      <c r="C18" s="76" t="s">
        <v>24</v>
      </c>
      <c r="D18" s="76"/>
      <c r="E18" s="37">
        <v>693</v>
      </c>
      <c r="F18" s="34"/>
      <c r="G18" s="35">
        <f t="shared" si="1"/>
        <v>0</v>
      </c>
    </row>
    <row r="19" spans="2:7" ht="15.75" customHeight="1" x14ac:dyDescent="0.25">
      <c r="B19" s="75"/>
      <c r="C19" s="73" t="s">
        <v>25</v>
      </c>
      <c r="D19" s="73"/>
      <c r="E19" s="37">
        <v>66</v>
      </c>
      <c r="F19" s="34"/>
      <c r="G19" s="35">
        <f t="shared" si="1"/>
        <v>0</v>
      </c>
    </row>
    <row r="20" spans="2:7" ht="15.95" customHeight="1" x14ac:dyDescent="0.25">
      <c r="B20" s="75" t="s">
        <v>153</v>
      </c>
      <c r="C20" s="73" t="s">
        <v>7</v>
      </c>
      <c r="D20" s="73"/>
      <c r="E20" s="37">
        <v>48</v>
      </c>
      <c r="F20" s="34"/>
      <c r="G20" s="35">
        <f t="shared" si="1"/>
        <v>0</v>
      </c>
    </row>
    <row r="21" spans="2:7" ht="15.95" customHeight="1" x14ac:dyDescent="0.25">
      <c r="B21" s="75"/>
      <c r="C21" s="73" t="s">
        <v>8</v>
      </c>
      <c r="D21" s="73"/>
      <c r="E21" s="37">
        <v>86</v>
      </c>
      <c r="F21" s="34"/>
      <c r="G21" s="35">
        <f t="shared" si="1"/>
        <v>0</v>
      </c>
    </row>
    <row r="22" spans="2:7" ht="15.95" customHeight="1" x14ac:dyDescent="0.25">
      <c r="B22" s="75"/>
      <c r="C22" s="73" t="s">
        <v>9</v>
      </c>
      <c r="D22" s="73"/>
      <c r="E22" s="37">
        <v>175</v>
      </c>
      <c r="F22" s="34"/>
      <c r="G22" s="35">
        <f t="shared" si="1"/>
        <v>0</v>
      </c>
    </row>
    <row r="23" spans="2:7" ht="15.95" customHeight="1" x14ac:dyDescent="0.25">
      <c r="B23" s="75"/>
      <c r="C23" s="73" t="s">
        <v>10</v>
      </c>
      <c r="D23" s="73"/>
      <c r="E23" s="37">
        <v>329</v>
      </c>
      <c r="F23" s="34"/>
      <c r="G23" s="35">
        <f t="shared" si="1"/>
        <v>0</v>
      </c>
    </row>
    <row r="24" spans="2:7" ht="15.95" customHeight="1" x14ac:dyDescent="0.25">
      <c r="B24" s="75"/>
      <c r="C24" s="73" t="s">
        <v>23</v>
      </c>
      <c r="D24" s="73"/>
      <c r="E24" s="37">
        <v>533</v>
      </c>
      <c r="F24" s="34"/>
      <c r="G24" s="35">
        <f t="shared" si="1"/>
        <v>0</v>
      </c>
    </row>
    <row r="25" spans="2:7" ht="15.95" customHeight="1" x14ac:dyDescent="0.25">
      <c r="B25" s="75"/>
      <c r="C25" s="73" t="s">
        <v>148</v>
      </c>
      <c r="D25" s="73"/>
      <c r="E25" s="37">
        <v>593</v>
      </c>
      <c r="F25" s="34"/>
      <c r="G25" s="35">
        <f t="shared" si="1"/>
        <v>0</v>
      </c>
    </row>
    <row r="26" spans="2:7" ht="15.95" customHeight="1" x14ac:dyDescent="0.25">
      <c r="B26" s="75"/>
      <c r="C26" s="73" t="s">
        <v>11</v>
      </c>
      <c r="D26" s="73"/>
      <c r="E26" s="37">
        <v>824</v>
      </c>
      <c r="F26" s="34"/>
      <c r="G26" s="35">
        <f t="shared" si="1"/>
        <v>0</v>
      </c>
    </row>
    <row r="27" spans="2:7" ht="15.95" customHeight="1" x14ac:dyDescent="0.25">
      <c r="B27" s="38" t="s">
        <v>154</v>
      </c>
      <c r="C27" s="74" t="s">
        <v>15</v>
      </c>
      <c r="D27" s="74"/>
      <c r="E27" s="37">
        <v>50</v>
      </c>
      <c r="F27" s="34"/>
      <c r="G27" s="35">
        <f t="shared" si="1"/>
        <v>0</v>
      </c>
    </row>
    <row r="28" spans="2:7" ht="15.95" customHeight="1" x14ac:dyDescent="0.25">
      <c r="B28" s="85" t="s">
        <v>12</v>
      </c>
      <c r="C28" s="73" t="s">
        <v>7</v>
      </c>
      <c r="D28" s="73"/>
      <c r="E28" s="39">
        <v>40</v>
      </c>
      <c r="F28" s="34"/>
      <c r="G28" s="35">
        <f t="shared" si="0"/>
        <v>0</v>
      </c>
    </row>
    <row r="29" spans="2:7" ht="15.95" customHeight="1" x14ac:dyDescent="0.25">
      <c r="B29" s="85"/>
      <c r="C29" s="73" t="s">
        <v>13</v>
      </c>
      <c r="D29" s="73"/>
      <c r="E29" s="33">
        <v>53</v>
      </c>
      <c r="F29" s="34"/>
      <c r="G29" s="35">
        <f t="shared" si="0"/>
        <v>0</v>
      </c>
    </row>
    <row r="30" spans="2:7" ht="15.95" customHeight="1" x14ac:dyDescent="0.25">
      <c r="B30" s="85"/>
      <c r="C30" s="73" t="s">
        <v>10</v>
      </c>
      <c r="D30" s="73"/>
      <c r="E30" s="33">
        <v>67</v>
      </c>
      <c r="F30" s="34"/>
      <c r="G30" s="35">
        <f t="shared" si="0"/>
        <v>0</v>
      </c>
    </row>
    <row r="31" spans="2:7" ht="15.95" customHeight="1" x14ac:dyDescent="0.25">
      <c r="B31" s="85"/>
      <c r="C31" s="73" t="s">
        <v>14</v>
      </c>
      <c r="D31" s="73"/>
      <c r="E31" s="33">
        <v>133</v>
      </c>
      <c r="F31" s="34"/>
      <c r="G31" s="35">
        <f t="shared" si="0"/>
        <v>0</v>
      </c>
    </row>
    <row r="32" spans="2:7" ht="15.95" customHeight="1" x14ac:dyDescent="0.25">
      <c r="B32" s="80" t="s">
        <v>26</v>
      </c>
      <c r="C32" s="73" t="s">
        <v>7</v>
      </c>
      <c r="D32" s="73"/>
      <c r="E32" s="33">
        <v>40</v>
      </c>
      <c r="F32" s="34"/>
      <c r="G32" s="35">
        <f t="shared" si="0"/>
        <v>0</v>
      </c>
    </row>
    <row r="33" spans="2:7" ht="15.75" customHeight="1" x14ac:dyDescent="0.25">
      <c r="B33" s="80"/>
      <c r="C33" s="73" t="s">
        <v>21</v>
      </c>
      <c r="D33" s="73"/>
      <c r="E33" s="33">
        <v>52</v>
      </c>
      <c r="F33" s="34"/>
      <c r="G33" s="35">
        <f t="shared" si="0"/>
        <v>0</v>
      </c>
    </row>
    <row r="34" spans="2:7" ht="30" customHeight="1" x14ac:dyDescent="0.25">
      <c r="B34" s="40" t="s">
        <v>28</v>
      </c>
      <c r="C34" s="74" t="s">
        <v>15</v>
      </c>
      <c r="D34" s="74"/>
      <c r="E34" s="41">
        <v>40</v>
      </c>
      <c r="F34" s="34"/>
      <c r="G34" s="35">
        <f t="shared" si="0"/>
        <v>0</v>
      </c>
    </row>
    <row r="35" spans="2:7" ht="15.95" customHeight="1" x14ac:dyDescent="0.25">
      <c r="B35" s="43" t="s">
        <v>27</v>
      </c>
      <c r="C35" s="74" t="s">
        <v>15</v>
      </c>
      <c r="D35" s="74"/>
      <c r="E35" s="33">
        <v>32</v>
      </c>
      <c r="F35" s="34"/>
      <c r="G35" s="35">
        <f t="shared" si="0"/>
        <v>0</v>
      </c>
    </row>
    <row r="36" spans="2:7" ht="15.75" customHeight="1" x14ac:dyDescent="0.25">
      <c r="B36" s="43" t="s">
        <v>29</v>
      </c>
      <c r="C36" s="74" t="s">
        <v>15</v>
      </c>
      <c r="D36" s="74"/>
      <c r="E36" s="33">
        <v>53</v>
      </c>
      <c r="F36" s="34"/>
      <c r="G36" s="35">
        <f t="shared" si="0"/>
        <v>0</v>
      </c>
    </row>
    <row r="37" spans="2:7" ht="46.5" customHeight="1" x14ac:dyDescent="0.25">
      <c r="B37" s="40" t="s">
        <v>30</v>
      </c>
      <c r="C37" s="74" t="s">
        <v>15</v>
      </c>
      <c r="D37" s="74"/>
      <c r="E37" s="41">
        <v>40</v>
      </c>
      <c r="F37" s="42"/>
      <c r="G37" s="35">
        <f t="shared" si="0"/>
        <v>0</v>
      </c>
    </row>
    <row r="38" spans="2:7" ht="51" customHeight="1" x14ac:dyDescent="0.25">
      <c r="B38" s="44" t="s">
        <v>103</v>
      </c>
      <c r="C38" s="74" t="s">
        <v>15</v>
      </c>
      <c r="D38" s="74"/>
      <c r="E38" s="45">
        <v>40</v>
      </c>
      <c r="F38" s="46"/>
      <c r="G38" s="35">
        <f t="shared" si="0"/>
        <v>0</v>
      </c>
    </row>
    <row r="39" spans="2:7" ht="17.25" customHeight="1" x14ac:dyDescent="0.25">
      <c r="B39" s="47" t="s">
        <v>149</v>
      </c>
      <c r="C39" s="74" t="s">
        <v>15</v>
      </c>
      <c r="D39" s="74"/>
      <c r="E39" s="37">
        <v>163</v>
      </c>
      <c r="F39" s="34"/>
      <c r="G39" s="35">
        <f t="shared" si="0"/>
        <v>0</v>
      </c>
    </row>
    <row r="40" spans="2:7" ht="17.25" customHeight="1" x14ac:dyDescent="0.25">
      <c r="B40" s="47" t="s">
        <v>150</v>
      </c>
      <c r="C40" s="74" t="s">
        <v>15</v>
      </c>
      <c r="D40" s="74"/>
      <c r="E40" s="37">
        <v>189</v>
      </c>
      <c r="F40" s="34"/>
      <c r="G40" s="35">
        <f t="shared" si="0"/>
        <v>0</v>
      </c>
    </row>
    <row r="41" spans="2:7" ht="17.25" customHeight="1" x14ac:dyDescent="0.25">
      <c r="B41" s="47" t="s">
        <v>151</v>
      </c>
      <c r="C41" s="74" t="s">
        <v>15</v>
      </c>
      <c r="D41" s="74"/>
      <c r="E41" s="37">
        <v>261</v>
      </c>
      <c r="F41" s="34"/>
      <c r="G41" s="35">
        <f t="shared" si="0"/>
        <v>0</v>
      </c>
    </row>
    <row r="42" spans="2:7" ht="15.95" customHeight="1" x14ac:dyDescent="0.25">
      <c r="B42" s="48" t="s">
        <v>16</v>
      </c>
      <c r="C42" s="74" t="s">
        <v>15</v>
      </c>
      <c r="D42" s="74"/>
      <c r="E42" s="37">
        <v>169</v>
      </c>
      <c r="F42" s="34"/>
      <c r="G42" s="35">
        <f t="shared" si="0"/>
        <v>0</v>
      </c>
    </row>
    <row r="43" spans="2:7" ht="15.95" customHeight="1" x14ac:dyDescent="0.25">
      <c r="B43" s="49" t="s">
        <v>17</v>
      </c>
      <c r="C43" s="74" t="s">
        <v>15</v>
      </c>
      <c r="D43" s="74"/>
      <c r="E43" s="33">
        <v>32</v>
      </c>
      <c r="F43" s="34"/>
      <c r="G43" s="35">
        <f t="shared" si="0"/>
        <v>0</v>
      </c>
    </row>
    <row r="44" spans="2:7" ht="15.95" customHeight="1" x14ac:dyDescent="0.25">
      <c r="B44" s="49" t="s">
        <v>18</v>
      </c>
      <c r="C44" s="74" t="s">
        <v>15</v>
      </c>
      <c r="D44" s="74"/>
      <c r="E44" s="33">
        <v>66</v>
      </c>
      <c r="F44" s="34"/>
      <c r="G44" s="35">
        <f t="shared" si="0"/>
        <v>0</v>
      </c>
    </row>
    <row r="45" spans="2:7" ht="15.95" customHeight="1" x14ac:dyDescent="0.25">
      <c r="B45" s="49" t="s">
        <v>141</v>
      </c>
      <c r="C45" s="74" t="s">
        <v>15</v>
      </c>
      <c r="D45" s="74"/>
      <c r="E45" s="37">
        <v>239</v>
      </c>
      <c r="F45" s="34"/>
      <c r="G45" s="35">
        <f t="shared" ref="G45" si="2">F45*E45</f>
        <v>0</v>
      </c>
    </row>
    <row r="46" spans="2:7" ht="15.95" customHeight="1" x14ac:dyDescent="0.25">
      <c r="B46" s="49" t="s">
        <v>22</v>
      </c>
      <c r="C46" s="74" t="s">
        <v>15</v>
      </c>
      <c r="D46" s="74"/>
      <c r="E46" s="37">
        <v>111</v>
      </c>
      <c r="F46" s="34"/>
      <c r="G46" s="35">
        <f t="shared" si="0"/>
        <v>0</v>
      </c>
    </row>
    <row r="47" spans="2:7" ht="15.95" customHeight="1" x14ac:dyDescent="0.25">
      <c r="B47" s="77" t="s">
        <v>133</v>
      </c>
      <c r="C47" s="79" t="s">
        <v>134</v>
      </c>
      <c r="D47" s="79"/>
      <c r="E47" s="37">
        <v>205</v>
      </c>
      <c r="F47" s="34"/>
      <c r="G47" s="35">
        <f t="shared" si="0"/>
        <v>0</v>
      </c>
    </row>
    <row r="48" spans="2:7" ht="15.95" customHeight="1" x14ac:dyDescent="0.25">
      <c r="B48" s="77"/>
      <c r="C48" s="79" t="s">
        <v>135</v>
      </c>
      <c r="D48" s="79"/>
      <c r="E48" s="37">
        <v>409</v>
      </c>
      <c r="F48" s="34"/>
      <c r="G48" s="35">
        <f t="shared" si="0"/>
        <v>0</v>
      </c>
    </row>
    <row r="49" spans="2:8" ht="15.95" customHeight="1" x14ac:dyDescent="0.25">
      <c r="B49" s="51"/>
      <c r="C49" s="52"/>
      <c r="D49" s="52"/>
      <c r="E49" s="53"/>
      <c r="F49" s="54"/>
      <c r="G49" s="50"/>
      <c r="H49" s="56"/>
    </row>
    <row r="50" spans="2:8" ht="15.95" customHeight="1" x14ac:dyDescent="0.25">
      <c r="B50" s="51" t="s">
        <v>20</v>
      </c>
      <c r="C50" s="52"/>
      <c r="D50" s="52"/>
      <c r="E50" s="53"/>
      <c r="F50" s="53"/>
      <c r="G50" s="55">
        <f>SUM(G3:G48)</f>
        <v>0</v>
      </c>
      <c r="H50" s="57">
        <f>G50*1.2</f>
        <v>0</v>
      </c>
    </row>
    <row r="51" spans="2:8" x14ac:dyDescent="0.25">
      <c r="B51" s="24"/>
      <c r="C51" s="23"/>
      <c r="D51" s="23"/>
      <c r="E51" s="12"/>
      <c r="F51" s="12"/>
      <c r="G51" s="24"/>
      <c r="H51" s="24"/>
    </row>
    <row r="52" spans="2:8" x14ac:dyDescent="0.25">
      <c r="B52" s="1"/>
      <c r="C52" s="4"/>
      <c r="D52" s="4"/>
    </row>
    <row r="53" spans="2:8" x14ac:dyDescent="0.25">
      <c r="B53" s="1"/>
      <c r="C53" s="2"/>
      <c r="D53" s="2"/>
    </row>
    <row r="54" spans="2:8" x14ac:dyDescent="0.25">
      <c r="B54" s="3"/>
      <c r="C54" s="78"/>
      <c r="D54" s="78"/>
    </row>
  </sheetData>
  <sheetProtection sheet="1" objects="1" scenarios="1"/>
  <mergeCells count="55">
    <mergeCell ref="C13:D13"/>
    <mergeCell ref="C39:D39"/>
    <mergeCell ref="C40:D40"/>
    <mergeCell ref="C41:D41"/>
    <mergeCell ref="C10:D10"/>
    <mergeCell ref="C11:D11"/>
    <mergeCell ref="C29:D29"/>
    <mergeCell ref="C30:D30"/>
    <mergeCell ref="C33:D33"/>
    <mergeCell ref="C34:D34"/>
    <mergeCell ref="C38:D38"/>
    <mergeCell ref="C36:D36"/>
    <mergeCell ref="C37:D37"/>
    <mergeCell ref="C35:D35"/>
    <mergeCell ref="C31:D31"/>
    <mergeCell ref="C25:D25"/>
    <mergeCell ref="C3:D3"/>
    <mergeCell ref="C5:D5"/>
    <mergeCell ref="C6:D6"/>
    <mergeCell ref="B32:B33"/>
    <mergeCell ref="C32:D32"/>
    <mergeCell ref="C12:D12"/>
    <mergeCell ref="C4:D4"/>
    <mergeCell ref="B8:B14"/>
    <mergeCell ref="B5:B6"/>
    <mergeCell ref="B3:B4"/>
    <mergeCell ref="B28:B31"/>
    <mergeCell ref="C14:D14"/>
    <mergeCell ref="C28:D28"/>
    <mergeCell ref="C8:D8"/>
    <mergeCell ref="C9:D9"/>
    <mergeCell ref="C7:D7"/>
    <mergeCell ref="C44:D44"/>
    <mergeCell ref="C46:D46"/>
    <mergeCell ref="B47:B48"/>
    <mergeCell ref="C54:D54"/>
    <mergeCell ref="C42:D42"/>
    <mergeCell ref="C47:D47"/>
    <mergeCell ref="C48:D48"/>
    <mergeCell ref="C45:D45"/>
    <mergeCell ref="C43:D43"/>
    <mergeCell ref="C26:D26"/>
    <mergeCell ref="C27:D27"/>
    <mergeCell ref="B15:B19"/>
    <mergeCell ref="B20:B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N33"/>
  <sheetViews>
    <sheetView topLeftCell="B1" zoomScale="110" zoomScaleNormal="110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9.140625" style="5"/>
    <col min="2" max="2" width="32" style="5" bestFit="1" customWidth="1"/>
    <col min="3" max="3" width="43.140625" style="5" bestFit="1" customWidth="1"/>
    <col min="4" max="4" width="13.85546875" style="5" customWidth="1"/>
    <col min="5" max="5" width="12.5703125" style="5" customWidth="1"/>
    <col min="6" max="6" width="20" style="5" customWidth="1"/>
    <col min="7" max="7" width="14.28515625" style="5" customWidth="1"/>
    <col min="8" max="8" width="15.7109375" style="5" customWidth="1"/>
    <col min="9" max="9" width="22" style="5" customWidth="1"/>
    <col min="10" max="10" width="17" style="5" customWidth="1"/>
    <col min="11" max="11" width="11.85546875" style="5" customWidth="1"/>
    <col min="12" max="12" width="10.7109375" style="5" customWidth="1"/>
    <col min="13" max="13" width="10.5703125" style="5" customWidth="1"/>
    <col min="14" max="14" width="19.140625" style="5" customWidth="1"/>
    <col min="15" max="16384" width="9.140625" style="5"/>
  </cols>
  <sheetData>
    <row r="2" spans="2:14" ht="63.75" customHeight="1" x14ac:dyDescent="0.25">
      <c r="B2" s="6" t="s">
        <v>31</v>
      </c>
      <c r="C2" s="6" t="s">
        <v>42</v>
      </c>
      <c r="D2" s="10" t="s">
        <v>100</v>
      </c>
      <c r="E2" s="10" t="s">
        <v>54</v>
      </c>
      <c r="F2" s="10" t="s">
        <v>132</v>
      </c>
      <c r="G2" s="10" t="s">
        <v>55</v>
      </c>
      <c r="H2" s="10" t="s">
        <v>101</v>
      </c>
      <c r="I2" s="10" t="s">
        <v>99</v>
      </c>
      <c r="J2" s="10" t="s">
        <v>57</v>
      </c>
      <c r="K2" s="13"/>
      <c r="L2" s="10" t="s">
        <v>56</v>
      </c>
      <c r="M2" s="13"/>
      <c r="N2" s="10" t="s">
        <v>102</v>
      </c>
    </row>
    <row r="3" spans="2:14" ht="20.100000000000001" customHeight="1" x14ac:dyDescent="0.25">
      <c r="B3" s="7" t="s">
        <v>32</v>
      </c>
      <c r="C3" s="9" t="s">
        <v>47</v>
      </c>
      <c r="D3" s="20"/>
      <c r="E3" s="14" t="s">
        <v>15</v>
      </c>
      <c r="F3" s="14" t="s">
        <v>15</v>
      </c>
      <c r="G3" s="21"/>
      <c r="H3" s="15">
        <f>D3*0.65</f>
        <v>0</v>
      </c>
      <c r="I3" s="22" t="s">
        <v>77</v>
      </c>
      <c r="J3" s="16">
        <f>VLOOKUP(I3:I14,Плотность[],2,0)</f>
        <v>2.68</v>
      </c>
      <c r="K3" s="17"/>
      <c r="L3" s="18">
        <f>D3*D3*G3*J3*0.002</f>
        <v>0</v>
      </c>
      <c r="M3" s="19"/>
      <c r="N3" s="18">
        <f>D3*D3*H3*J3*0.002</f>
        <v>0</v>
      </c>
    </row>
    <row r="4" spans="2:14" ht="20.100000000000001" customHeight="1" x14ac:dyDescent="0.25">
      <c r="B4" s="8" t="s">
        <v>33</v>
      </c>
      <c r="C4" s="9" t="s">
        <v>46</v>
      </c>
      <c r="D4" s="20"/>
      <c r="E4" s="14" t="s">
        <v>15</v>
      </c>
      <c r="F4" s="14" t="s">
        <v>15</v>
      </c>
      <c r="G4" s="21"/>
      <c r="H4" s="19">
        <f>D4*0.65</f>
        <v>0</v>
      </c>
      <c r="I4" s="22" t="s">
        <v>68</v>
      </c>
      <c r="J4" s="16">
        <f>VLOOKUP(I4:I14,Плотность[],2,0)</f>
        <v>2.66</v>
      </c>
      <c r="K4" s="17"/>
      <c r="L4" s="19">
        <f>D4*D4*G4*J4*0.0027</f>
        <v>0</v>
      </c>
      <c r="M4" s="19"/>
      <c r="N4" s="19">
        <f>D4*D4*H4*J4*0.0027</f>
        <v>0</v>
      </c>
    </row>
    <row r="5" spans="2:14" ht="20.100000000000001" customHeight="1" x14ac:dyDescent="0.25">
      <c r="B5" s="7" t="s">
        <v>34</v>
      </c>
      <c r="C5" s="9" t="s">
        <v>45</v>
      </c>
      <c r="D5" s="14" t="s">
        <v>15</v>
      </c>
      <c r="E5" s="21"/>
      <c r="F5" s="21"/>
      <c r="G5" s="21"/>
      <c r="H5" s="19">
        <f>F5*0.65</f>
        <v>0</v>
      </c>
      <c r="I5" s="22" t="s">
        <v>96</v>
      </c>
      <c r="J5" s="16">
        <f>VLOOKUP(I5:I15,Плотность[],2,0)</f>
        <v>2.7</v>
      </c>
      <c r="K5" s="17"/>
      <c r="L5" s="18">
        <f>E5*F5*G5*J5*0.0021</f>
        <v>0</v>
      </c>
      <c r="M5" s="19"/>
      <c r="N5" s="18">
        <f>E5*F5*H5*J5*0.0021</f>
        <v>0</v>
      </c>
    </row>
    <row r="6" spans="2:14" ht="20.100000000000001" customHeight="1" x14ac:dyDescent="0.25">
      <c r="B6" s="8" t="s">
        <v>35</v>
      </c>
      <c r="C6" s="9" t="s">
        <v>44</v>
      </c>
      <c r="D6" s="14" t="s">
        <v>15</v>
      </c>
      <c r="E6" s="21"/>
      <c r="F6" s="21"/>
      <c r="G6" s="21"/>
      <c r="H6" s="19">
        <f t="shared" ref="H6:H14" si="0">F6*0.65</f>
        <v>0</v>
      </c>
      <c r="I6" s="22" t="s">
        <v>77</v>
      </c>
      <c r="J6" s="16">
        <f>VLOOKUP(I6:I16,Плотность[],2,0)</f>
        <v>2.68</v>
      </c>
      <c r="K6" s="17"/>
      <c r="L6" s="19">
        <f>E6*F6*G6*J6*0.0027</f>
        <v>0</v>
      </c>
      <c r="M6" s="19"/>
      <c r="N6" s="19">
        <f>E6*F6*H6*J6*0.0027</f>
        <v>0</v>
      </c>
    </row>
    <row r="7" spans="2:14" ht="20.100000000000001" customHeight="1" x14ac:dyDescent="0.25">
      <c r="B7" s="7" t="s">
        <v>36</v>
      </c>
      <c r="C7" s="9" t="s">
        <v>58</v>
      </c>
      <c r="D7" s="14" t="s">
        <v>15</v>
      </c>
      <c r="E7" s="21"/>
      <c r="F7" s="21"/>
      <c r="G7" s="21"/>
      <c r="H7" s="19">
        <f t="shared" si="0"/>
        <v>0</v>
      </c>
      <c r="I7" s="22" t="s">
        <v>68</v>
      </c>
      <c r="J7" s="16">
        <f>VLOOKUP(I7:I17,Плотность[],2,0)</f>
        <v>2.66</v>
      </c>
      <c r="K7" s="17"/>
      <c r="L7" s="18">
        <f>E7*F7*G7*J7*0.002</f>
        <v>0</v>
      </c>
      <c r="M7" s="19"/>
      <c r="N7" s="18">
        <f>E7*F7*H7*J7*0.002</f>
        <v>0</v>
      </c>
    </row>
    <row r="8" spans="2:14" ht="20.100000000000001" customHeight="1" x14ac:dyDescent="0.25">
      <c r="B8" s="8" t="s">
        <v>37</v>
      </c>
      <c r="C8" s="9" t="s">
        <v>43</v>
      </c>
      <c r="D8" s="14" t="s">
        <v>15</v>
      </c>
      <c r="E8" s="21"/>
      <c r="F8" s="21"/>
      <c r="G8" s="21"/>
      <c r="H8" s="19">
        <f t="shared" si="0"/>
        <v>0</v>
      </c>
      <c r="I8" s="22" t="s">
        <v>68</v>
      </c>
      <c r="J8" s="16">
        <f>VLOOKUP(I8:I18,Плотность[],2,0)</f>
        <v>2.66</v>
      </c>
      <c r="K8" s="17"/>
      <c r="L8" s="19">
        <f>E8*F8*G8*J8*0.00245</f>
        <v>0</v>
      </c>
      <c r="M8" s="19"/>
      <c r="N8" s="19">
        <f>E8*F8*H8*J8*0.00245</f>
        <v>0</v>
      </c>
    </row>
    <row r="9" spans="2:14" ht="20.100000000000001" customHeight="1" x14ac:dyDescent="0.25">
      <c r="B9" s="7" t="s">
        <v>109</v>
      </c>
      <c r="C9" s="9" t="s">
        <v>48</v>
      </c>
      <c r="D9" s="14" t="s">
        <v>15</v>
      </c>
      <c r="E9" s="21"/>
      <c r="F9" s="21"/>
      <c r="G9" s="21"/>
      <c r="H9" s="19">
        <f t="shared" si="0"/>
        <v>0</v>
      </c>
      <c r="I9" s="22" t="s">
        <v>68</v>
      </c>
      <c r="J9" s="16">
        <f>VLOOKUP(I9:I19,Плотность[],2,0)</f>
        <v>2.66</v>
      </c>
      <c r="K9" s="17"/>
      <c r="L9" s="18">
        <f>E9*F9*G9*J9*0.00235</f>
        <v>0</v>
      </c>
      <c r="M9" s="19"/>
      <c r="N9" s="18">
        <f>E9*F9*H9*J9*0.00235</f>
        <v>0</v>
      </c>
    </row>
    <row r="10" spans="2:14" ht="20.100000000000001" customHeight="1" x14ac:dyDescent="0.25">
      <c r="B10" s="8" t="s">
        <v>110</v>
      </c>
      <c r="C10" s="9" t="s">
        <v>49</v>
      </c>
      <c r="D10" s="14" t="s">
        <v>15</v>
      </c>
      <c r="E10" s="21"/>
      <c r="F10" s="21"/>
      <c r="G10" s="21"/>
      <c r="H10" s="19">
        <f t="shared" si="0"/>
        <v>0</v>
      </c>
      <c r="I10" s="22" t="s">
        <v>68</v>
      </c>
      <c r="J10" s="16">
        <f>VLOOKUP(I10:I22,Плотность[],2,0)</f>
        <v>2.66</v>
      </c>
      <c r="K10" s="17"/>
      <c r="L10" s="19">
        <f>E10*F10*G10*J10*0.0029</f>
        <v>0</v>
      </c>
      <c r="M10" s="19"/>
      <c r="N10" s="19">
        <f>E10*F10*H10*J10*0.0029</f>
        <v>0</v>
      </c>
    </row>
    <row r="11" spans="2:14" ht="20.100000000000001" customHeight="1" x14ac:dyDescent="0.25">
      <c r="B11" s="7" t="s">
        <v>38</v>
      </c>
      <c r="C11" s="9" t="s">
        <v>50</v>
      </c>
      <c r="D11" s="14" t="s">
        <v>15</v>
      </c>
      <c r="E11" s="21"/>
      <c r="F11" s="21"/>
      <c r="G11" s="21"/>
      <c r="H11" s="19">
        <f t="shared" si="0"/>
        <v>0</v>
      </c>
      <c r="I11" s="22" t="s">
        <v>68</v>
      </c>
      <c r="J11" s="16">
        <f>VLOOKUP(I11:I23,Плотность[],2,0)</f>
        <v>2.66</v>
      </c>
      <c r="K11" s="16"/>
      <c r="L11" s="18">
        <f>E11*F11*G11*J11*0.0019</f>
        <v>0</v>
      </c>
      <c r="M11" s="19"/>
      <c r="N11" s="18">
        <f>E11*F11*H11*J11*0.0019</f>
        <v>0</v>
      </c>
    </row>
    <row r="12" spans="2:14" ht="20.100000000000001" customHeight="1" x14ac:dyDescent="0.25">
      <c r="B12" s="8" t="s">
        <v>39</v>
      </c>
      <c r="C12" s="9" t="s">
        <v>51</v>
      </c>
      <c r="D12" s="14" t="s">
        <v>15</v>
      </c>
      <c r="E12" s="21"/>
      <c r="F12" s="21"/>
      <c r="G12" s="21"/>
      <c r="H12" s="19">
        <f t="shared" si="0"/>
        <v>0</v>
      </c>
      <c r="I12" s="22" t="s">
        <v>68</v>
      </c>
      <c r="J12" s="16">
        <f>VLOOKUP(I12:I24,Плотность[],2,0)</f>
        <v>2.66</v>
      </c>
      <c r="K12" s="17"/>
      <c r="L12" s="19">
        <f>E12*F12*G12*J12*0.0024</f>
        <v>0</v>
      </c>
      <c r="M12" s="19"/>
      <c r="N12" s="19">
        <f>E12*F12*H12*J12*0.0024</f>
        <v>0</v>
      </c>
    </row>
    <row r="13" spans="2:14" ht="20.100000000000001" customHeight="1" x14ac:dyDescent="0.25">
      <c r="B13" s="7" t="s">
        <v>40</v>
      </c>
      <c r="C13" s="9" t="s">
        <v>52</v>
      </c>
      <c r="D13" s="14" t="s">
        <v>15</v>
      </c>
      <c r="E13" s="21"/>
      <c r="F13" s="21"/>
      <c r="G13" s="21"/>
      <c r="H13" s="19">
        <f t="shared" si="0"/>
        <v>0</v>
      </c>
      <c r="I13" s="22" t="s">
        <v>68</v>
      </c>
      <c r="J13" s="16">
        <f>VLOOKUP(I13:I25,Плотность[],2,0)</f>
        <v>2.66</v>
      </c>
      <c r="K13" s="17"/>
      <c r="L13" s="18">
        <f>E13*F13*G13*J13*0.00195</f>
        <v>0</v>
      </c>
      <c r="M13" s="19"/>
      <c r="N13" s="18">
        <f>E13*F13*H13*J13*0.00195</f>
        <v>0</v>
      </c>
    </row>
    <row r="14" spans="2:14" ht="20.100000000000001" customHeight="1" x14ac:dyDescent="0.25">
      <c r="B14" s="8" t="s">
        <v>41</v>
      </c>
      <c r="C14" s="9" t="s">
        <v>53</v>
      </c>
      <c r="D14" s="14" t="s">
        <v>15</v>
      </c>
      <c r="E14" s="21"/>
      <c r="F14" s="21"/>
      <c r="G14" s="21"/>
      <c r="H14" s="19">
        <f t="shared" si="0"/>
        <v>0</v>
      </c>
      <c r="I14" s="22" t="s">
        <v>68</v>
      </c>
      <c r="J14" s="16">
        <f>VLOOKUP(I14:I26,Плотность[],2,0)</f>
        <v>2.66</v>
      </c>
      <c r="K14" s="17"/>
      <c r="L14" s="19">
        <f t="shared" ref="L14:L19" si="1">E14*F14*G14*J14*0.0025</f>
        <v>0</v>
      </c>
      <c r="M14" s="19"/>
      <c r="N14" s="19">
        <f t="shared" ref="N14:N19" si="2">E14*F14*H14*J14*0.0025</f>
        <v>0</v>
      </c>
    </row>
    <row r="15" spans="2:14" ht="20.100000000000001" customHeight="1" x14ac:dyDescent="0.25">
      <c r="B15" s="58" t="s">
        <v>131</v>
      </c>
      <c r="C15" s="9" t="s">
        <v>51</v>
      </c>
      <c r="D15" s="14" t="s">
        <v>15</v>
      </c>
      <c r="E15" s="21"/>
      <c r="F15" s="21"/>
      <c r="G15" s="22"/>
      <c r="H15" s="19">
        <f>F15*0.7</f>
        <v>0</v>
      </c>
      <c r="I15" s="22" t="s">
        <v>68</v>
      </c>
      <c r="J15" s="16">
        <f>VLOOKUP(I15:I27,Плотность[],2,0)</f>
        <v>2.66</v>
      </c>
      <c r="L15" s="31">
        <f t="shared" si="1"/>
        <v>0</v>
      </c>
      <c r="N15" s="31">
        <f t="shared" si="2"/>
        <v>0</v>
      </c>
    </row>
    <row r="16" spans="2:14" ht="20.100000000000001" customHeight="1" x14ac:dyDescent="0.25">
      <c r="B16" s="59" t="s">
        <v>107</v>
      </c>
      <c r="C16" s="9" t="s">
        <v>53</v>
      </c>
      <c r="D16" s="14" t="s">
        <v>15</v>
      </c>
      <c r="E16" s="21"/>
      <c r="F16" s="21"/>
      <c r="G16" s="21"/>
      <c r="H16" s="19">
        <f>F16*0.7</f>
        <v>0</v>
      </c>
      <c r="I16" s="22" t="s">
        <v>68</v>
      </c>
      <c r="J16" s="16">
        <f>VLOOKUP(I16:I28,Плотность[],2,0)</f>
        <v>2.66</v>
      </c>
      <c r="L16" s="19">
        <f t="shared" si="1"/>
        <v>0</v>
      </c>
      <c r="N16" s="19">
        <f t="shared" si="2"/>
        <v>0</v>
      </c>
    </row>
    <row r="17" spans="2:14" ht="20.100000000000001" customHeight="1" x14ac:dyDescent="0.25">
      <c r="B17" s="58" t="s">
        <v>108</v>
      </c>
      <c r="C17" s="9" t="s">
        <v>121</v>
      </c>
      <c r="D17" s="14" t="s">
        <v>15</v>
      </c>
      <c r="E17" s="22"/>
      <c r="F17" s="22"/>
      <c r="G17" s="22"/>
      <c r="H17" s="19">
        <f>F17*0.7</f>
        <v>0</v>
      </c>
      <c r="I17" s="22" t="s">
        <v>68</v>
      </c>
      <c r="J17" s="16">
        <f>VLOOKUP(I17:I29,Плотность[],2,0)</f>
        <v>2.66</v>
      </c>
      <c r="L17" s="31">
        <f t="shared" si="1"/>
        <v>0</v>
      </c>
      <c r="N17" s="31">
        <f t="shared" si="2"/>
        <v>0</v>
      </c>
    </row>
    <row r="18" spans="2:14" ht="20.100000000000001" customHeight="1" x14ac:dyDescent="0.25">
      <c r="B18" s="59" t="s">
        <v>111</v>
      </c>
      <c r="C18" s="9" t="s">
        <v>48</v>
      </c>
      <c r="D18" s="14" t="s">
        <v>15</v>
      </c>
      <c r="E18" s="21"/>
      <c r="F18" s="21"/>
      <c r="G18" s="21"/>
      <c r="H18" s="19">
        <f>F18*0.7</f>
        <v>0</v>
      </c>
      <c r="I18" s="22" t="s">
        <v>68</v>
      </c>
      <c r="J18" s="16">
        <f>VLOOKUP(I18:I30,Плотность[],2,0)</f>
        <v>2.66</v>
      </c>
      <c r="L18" s="19">
        <f t="shared" si="1"/>
        <v>0</v>
      </c>
      <c r="N18" s="19">
        <f t="shared" si="2"/>
        <v>0</v>
      </c>
    </row>
    <row r="19" spans="2:14" ht="20.100000000000001" customHeight="1" x14ac:dyDescent="0.25">
      <c r="B19" s="58" t="s">
        <v>112</v>
      </c>
      <c r="C19" s="9" t="s">
        <v>122</v>
      </c>
      <c r="D19" s="14" t="s">
        <v>15</v>
      </c>
      <c r="E19" s="22"/>
      <c r="F19" s="22"/>
      <c r="G19" s="22"/>
      <c r="H19" s="19">
        <f>F19*0.65</f>
        <v>0</v>
      </c>
      <c r="I19" s="22" t="s">
        <v>68</v>
      </c>
      <c r="J19" s="16">
        <f>VLOOKUP(I19:I31,Плотность[],2,0)</f>
        <v>2.66</v>
      </c>
      <c r="L19" s="31">
        <f t="shared" si="1"/>
        <v>0</v>
      </c>
      <c r="N19" s="31">
        <f t="shared" si="2"/>
        <v>0</v>
      </c>
    </row>
    <row r="20" spans="2:14" ht="20.100000000000001" customHeight="1" x14ac:dyDescent="0.25">
      <c r="B20" s="59" t="s">
        <v>114</v>
      </c>
      <c r="C20" s="9" t="s">
        <v>123</v>
      </c>
      <c r="D20" s="14" t="s">
        <v>15</v>
      </c>
      <c r="E20" s="14" t="s">
        <v>15</v>
      </c>
      <c r="F20" s="21"/>
      <c r="G20" s="21"/>
      <c r="H20" s="19">
        <f>F20*0.65</f>
        <v>0</v>
      </c>
      <c r="I20" s="22" t="s">
        <v>68</v>
      </c>
      <c r="J20" s="16">
        <f>VLOOKUP(I20:I32,Плотность[],2,0)</f>
        <v>2.66</v>
      </c>
      <c r="L20" s="19">
        <f>F20*F20*G20*J20*0.0018</f>
        <v>0</v>
      </c>
      <c r="N20" s="19">
        <f>F20*F20*H20*J20*0.0018</f>
        <v>0</v>
      </c>
    </row>
    <row r="21" spans="2:14" ht="20.100000000000001" customHeight="1" x14ac:dyDescent="0.25">
      <c r="B21" s="60"/>
      <c r="C21" s="28"/>
      <c r="D21" s="27"/>
      <c r="E21" s="27"/>
      <c r="F21" s="27"/>
      <c r="G21" s="27"/>
      <c r="H21" s="29"/>
      <c r="I21" s="30"/>
      <c r="J21" s="30"/>
      <c r="K21" s="27"/>
      <c r="L21" s="29"/>
      <c r="M21" s="27"/>
      <c r="N21" s="29"/>
    </row>
    <row r="22" spans="2:14" ht="20.100000000000001" customHeight="1" x14ac:dyDescent="0.25">
      <c r="B22" s="58" t="s">
        <v>113</v>
      </c>
      <c r="C22" s="9" t="s">
        <v>124</v>
      </c>
      <c r="D22" s="14" t="s">
        <v>15</v>
      </c>
      <c r="E22" s="14" t="s">
        <v>15</v>
      </c>
      <c r="F22" s="22"/>
      <c r="G22" s="22"/>
      <c r="H22" s="19">
        <f>F22*0.65</f>
        <v>0</v>
      </c>
      <c r="I22" s="22" t="s">
        <v>68</v>
      </c>
      <c r="J22" s="16">
        <f>VLOOKUP(I22:I34,Плотность[],2,0)</f>
        <v>2.66</v>
      </c>
      <c r="L22" s="31">
        <f>F22*F22*G22*J22*0.0015</f>
        <v>0</v>
      </c>
      <c r="N22" s="31">
        <f>F22*F22*H22*J22*0.0015</f>
        <v>0</v>
      </c>
    </row>
    <row r="23" spans="2:14" ht="20.100000000000001" customHeight="1" x14ac:dyDescent="0.25">
      <c r="B23" s="59" t="s">
        <v>115</v>
      </c>
      <c r="C23" s="9" t="s">
        <v>125</v>
      </c>
      <c r="D23" s="14" t="s">
        <v>15</v>
      </c>
      <c r="E23" s="14" t="s">
        <v>15</v>
      </c>
      <c r="F23" s="22"/>
      <c r="G23" s="22"/>
      <c r="H23" s="19">
        <f>F23*0.65</f>
        <v>0</v>
      </c>
      <c r="I23" s="22" t="s">
        <v>68</v>
      </c>
      <c r="J23" s="16">
        <f>VLOOKUP(I23:I35,Плотность[],2,0)</f>
        <v>2.66</v>
      </c>
      <c r="L23" s="19">
        <f>F23*F23*G23*J23*0.0021</f>
        <v>0</v>
      </c>
      <c r="N23" s="19">
        <f>F23*F23*H23*J23*0.0021</f>
        <v>0</v>
      </c>
    </row>
    <row r="24" spans="2:14" ht="20.100000000000001" customHeight="1" x14ac:dyDescent="0.25">
      <c r="B24" s="58" t="s">
        <v>116</v>
      </c>
      <c r="C24" s="9" t="s">
        <v>126</v>
      </c>
      <c r="D24" s="14" t="s">
        <v>15</v>
      </c>
      <c r="E24" s="14" t="s">
        <v>15</v>
      </c>
      <c r="F24" s="22"/>
      <c r="G24" s="22"/>
      <c r="H24" s="19">
        <f>F24*0.65</f>
        <v>0</v>
      </c>
      <c r="I24" s="22" t="s">
        <v>68</v>
      </c>
      <c r="J24" s="16">
        <f>VLOOKUP(I24:I36,Плотность[],2,0)</f>
        <v>2.66</v>
      </c>
      <c r="L24" s="31">
        <f>F24*F24*G24*J24*0.00235</f>
        <v>0</v>
      </c>
      <c r="N24" s="31">
        <f>F24*F24*H24*J24*0.00235</f>
        <v>0</v>
      </c>
    </row>
    <row r="25" spans="2:14" ht="20.100000000000001" customHeight="1" x14ac:dyDescent="0.25">
      <c r="B25" s="59" t="s">
        <v>130</v>
      </c>
      <c r="C25" s="9" t="s">
        <v>49</v>
      </c>
      <c r="D25" s="14" t="s">
        <v>15</v>
      </c>
      <c r="E25" s="21"/>
      <c r="F25" s="21"/>
      <c r="G25" s="21"/>
      <c r="H25" s="19">
        <f>F25*0.7</f>
        <v>0</v>
      </c>
      <c r="I25" s="22" t="s">
        <v>68</v>
      </c>
      <c r="J25" s="16">
        <f>VLOOKUP(I25:I37,Плотность[],2,0)</f>
        <v>2.66</v>
      </c>
      <c r="L25" s="19">
        <f>E25*F25*G25*J25*0.0029</f>
        <v>0</v>
      </c>
      <c r="N25" s="19">
        <f>E25*F25*H25*J25*0.0029</f>
        <v>0</v>
      </c>
    </row>
    <row r="26" spans="2:14" ht="20.100000000000001" customHeight="1" x14ac:dyDescent="0.25">
      <c r="B26" s="58" t="s">
        <v>104</v>
      </c>
      <c r="C26" s="9" t="s">
        <v>120</v>
      </c>
      <c r="D26" s="14" t="s">
        <v>15</v>
      </c>
      <c r="E26" s="21"/>
      <c r="F26" s="21"/>
      <c r="G26" s="21"/>
      <c r="H26" s="19">
        <f>F26*0.6</f>
        <v>0</v>
      </c>
      <c r="I26" s="22" t="s">
        <v>68</v>
      </c>
      <c r="J26" s="16">
        <f>VLOOKUP(I26:I38,Плотность[],2,0)</f>
        <v>2.66</v>
      </c>
      <c r="L26" s="31">
        <f>E26*F26*G26*J26*0.0026</f>
        <v>0</v>
      </c>
      <c r="N26" s="31">
        <f>E26*F26*H26*J26*0.0026</f>
        <v>0</v>
      </c>
    </row>
    <row r="27" spans="2:14" ht="20.100000000000001" customHeight="1" x14ac:dyDescent="0.25">
      <c r="B27" s="59" t="s">
        <v>105</v>
      </c>
      <c r="C27" s="9" t="s">
        <v>44</v>
      </c>
      <c r="D27" s="14" t="s">
        <v>15</v>
      </c>
      <c r="E27" s="21"/>
      <c r="F27" s="21"/>
      <c r="G27" s="21"/>
      <c r="H27" s="19">
        <f>F27*0.7</f>
        <v>0</v>
      </c>
      <c r="I27" s="22" t="s">
        <v>68</v>
      </c>
      <c r="J27" s="16">
        <f>VLOOKUP(I27:I39,Плотность[],2,0)</f>
        <v>2.66</v>
      </c>
      <c r="L27" s="19">
        <f>E27*F27*G27*J27*0.0027</f>
        <v>0</v>
      </c>
      <c r="N27" s="19">
        <f>E27*F27*H27*J27*0.0027</f>
        <v>0</v>
      </c>
    </row>
    <row r="28" spans="2:14" ht="20.100000000000001" customHeight="1" x14ac:dyDescent="0.25">
      <c r="B28" s="58" t="s">
        <v>106</v>
      </c>
      <c r="C28" s="9" t="s">
        <v>122</v>
      </c>
      <c r="D28" s="14" t="s">
        <v>15</v>
      </c>
      <c r="E28" s="21"/>
      <c r="F28" s="21"/>
      <c r="G28" s="21"/>
      <c r="H28" s="19">
        <f>F28*0.6</f>
        <v>0</v>
      </c>
      <c r="I28" s="22" t="s">
        <v>68</v>
      </c>
      <c r="J28" s="16">
        <f>VLOOKUP(I28:I40,Плотность[],2,0)</f>
        <v>2.66</v>
      </c>
      <c r="L28" s="31">
        <f>E28*F28*G28*J28*0.003</f>
        <v>0</v>
      </c>
      <c r="N28" s="31">
        <f>E28*F28*H28*J28*0.003</f>
        <v>0</v>
      </c>
    </row>
    <row r="29" spans="2:14" ht="20.100000000000001" customHeight="1" x14ac:dyDescent="0.25">
      <c r="B29" s="59" t="s">
        <v>117</v>
      </c>
      <c r="C29" s="9" t="s">
        <v>127</v>
      </c>
      <c r="D29" s="14" t="s">
        <v>15</v>
      </c>
      <c r="E29" s="14" t="s">
        <v>15</v>
      </c>
      <c r="F29" s="21"/>
      <c r="G29" s="21"/>
      <c r="H29" s="19">
        <f>F29*0.6</f>
        <v>0</v>
      </c>
      <c r="I29" s="22" t="s">
        <v>68</v>
      </c>
      <c r="J29" s="16">
        <f>VLOOKUP(I29:I41,Плотность[],2,0)</f>
        <v>2.66</v>
      </c>
      <c r="L29" s="19">
        <f>F29*F29*G29*J29*0.0018</f>
        <v>0</v>
      </c>
      <c r="N29" s="19">
        <f>F29*F29*H29*J29*0.0018</f>
        <v>0</v>
      </c>
    </row>
    <row r="30" spans="2:14" ht="20.100000000000001" customHeight="1" x14ac:dyDescent="0.25">
      <c r="B30" s="58" t="s">
        <v>118</v>
      </c>
      <c r="C30" s="9" t="s">
        <v>129</v>
      </c>
      <c r="D30" s="14" t="s">
        <v>15</v>
      </c>
      <c r="E30" s="14" t="s">
        <v>15</v>
      </c>
      <c r="F30" s="21"/>
      <c r="G30" s="21"/>
      <c r="H30" s="19">
        <f t="shared" ref="H30:H31" si="3">F30*0.6</f>
        <v>0</v>
      </c>
      <c r="I30" s="22" t="s">
        <v>68</v>
      </c>
      <c r="J30" s="16">
        <f>VLOOKUP(I30:I42,Плотность[],2,0)</f>
        <v>2.66</v>
      </c>
      <c r="L30" s="31">
        <f>F30*F30*G30*J30*0.0023</f>
        <v>0</v>
      </c>
      <c r="N30" s="31">
        <f>F30*F30*H30*J30*0.0023</f>
        <v>0</v>
      </c>
    </row>
    <row r="31" spans="2:14" ht="20.100000000000001" customHeight="1" x14ac:dyDescent="0.25">
      <c r="B31" s="59" t="s">
        <v>119</v>
      </c>
      <c r="C31" s="9" t="s">
        <v>128</v>
      </c>
      <c r="D31" s="14" t="s">
        <v>15</v>
      </c>
      <c r="E31" s="14" t="s">
        <v>15</v>
      </c>
      <c r="F31" s="21"/>
      <c r="G31" s="21"/>
      <c r="H31" s="19">
        <f t="shared" si="3"/>
        <v>0</v>
      </c>
      <c r="I31" s="22" t="s">
        <v>68</v>
      </c>
      <c r="J31" s="16">
        <f>VLOOKUP(I31:I43,Плотность[],2,0)</f>
        <v>2.66</v>
      </c>
      <c r="L31" s="19">
        <f>F31*F31*G31*J31*0.0022</f>
        <v>0</v>
      </c>
      <c r="N31" s="19">
        <f>F31*F31*H31*J31*0.0022</f>
        <v>0</v>
      </c>
    </row>
    <row r="32" spans="2:14" x14ac:dyDescent="0.25">
      <c r="B32" s="32"/>
    </row>
    <row r="33" spans="2:2" x14ac:dyDescent="0.25">
      <c r="B33" s="32"/>
    </row>
  </sheetData>
  <sheetProtection sheet="1" objects="1" scenarios="1"/>
  <dataConsolidate/>
  <pageMargins left="0.7" right="0.7" top="0.75" bottom="0.75" header="0.3" footer="0.3"/>
  <pageSetup paperSize="9" orientation="portrait" verticalDpi="1200" r:id="rId1"/>
  <ignoredErrors>
    <ignoredError sqref="H25:H2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Плотность!$B$5:$B$109</xm:f>
          </x14:formula1>
          <xm:sqref>I3:I20 I22:I31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A89-BFA9-412E-8934-E948F5A41849}">
  <sheetPr>
    <tabColor theme="4" tint="0.59999389629810485"/>
  </sheetPr>
  <dimension ref="B2:J50"/>
  <sheetViews>
    <sheetView workbookViewId="0">
      <selection activeCell="C4" sqref="B4:C4"/>
    </sheetView>
  </sheetViews>
  <sheetFormatPr defaultRowHeight="15" x14ac:dyDescent="0.25"/>
  <cols>
    <col min="2" max="2" width="12" customWidth="1"/>
    <col min="3" max="3" width="14.85546875" customWidth="1"/>
    <col min="4" max="10" width="11.28515625" customWidth="1"/>
  </cols>
  <sheetData>
    <row r="2" spans="2:10" ht="18.75" x14ac:dyDescent="0.3">
      <c r="B2" s="99" t="s">
        <v>146</v>
      </c>
      <c r="C2" s="100"/>
      <c r="D2" s="100"/>
      <c r="E2" s="100"/>
      <c r="F2" s="100"/>
      <c r="G2" s="100"/>
      <c r="H2" s="100"/>
      <c r="I2" s="100"/>
      <c r="J2" s="100"/>
    </row>
    <row r="4" spans="2:10" ht="15.75" x14ac:dyDescent="0.25">
      <c r="B4" s="116" t="s">
        <v>145</v>
      </c>
      <c r="C4" s="117" t="s">
        <v>144</v>
      </c>
      <c r="D4" s="66"/>
      <c r="E4" s="66"/>
      <c r="F4" s="66"/>
      <c r="G4" s="66"/>
      <c r="H4" s="66"/>
      <c r="I4" s="66"/>
      <c r="J4" s="66"/>
    </row>
    <row r="5" spans="2:10" ht="15.75" x14ac:dyDescent="0.25">
      <c r="B5" s="70">
        <v>1</v>
      </c>
      <c r="C5" s="64">
        <v>4.0000000000000001E-3</v>
      </c>
      <c r="D5" s="67"/>
      <c r="E5" s="67"/>
      <c r="F5" s="67"/>
      <c r="G5" s="95"/>
      <c r="H5" s="68"/>
      <c r="I5" s="96"/>
      <c r="J5" s="68"/>
    </row>
    <row r="6" spans="2:10" ht="15.75" x14ac:dyDescent="0.25">
      <c r="B6" s="70">
        <v>1.1000000000000001</v>
      </c>
      <c r="C6" s="64">
        <v>5.0000000000000001E-3</v>
      </c>
      <c r="D6" s="67"/>
      <c r="E6" s="67"/>
      <c r="F6" s="67"/>
      <c r="G6" s="95"/>
      <c r="H6" s="67"/>
      <c r="I6" s="96"/>
      <c r="J6" s="68"/>
    </row>
    <row r="7" spans="2:10" ht="15.75" x14ac:dyDescent="0.25">
      <c r="B7" s="70">
        <v>1.2</v>
      </c>
      <c r="C7" s="64">
        <v>7.0000000000000001E-3</v>
      </c>
      <c r="D7" s="67"/>
      <c r="E7" s="67"/>
      <c r="F7" s="67"/>
      <c r="G7" s="95"/>
      <c r="H7" s="67"/>
      <c r="I7" s="96"/>
      <c r="J7" s="68"/>
    </row>
    <row r="8" spans="2:10" ht="15.75" x14ac:dyDescent="0.25">
      <c r="B8" s="70">
        <v>1.3</v>
      </c>
      <c r="C8" s="64">
        <v>8.0000000000000002E-3</v>
      </c>
      <c r="D8" s="67"/>
      <c r="E8" s="67"/>
      <c r="F8" s="68"/>
      <c r="G8" s="95"/>
      <c r="H8" s="67"/>
      <c r="I8" s="96"/>
      <c r="J8" s="68"/>
    </row>
    <row r="9" spans="2:10" ht="15.75" x14ac:dyDescent="0.25">
      <c r="B9" s="70">
        <v>1.4</v>
      </c>
      <c r="C9" s="65">
        <v>0.01</v>
      </c>
      <c r="D9" s="68"/>
      <c r="E9" s="67"/>
      <c r="F9" s="68"/>
      <c r="G9" s="95"/>
      <c r="H9" s="67"/>
      <c r="I9" s="96"/>
      <c r="J9" s="68"/>
    </row>
    <row r="10" spans="2:10" ht="15.75" x14ac:dyDescent="0.25">
      <c r="B10" s="70">
        <v>1.5</v>
      </c>
      <c r="C10" s="64">
        <v>1.2999999999999999E-2</v>
      </c>
      <c r="D10" s="67"/>
      <c r="E10" s="97"/>
      <c r="F10" s="67"/>
      <c r="G10" s="95"/>
      <c r="H10" s="68"/>
      <c r="I10" s="96"/>
      <c r="J10" s="68"/>
    </row>
    <row r="11" spans="2:10" ht="15.75" x14ac:dyDescent="0.25">
      <c r="B11" s="70">
        <v>1.6</v>
      </c>
      <c r="C11" s="64">
        <v>1.6E-2</v>
      </c>
      <c r="D11" s="67"/>
      <c r="E11" s="67"/>
      <c r="F11" s="68"/>
      <c r="G11" s="95"/>
      <c r="H11" s="67"/>
      <c r="I11" s="96"/>
      <c r="J11" s="68"/>
    </row>
    <row r="12" spans="2:10" ht="15.75" x14ac:dyDescent="0.25">
      <c r="B12" s="70">
        <v>1.7</v>
      </c>
      <c r="C12" s="64">
        <v>1.7999999999999999E-2</v>
      </c>
      <c r="D12" s="67"/>
      <c r="E12" s="67"/>
      <c r="F12" s="67"/>
      <c r="G12" s="95"/>
      <c r="H12" s="68"/>
      <c r="I12" s="96"/>
      <c r="J12" s="68"/>
    </row>
    <row r="13" spans="2:10" ht="15.75" x14ac:dyDescent="0.25">
      <c r="B13" s="70">
        <v>1.8</v>
      </c>
      <c r="C13" s="64">
        <v>2.1999999999999999E-2</v>
      </c>
      <c r="D13" s="67"/>
      <c r="E13" s="67"/>
      <c r="F13" s="67"/>
      <c r="G13" s="95"/>
      <c r="H13" s="68"/>
      <c r="I13" s="96"/>
      <c r="J13" s="68"/>
    </row>
    <row r="14" spans="2:10" ht="15.75" x14ac:dyDescent="0.25">
      <c r="B14" s="70">
        <v>1.9</v>
      </c>
      <c r="C14" s="64">
        <v>2.5000000000000001E-2</v>
      </c>
      <c r="D14" s="67"/>
      <c r="E14" s="67"/>
      <c r="F14" s="67"/>
      <c r="G14" s="95"/>
      <c r="H14" s="68"/>
      <c r="I14" s="96"/>
      <c r="J14" s="68"/>
    </row>
    <row r="15" spans="2:10" ht="15.75" x14ac:dyDescent="0.25">
      <c r="B15" s="70">
        <v>2</v>
      </c>
      <c r="C15" s="64">
        <v>2.9000000000000001E-2</v>
      </c>
      <c r="D15" s="67"/>
      <c r="E15" s="67"/>
      <c r="F15" s="67"/>
      <c r="G15" s="95"/>
      <c r="H15" s="68"/>
      <c r="I15" s="96"/>
      <c r="J15" s="68"/>
    </row>
    <row r="16" spans="2:10" ht="15.75" x14ac:dyDescent="0.25">
      <c r="B16" s="70">
        <v>2.1</v>
      </c>
      <c r="C16" s="64">
        <v>3.4000000000000002E-2</v>
      </c>
      <c r="D16" s="67"/>
      <c r="E16" s="67"/>
      <c r="F16" s="67"/>
      <c r="G16" s="95"/>
      <c r="H16" s="68"/>
      <c r="I16" s="96"/>
      <c r="J16" s="68"/>
    </row>
    <row r="17" spans="2:10" ht="15.75" x14ac:dyDescent="0.25">
      <c r="B17" s="70">
        <v>2.2000000000000002</v>
      </c>
      <c r="C17" s="64">
        <v>3.9E-2</v>
      </c>
      <c r="D17" s="67"/>
      <c r="E17" s="67"/>
      <c r="F17" s="67"/>
      <c r="G17" s="95"/>
      <c r="H17" s="68"/>
      <c r="I17" s="96"/>
      <c r="J17" s="68"/>
    </row>
    <row r="18" spans="2:10" ht="15.75" x14ac:dyDescent="0.25">
      <c r="B18" s="70">
        <v>2.2999999999999998</v>
      </c>
      <c r="C18" s="64">
        <v>4.4999999999999998E-2</v>
      </c>
      <c r="D18" s="67"/>
      <c r="E18" s="67"/>
      <c r="F18" s="67"/>
      <c r="G18" s="95"/>
      <c r="H18" s="68"/>
      <c r="I18" s="96"/>
      <c r="J18" s="68"/>
    </row>
    <row r="19" spans="2:10" ht="15.75" x14ac:dyDescent="0.25">
      <c r="B19" s="70">
        <v>2.4</v>
      </c>
      <c r="C19" s="64">
        <v>5.0999999999999997E-2</v>
      </c>
      <c r="D19" s="67"/>
      <c r="E19" s="67"/>
      <c r="F19" s="67"/>
      <c r="G19" s="95"/>
      <c r="H19" s="68"/>
      <c r="I19" s="96"/>
      <c r="J19" s="68"/>
    </row>
    <row r="20" spans="2:10" ht="15.75" x14ac:dyDescent="0.25">
      <c r="B20" s="70">
        <v>4</v>
      </c>
      <c r="C20" s="65">
        <v>0.24</v>
      </c>
      <c r="D20" s="62"/>
      <c r="E20" s="98"/>
      <c r="F20" s="98"/>
      <c r="G20" s="98"/>
      <c r="H20" s="98"/>
      <c r="I20" s="98"/>
      <c r="J20" s="98"/>
    </row>
    <row r="21" spans="2:10" ht="15.75" x14ac:dyDescent="0.25">
      <c r="B21" s="70">
        <v>4.0999999999999996</v>
      </c>
      <c r="C21" s="64">
        <v>0.25700000000000001</v>
      </c>
      <c r="D21" s="63"/>
    </row>
    <row r="22" spans="2:10" ht="15.75" x14ac:dyDescent="0.25">
      <c r="B22" s="70">
        <v>4.2</v>
      </c>
      <c r="C22" s="64">
        <v>0.27400000000000002</v>
      </c>
      <c r="D22" s="63"/>
    </row>
    <row r="23" spans="2:10" ht="15.75" x14ac:dyDescent="0.25">
      <c r="B23" s="70">
        <v>4.3</v>
      </c>
      <c r="C23" s="64">
        <v>0.29399999999999998</v>
      </c>
      <c r="D23" s="63"/>
    </row>
    <row r="24" spans="2:10" ht="15.75" x14ac:dyDescent="0.25">
      <c r="B24" s="70">
        <v>4.4000000000000004</v>
      </c>
      <c r="C24" s="64">
        <v>0.318</v>
      </c>
      <c r="D24" s="63"/>
    </row>
    <row r="25" spans="2:10" ht="15.75" x14ac:dyDescent="0.25">
      <c r="B25" s="70">
        <v>4.5</v>
      </c>
      <c r="C25" s="65">
        <v>0.34</v>
      </c>
      <c r="D25" s="62"/>
    </row>
    <row r="26" spans="2:10" ht="15.75" x14ac:dyDescent="0.25">
      <c r="B26" s="70">
        <v>4.5999999999999996</v>
      </c>
      <c r="C26" s="64">
        <v>0.35299999999999998</v>
      </c>
      <c r="D26" s="63"/>
    </row>
    <row r="27" spans="2:10" ht="15.75" x14ac:dyDescent="0.25">
      <c r="B27" s="70">
        <v>4.7</v>
      </c>
      <c r="C27" s="65">
        <v>0.38</v>
      </c>
      <c r="D27" s="62"/>
    </row>
    <row r="28" spans="2:10" ht="15.75" x14ac:dyDescent="0.25">
      <c r="B28" s="70">
        <v>4.8</v>
      </c>
      <c r="C28" s="65">
        <v>0.41</v>
      </c>
      <c r="D28" s="62"/>
    </row>
    <row r="29" spans="2:10" ht="15.75" x14ac:dyDescent="0.25">
      <c r="B29" s="70">
        <v>4.9000000000000004</v>
      </c>
      <c r="C29" s="65">
        <v>0.43</v>
      </c>
      <c r="D29" s="62"/>
    </row>
    <row r="30" spans="2:10" ht="15.75" x14ac:dyDescent="0.25">
      <c r="B30" s="70">
        <v>5</v>
      </c>
      <c r="C30" s="65">
        <v>0.46</v>
      </c>
      <c r="D30" s="62"/>
    </row>
    <row r="31" spans="2:10" ht="15.75" x14ac:dyDescent="0.25">
      <c r="B31" s="70">
        <v>5.0999999999999996</v>
      </c>
      <c r="C31" s="65">
        <v>0.49</v>
      </c>
      <c r="D31" s="62"/>
    </row>
    <row r="32" spans="2:10" ht="15.75" x14ac:dyDescent="0.25">
      <c r="B32" s="70">
        <v>5.2</v>
      </c>
      <c r="C32" s="65">
        <v>0.52</v>
      </c>
      <c r="D32" s="62"/>
    </row>
    <row r="33" spans="2:4" ht="15.75" x14ac:dyDescent="0.25">
      <c r="B33" s="70">
        <v>5.3</v>
      </c>
      <c r="C33" s="65">
        <v>0.54</v>
      </c>
      <c r="D33" s="62"/>
    </row>
    <row r="34" spans="2:4" ht="15.75" x14ac:dyDescent="0.25">
      <c r="B34" s="70">
        <v>5.4</v>
      </c>
      <c r="C34" s="65">
        <v>0.56999999999999995</v>
      </c>
      <c r="D34" s="62"/>
    </row>
    <row r="35" spans="2:4" ht="15.75" x14ac:dyDescent="0.25">
      <c r="B35" s="70">
        <v>5.5</v>
      </c>
      <c r="C35" s="65">
        <v>0.62</v>
      </c>
      <c r="D35" s="62"/>
    </row>
    <row r="36" spans="2:4" ht="15.75" x14ac:dyDescent="0.25">
      <c r="B36" s="70">
        <v>5.6</v>
      </c>
      <c r="C36" s="65">
        <v>0.66</v>
      </c>
      <c r="D36" s="62"/>
    </row>
    <row r="37" spans="2:4" ht="15.75" x14ac:dyDescent="0.25">
      <c r="B37" s="70">
        <v>5.7</v>
      </c>
      <c r="C37" s="65">
        <v>0.69</v>
      </c>
      <c r="D37" s="62"/>
    </row>
    <row r="38" spans="2:4" ht="15.75" x14ac:dyDescent="0.25">
      <c r="B38" s="70">
        <v>5.8</v>
      </c>
      <c r="C38" s="65">
        <v>0.72</v>
      </c>
      <c r="D38" s="62"/>
    </row>
    <row r="39" spans="2:4" ht="15.75" x14ac:dyDescent="0.25">
      <c r="B39" s="70">
        <v>5.9</v>
      </c>
      <c r="C39" s="65">
        <v>0.74</v>
      </c>
      <c r="D39" s="62"/>
    </row>
    <row r="40" spans="2:4" ht="15.75" x14ac:dyDescent="0.25">
      <c r="B40" s="70">
        <v>6</v>
      </c>
      <c r="C40" s="65">
        <v>0.8</v>
      </c>
      <c r="D40" s="62"/>
    </row>
    <row r="41" spans="2:4" ht="15.75" x14ac:dyDescent="0.25">
      <c r="B41" s="70">
        <v>6.1</v>
      </c>
      <c r="C41" s="65">
        <v>0.84</v>
      </c>
      <c r="D41" s="62"/>
    </row>
    <row r="42" spans="2:4" ht="15.75" x14ac:dyDescent="0.25">
      <c r="B42" s="70">
        <v>6.2</v>
      </c>
      <c r="C42" s="65">
        <v>0.88</v>
      </c>
      <c r="D42" s="62"/>
    </row>
    <row r="43" spans="2:4" ht="15.75" x14ac:dyDescent="0.25">
      <c r="B43" s="70">
        <v>6.3</v>
      </c>
      <c r="C43" s="65">
        <v>0.9</v>
      </c>
      <c r="D43" s="62"/>
    </row>
    <row r="44" spans="2:4" ht="15.75" x14ac:dyDescent="0.25">
      <c r="B44" s="70">
        <v>6.4</v>
      </c>
      <c r="C44" s="65">
        <v>0.96</v>
      </c>
      <c r="D44" s="62"/>
    </row>
    <row r="45" spans="2:4" ht="15.75" x14ac:dyDescent="0.25">
      <c r="B45" s="70">
        <v>6.5</v>
      </c>
      <c r="C45" s="65">
        <v>1.01</v>
      </c>
      <c r="D45" s="62"/>
    </row>
    <row r="46" spans="2:4" ht="15.75" x14ac:dyDescent="0.25">
      <c r="B46" s="70">
        <v>6.6</v>
      </c>
      <c r="C46" s="65">
        <v>1.05</v>
      </c>
      <c r="D46" s="62"/>
    </row>
    <row r="47" spans="2:4" ht="15.75" x14ac:dyDescent="0.25">
      <c r="B47" s="70">
        <v>6.7</v>
      </c>
      <c r="C47" s="65">
        <v>1.08</v>
      </c>
      <c r="D47" s="62"/>
    </row>
    <row r="48" spans="2:4" ht="15.75" x14ac:dyDescent="0.25">
      <c r="B48" s="70">
        <v>6.8</v>
      </c>
      <c r="C48" s="65">
        <v>1.1499999999999999</v>
      </c>
      <c r="D48" s="62"/>
    </row>
    <row r="49" spans="2:4" ht="15.75" x14ac:dyDescent="0.25">
      <c r="B49" s="71">
        <v>6.9</v>
      </c>
      <c r="C49" s="72">
        <v>1.18</v>
      </c>
      <c r="D49" s="62"/>
    </row>
    <row r="50" spans="2:4" ht="15.75" x14ac:dyDescent="0.25">
      <c r="B50" s="71">
        <v>7</v>
      </c>
      <c r="C50" s="72">
        <v>1.24</v>
      </c>
    </row>
  </sheetData>
  <sheetProtection sheet="1" objects="1" scenarios="1"/>
  <sortState xmlns:xlrd2="http://schemas.microsoft.com/office/spreadsheetml/2017/richdata2" ref="B5:J49">
    <sortCondition ref="B4:B49"/>
  </sortState>
  <mergeCells count="1">
    <mergeCell ref="B2:J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F51"/>
  <sheetViews>
    <sheetView zoomScale="120" zoomScaleNormal="120" workbookViewId="0">
      <pane ySplit="4" topLeftCell="A5" activePane="bottomLeft" state="frozen"/>
      <selection pane="bottomLeft" activeCell="E4" sqref="E4"/>
    </sheetView>
  </sheetViews>
  <sheetFormatPr defaultRowHeight="15" x14ac:dyDescent="0.25"/>
  <cols>
    <col min="2" max="2" width="27.85546875" customWidth="1"/>
    <col min="3" max="3" width="25.7109375" customWidth="1"/>
  </cols>
  <sheetData>
    <row r="2" spans="2:6" ht="18.75" x14ac:dyDescent="0.3">
      <c r="B2" s="99" t="s">
        <v>187</v>
      </c>
      <c r="C2" s="99"/>
    </row>
    <row r="4" spans="2:6" ht="18.75" x14ac:dyDescent="0.25">
      <c r="B4" s="114" t="s">
        <v>59</v>
      </c>
      <c r="C4" s="115" t="s">
        <v>190</v>
      </c>
    </row>
    <row r="5" spans="2:6" ht="15.75" x14ac:dyDescent="0.25">
      <c r="B5" s="93" t="s">
        <v>93</v>
      </c>
      <c r="C5" s="94">
        <v>2.62</v>
      </c>
    </row>
    <row r="6" spans="2:6" ht="15.75" x14ac:dyDescent="0.25">
      <c r="B6" s="93" t="s">
        <v>80</v>
      </c>
      <c r="C6" s="94">
        <v>2.71</v>
      </c>
      <c r="F6" s="11"/>
    </row>
    <row r="7" spans="2:6" ht="15.75" x14ac:dyDescent="0.25">
      <c r="B7" s="93" t="s">
        <v>74</v>
      </c>
      <c r="C7" s="94">
        <v>4.05</v>
      </c>
    </row>
    <row r="8" spans="2:6" ht="15.75" x14ac:dyDescent="0.25">
      <c r="B8" s="93" t="s">
        <v>98</v>
      </c>
      <c r="C8" s="94">
        <v>2.56</v>
      </c>
    </row>
    <row r="9" spans="2:6" ht="15.75" x14ac:dyDescent="0.25">
      <c r="B9" s="93" t="s">
        <v>142</v>
      </c>
      <c r="C9" s="94">
        <v>3.18</v>
      </c>
    </row>
    <row r="10" spans="2:6" ht="15.75" x14ac:dyDescent="0.25">
      <c r="B10" s="93" t="s">
        <v>81</v>
      </c>
      <c r="C10" s="94">
        <v>2.72</v>
      </c>
    </row>
    <row r="11" spans="2:6" ht="15.75" x14ac:dyDescent="0.25">
      <c r="B11" s="93" t="s">
        <v>64</v>
      </c>
      <c r="C11" s="94">
        <v>2.6</v>
      </c>
    </row>
    <row r="12" spans="2:6" ht="15.75" x14ac:dyDescent="0.25">
      <c r="B12" s="93" t="s">
        <v>72</v>
      </c>
      <c r="C12" s="94">
        <v>3.52</v>
      </c>
    </row>
    <row r="13" spans="2:6" ht="15.75" x14ac:dyDescent="0.25">
      <c r="B13" s="93" t="s">
        <v>61</v>
      </c>
      <c r="C13" s="93">
        <v>3.53</v>
      </c>
    </row>
    <row r="14" spans="2:6" ht="15.75" x14ac:dyDescent="0.25">
      <c r="B14" s="93" t="s">
        <v>94</v>
      </c>
      <c r="C14" s="94">
        <v>3.29</v>
      </c>
    </row>
    <row r="15" spans="2:6" ht="15.75" x14ac:dyDescent="0.25">
      <c r="B15" s="93" t="s">
        <v>66</v>
      </c>
      <c r="C15" s="94">
        <v>2.71</v>
      </c>
    </row>
    <row r="16" spans="2:6" ht="15.75" x14ac:dyDescent="0.25">
      <c r="B16" s="93" t="s">
        <v>68</v>
      </c>
      <c r="C16" s="94">
        <v>2.66</v>
      </c>
    </row>
    <row r="17" spans="2:6" ht="15.75" x14ac:dyDescent="0.25">
      <c r="B17" s="93" t="s">
        <v>84</v>
      </c>
      <c r="C17" s="94">
        <v>3.62</v>
      </c>
    </row>
    <row r="18" spans="2:6" ht="15.75" x14ac:dyDescent="0.25">
      <c r="B18" s="93" t="s">
        <v>77</v>
      </c>
      <c r="C18" s="94">
        <v>2.68</v>
      </c>
    </row>
    <row r="19" spans="2:6" ht="15.75" x14ac:dyDescent="0.25">
      <c r="B19" s="93" t="s">
        <v>63</v>
      </c>
      <c r="C19" s="93">
        <v>2.61</v>
      </c>
    </row>
    <row r="20" spans="2:6" ht="15.75" x14ac:dyDescent="0.25">
      <c r="B20" s="93" t="s">
        <v>96</v>
      </c>
      <c r="C20" s="94">
        <v>2.7</v>
      </c>
    </row>
    <row r="21" spans="2:6" ht="15.75" x14ac:dyDescent="0.25">
      <c r="B21" s="93" t="s">
        <v>76</v>
      </c>
      <c r="C21" s="94">
        <v>3.95</v>
      </c>
    </row>
    <row r="22" spans="2:6" ht="15.75" x14ac:dyDescent="0.25">
      <c r="B22" s="93" t="s">
        <v>140</v>
      </c>
      <c r="C22" s="94">
        <v>2.82</v>
      </c>
    </row>
    <row r="23" spans="2:6" ht="15.75" x14ac:dyDescent="0.25">
      <c r="B23" s="93" t="s">
        <v>62</v>
      </c>
      <c r="C23" s="94">
        <v>2.6</v>
      </c>
    </row>
    <row r="24" spans="2:6" ht="15.75" x14ac:dyDescent="0.25">
      <c r="B24" s="93" t="s">
        <v>89</v>
      </c>
      <c r="C24" s="94">
        <v>2.12</v>
      </c>
    </row>
    <row r="25" spans="2:6" ht="15.75" x14ac:dyDescent="0.25">
      <c r="B25" s="93" t="s">
        <v>82</v>
      </c>
      <c r="C25" s="94">
        <v>2.87</v>
      </c>
    </row>
    <row r="26" spans="2:6" ht="15.75" x14ac:dyDescent="0.25">
      <c r="B26" s="93" t="s">
        <v>88</v>
      </c>
      <c r="C26" s="94">
        <v>2.75</v>
      </c>
    </row>
    <row r="27" spans="2:6" ht="15.75" x14ac:dyDescent="0.25">
      <c r="B27" s="93" t="s">
        <v>73</v>
      </c>
      <c r="C27" s="94">
        <v>3.78</v>
      </c>
    </row>
    <row r="28" spans="2:6" ht="15.75" x14ac:dyDescent="0.25">
      <c r="B28" s="93" t="s">
        <v>75</v>
      </c>
      <c r="C28" s="94">
        <v>3.92</v>
      </c>
    </row>
    <row r="29" spans="2:6" ht="15.75" x14ac:dyDescent="0.25">
      <c r="B29" s="93" t="s">
        <v>65</v>
      </c>
      <c r="C29" s="93">
        <v>2.71</v>
      </c>
    </row>
    <row r="30" spans="2:6" ht="15.75" x14ac:dyDescent="0.25">
      <c r="B30" s="93" t="s">
        <v>91</v>
      </c>
      <c r="C30" s="94">
        <v>2.59</v>
      </c>
      <c r="F30" s="26"/>
    </row>
    <row r="31" spans="2:6" ht="15.75" x14ac:dyDescent="0.25">
      <c r="B31" s="93" t="s">
        <v>90</v>
      </c>
      <c r="C31" s="94">
        <v>2.88</v>
      </c>
    </row>
    <row r="32" spans="2:6" ht="15.75" x14ac:dyDescent="0.25">
      <c r="B32" s="93" t="s">
        <v>71</v>
      </c>
      <c r="C32" s="94">
        <v>3.84</v>
      </c>
    </row>
    <row r="33" spans="2:3" ht="15.75" x14ac:dyDescent="0.25">
      <c r="B33" s="93" t="s">
        <v>87</v>
      </c>
      <c r="C33" s="94">
        <v>3.55</v>
      </c>
    </row>
    <row r="34" spans="2:3" ht="15.75" x14ac:dyDescent="0.25">
      <c r="B34" s="93" t="s">
        <v>67</v>
      </c>
      <c r="C34" s="94">
        <v>4</v>
      </c>
    </row>
    <row r="35" spans="2:3" ht="15.75" x14ac:dyDescent="0.25">
      <c r="B35" s="93" t="s">
        <v>69</v>
      </c>
      <c r="C35" s="94">
        <v>3.24</v>
      </c>
    </row>
    <row r="36" spans="2:3" ht="15.75" x14ac:dyDescent="0.25">
      <c r="B36" s="93" t="s">
        <v>138</v>
      </c>
      <c r="C36" s="94">
        <v>3</v>
      </c>
    </row>
    <row r="37" spans="2:3" ht="15.75" x14ac:dyDescent="0.25">
      <c r="B37" s="93" t="s">
        <v>143</v>
      </c>
      <c r="C37" s="94">
        <v>3.52</v>
      </c>
    </row>
    <row r="38" spans="2:3" ht="15.75" x14ac:dyDescent="0.25">
      <c r="B38" s="93" t="s">
        <v>60</v>
      </c>
      <c r="C38" s="94">
        <v>3.3</v>
      </c>
    </row>
    <row r="39" spans="2:3" ht="15.75" x14ac:dyDescent="0.25">
      <c r="B39" s="93" t="s">
        <v>85</v>
      </c>
      <c r="C39" s="94">
        <v>2.68</v>
      </c>
    </row>
    <row r="40" spans="2:3" ht="15.75" x14ac:dyDescent="0.25">
      <c r="B40" s="93" t="s">
        <v>136</v>
      </c>
      <c r="C40" s="94">
        <v>3.53</v>
      </c>
    </row>
    <row r="41" spans="2:3" ht="15.75" x14ac:dyDescent="0.25">
      <c r="B41" s="93" t="s">
        <v>92</v>
      </c>
      <c r="C41" s="94">
        <v>3.06</v>
      </c>
    </row>
    <row r="42" spans="2:3" ht="15.75" x14ac:dyDescent="0.25">
      <c r="B42" s="93" t="s">
        <v>137</v>
      </c>
      <c r="C42" s="94">
        <v>5.8</v>
      </c>
    </row>
    <row r="43" spans="2:3" ht="15.75" x14ac:dyDescent="0.25">
      <c r="B43" s="93" t="s">
        <v>97</v>
      </c>
      <c r="C43" s="94">
        <v>3.18</v>
      </c>
    </row>
    <row r="44" spans="2:3" ht="15.75" x14ac:dyDescent="0.25">
      <c r="B44" s="93" t="s">
        <v>78</v>
      </c>
      <c r="C44" s="94">
        <v>2.6</v>
      </c>
    </row>
    <row r="45" spans="2:3" ht="15.75" x14ac:dyDescent="0.25">
      <c r="B45" s="93" t="s">
        <v>79</v>
      </c>
      <c r="C45" s="94">
        <v>3.34</v>
      </c>
    </row>
    <row r="46" spans="2:3" ht="15.75" x14ac:dyDescent="0.25">
      <c r="B46" s="93" t="s">
        <v>95</v>
      </c>
      <c r="C46" s="94">
        <v>3.61</v>
      </c>
    </row>
    <row r="47" spans="2:3" ht="15.75" x14ac:dyDescent="0.25">
      <c r="B47" s="93" t="s">
        <v>83</v>
      </c>
      <c r="C47" s="94">
        <v>3.28</v>
      </c>
    </row>
    <row r="48" spans="2:3" ht="15.75" x14ac:dyDescent="0.25">
      <c r="B48" s="93" t="s">
        <v>139</v>
      </c>
      <c r="C48" s="94">
        <v>2.68</v>
      </c>
    </row>
    <row r="49" spans="2:3" ht="15.75" x14ac:dyDescent="0.25">
      <c r="B49" s="93" t="s">
        <v>156</v>
      </c>
      <c r="C49" s="94">
        <v>3.61</v>
      </c>
    </row>
    <row r="50" spans="2:3" ht="15.75" x14ac:dyDescent="0.25">
      <c r="B50" s="93" t="s">
        <v>70</v>
      </c>
      <c r="C50" s="94">
        <v>1.08</v>
      </c>
    </row>
    <row r="51" spans="2:3" ht="15.75" x14ac:dyDescent="0.25">
      <c r="B51" s="93" t="s">
        <v>86</v>
      </c>
      <c r="C51" s="94">
        <v>2.75</v>
      </c>
    </row>
  </sheetData>
  <sheetProtection sheet="1" objects="1" scenarios="1"/>
  <sortState xmlns:xlrd2="http://schemas.microsoft.com/office/spreadsheetml/2017/richdata2" ref="B5:C43">
    <sortCondition ref="B5"/>
  </sortState>
  <mergeCells count="1">
    <mergeCell ref="B2:C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C27F-4C17-4BBC-A79A-49C8DFDEFC09}">
  <sheetPr>
    <tabColor theme="5" tint="0.59999389629810485"/>
  </sheetPr>
  <dimension ref="B2:K61"/>
  <sheetViews>
    <sheetView workbookViewId="0">
      <pane ySplit="4" topLeftCell="A5" activePane="bottomLeft" state="frozen"/>
      <selection pane="bottomLeft" activeCell="K5" sqref="K5"/>
    </sheetView>
  </sheetViews>
  <sheetFormatPr defaultRowHeight="15" x14ac:dyDescent="0.25"/>
  <cols>
    <col min="2" max="2" width="28.85546875" customWidth="1"/>
    <col min="3" max="3" width="26.42578125" customWidth="1"/>
    <col min="4" max="4" width="21.42578125" customWidth="1"/>
    <col min="5" max="5" width="18.5703125" customWidth="1"/>
    <col min="6" max="6" width="19.5703125" customWidth="1"/>
    <col min="7" max="7" width="20.140625" customWidth="1"/>
  </cols>
  <sheetData>
    <row r="2" spans="2:11" ht="18.75" x14ac:dyDescent="0.3">
      <c r="B2" s="99" t="s">
        <v>188</v>
      </c>
      <c r="C2" s="101"/>
      <c r="D2" s="101"/>
      <c r="E2" s="101"/>
      <c r="F2" s="101"/>
      <c r="G2" s="101"/>
    </row>
    <row r="4" spans="2:11" ht="44.25" customHeight="1" x14ac:dyDescent="0.25">
      <c r="B4" s="88" t="s">
        <v>59</v>
      </c>
      <c r="C4" s="89" t="s">
        <v>189</v>
      </c>
      <c r="D4" s="90" t="s">
        <v>183</v>
      </c>
      <c r="E4" s="90" t="s">
        <v>184</v>
      </c>
      <c r="F4" s="90" t="s">
        <v>186</v>
      </c>
      <c r="G4" s="91" t="s">
        <v>185</v>
      </c>
    </row>
    <row r="5" spans="2:11" ht="15.75" x14ac:dyDescent="0.25">
      <c r="B5" s="87" t="s">
        <v>74</v>
      </c>
      <c r="C5" s="107">
        <v>1.1499999999999999</v>
      </c>
      <c r="D5" s="108">
        <v>1</v>
      </c>
      <c r="E5" s="109">
        <f>VLOOKUP(D5,Расчет_массы_кругБрил[],2,0)</f>
        <v>4.0000000000000001E-3</v>
      </c>
      <c r="F5" s="111"/>
      <c r="G5" s="112">
        <f>Таблица4[[#This Row],[Коэффициент, ср.]]*Таблица4[[#This Row],[Масса брил.]]*Таблица4[[#This Row],[Колличество]]</f>
        <v>0</v>
      </c>
      <c r="K5" s="69"/>
    </row>
    <row r="6" spans="2:11" ht="15.75" x14ac:dyDescent="0.25">
      <c r="B6" s="87" t="s">
        <v>177</v>
      </c>
      <c r="C6" s="107">
        <v>0.89</v>
      </c>
      <c r="D6" s="108">
        <v>1</v>
      </c>
      <c r="E6" s="109">
        <f>VLOOKUP(D6,Расчет_массы_кругБрил[],2,0)</f>
        <v>4.0000000000000001E-3</v>
      </c>
      <c r="F6" s="112"/>
      <c r="G6" s="112">
        <f>Таблица4[[#This Row],[Коэффициент, ср.]]*Таблица4[[#This Row],[Масса брил.]]*Таблица4[[#This Row],[Колличество]]</f>
        <v>0</v>
      </c>
    </row>
    <row r="7" spans="2:11" ht="15.75" x14ac:dyDescent="0.25">
      <c r="B7" s="87" t="s">
        <v>175</v>
      </c>
      <c r="C7" s="107">
        <v>0.91</v>
      </c>
      <c r="D7" s="108">
        <v>1</v>
      </c>
      <c r="E7" s="109">
        <f>VLOOKUP(D7,Расчет_массы_кругБрил[],2,0)</f>
        <v>4.0000000000000001E-3</v>
      </c>
      <c r="F7" s="112"/>
      <c r="G7" s="112">
        <f>Таблица4[[#This Row],[Коэффициент, ср.]]*Таблица4[[#This Row],[Масса брил.]]*Таблица4[[#This Row],[Колличество]]</f>
        <v>0</v>
      </c>
    </row>
    <row r="8" spans="2:11" ht="15.75" x14ac:dyDescent="0.25">
      <c r="B8" s="87" t="s">
        <v>169</v>
      </c>
      <c r="C8" s="107">
        <v>1.04</v>
      </c>
      <c r="D8" s="108">
        <v>1</v>
      </c>
      <c r="E8" s="109">
        <f>VLOOKUP(D8,Расчет_массы_кругБрил[],2,0)</f>
        <v>4.0000000000000001E-3</v>
      </c>
      <c r="F8" s="112"/>
      <c r="G8" s="112">
        <f>Таблица4[[#This Row],[Коэффициент, ср.]]*Таблица4[[#This Row],[Масса брил.]]*Таблица4[[#This Row],[Колличество]]</f>
        <v>0</v>
      </c>
    </row>
    <row r="9" spans="2:11" ht="15.75" x14ac:dyDescent="0.25">
      <c r="B9" s="87" t="s">
        <v>180</v>
      </c>
      <c r="C9" s="107">
        <v>0.78</v>
      </c>
      <c r="D9" s="108">
        <v>1</v>
      </c>
      <c r="E9" s="109">
        <f>VLOOKUP(D9,Расчет_массы_кругБрил[],2,0)</f>
        <v>4.0000000000000001E-3</v>
      </c>
      <c r="F9" s="112"/>
      <c r="G9" s="112">
        <f>Таблица4[[#This Row],[Коэффициент, ср.]]*Таблица4[[#This Row],[Масса брил.]]*Таблица4[[#This Row],[Колличество]]</f>
        <v>0</v>
      </c>
    </row>
    <row r="10" spans="2:11" ht="15.75" x14ac:dyDescent="0.25">
      <c r="B10" s="87" t="s">
        <v>168</v>
      </c>
      <c r="C10" s="107">
        <v>1.04</v>
      </c>
      <c r="D10" s="108">
        <v>1</v>
      </c>
      <c r="E10" s="109">
        <f>VLOOKUP(D10,Расчет_массы_кругБрил[],2,0)</f>
        <v>4.0000000000000001E-3</v>
      </c>
      <c r="F10" s="112"/>
      <c r="G10" s="112">
        <f>Таблица4[[#This Row],[Коэффициент, ср.]]*Таблица4[[#This Row],[Масса брил.]]*Таблица4[[#This Row],[Колличество]]</f>
        <v>0</v>
      </c>
    </row>
    <row r="11" spans="2:11" ht="15.75" x14ac:dyDescent="0.25">
      <c r="B11" s="87" t="s">
        <v>178</v>
      </c>
      <c r="C11" s="107">
        <v>0.85</v>
      </c>
      <c r="D11" s="108">
        <v>1</v>
      </c>
      <c r="E11" s="109">
        <f>VLOOKUP(D11,Расчет_массы_кругБрил[],2,0)</f>
        <v>4.0000000000000001E-3</v>
      </c>
      <c r="F11" s="112"/>
      <c r="G11" s="112">
        <f>Таблица4[[#This Row],[Коэффициент, ср.]]*Таблица4[[#This Row],[Масса брил.]]*Таблица4[[#This Row],[Колличество]]</f>
        <v>0</v>
      </c>
    </row>
    <row r="12" spans="2:11" ht="15.75" x14ac:dyDescent="0.25">
      <c r="B12" s="87" t="s">
        <v>166</v>
      </c>
      <c r="C12" s="107">
        <v>1.0900000000000001</v>
      </c>
      <c r="D12" s="108">
        <v>1</v>
      </c>
      <c r="E12" s="109">
        <f>VLOOKUP(D12,Расчет_массы_кругБрил[],2,0)</f>
        <v>4.0000000000000001E-3</v>
      </c>
      <c r="F12" s="112"/>
      <c r="G12" s="112">
        <f>Таблица4[[#This Row],[Коэффициент, ср.]]*Таблица4[[#This Row],[Масса брил.]]*Таблица4[[#This Row],[Колличество]]</f>
        <v>0</v>
      </c>
    </row>
    <row r="13" spans="2:11" ht="15.75" x14ac:dyDescent="0.25">
      <c r="B13" s="87" t="s">
        <v>172</v>
      </c>
      <c r="C13" s="107">
        <v>0.98</v>
      </c>
      <c r="D13" s="108">
        <v>1</v>
      </c>
      <c r="E13" s="109">
        <f>VLOOKUP(D13,Расчет_массы_кругБрил[],2,0)</f>
        <v>4.0000000000000001E-3</v>
      </c>
      <c r="F13" s="112"/>
      <c r="G13" s="112">
        <f>Таблица4[[#This Row],[Коэффициент, ср.]]*Таблица4[[#This Row],[Масса брил.]]*Таблица4[[#This Row],[Колличество]]</f>
        <v>0</v>
      </c>
    </row>
    <row r="14" spans="2:11" ht="15.75" x14ac:dyDescent="0.25">
      <c r="B14" s="87" t="s">
        <v>162</v>
      </c>
      <c r="C14" s="108">
        <v>1.3</v>
      </c>
      <c r="D14" s="108">
        <v>1</v>
      </c>
      <c r="E14" s="109">
        <f>VLOOKUP(D14,Расчет_массы_кругБрил[],2,0)</f>
        <v>4.0000000000000001E-3</v>
      </c>
      <c r="F14" s="112"/>
      <c r="G14" s="112">
        <f>Таблица4[[#This Row],[Коэффициент, ср.]]*Таблица4[[#This Row],[Масса брил.]]*Таблица4[[#This Row],[Колличество]]</f>
        <v>0</v>
      </c>
    </row>
    <row r="15" spans="2:11" ht="15.75" x14ac:dyDescent="0.25">
      <c r="B15" s="87" t="s">
        <v>157</v>
      </c>
      <c r="C15" s="107">
        <v>1.96</v>
      </c>
      <c r="D15" s="108">
        <v>1</v>
      </c>
      <c r="E15" s="109">
        <f>VLOOKUP(D15,Расчет_массы_кругБрил[],2,0)</f>
        <v>4.0000000000000001E-3</v>
      </c>
      <c r="F15" s="112"/>
      <c r="G15" s="112">
        <f>Таблица4[[#This Row],[Коэффициент, ср.]]*Таблица4[[#This Row],[Масса брил.]]*Таблица4[[#This Row],[Колличество]]</f>
        <v>0</v>
      </c>
    </row>
    <row r="16" spans="2:11" ht="15.75" x14ac:dyDescent="0.25">
      <c r="B16" s="87" t="s">
        <v>84</v>
      </c>
      <c r="C16" s="107">
        <v>1.05</v>
      </c>
      <c r="D16" s="108">
        <v>1</v>
      </c>
      <c r="E16" s="109">
        <f>VLOOKUP(D16,Расчет_массы_кругБрил[],2,0)</f>
        <v>4.0000000000000001E-3</v>
      </c>
      <c r="F16" s="112"/>
      <c r="G16" s="112">
        <f>Таблица4[[#This Row],[Коэффициент, ср.]]*Таблица4[[#This Row],[Масса брил.]]*Таблица4[[#This Row],[Колличество]]</f>
        <v>0</v>
      </c>
    </row>
    <row r="17" spans="2:7" ht="15.75" x14ac:dyDescent="0.25">
      <c r="B17" s="87" t="s">
        <v>174</v>
      </c>
      <c r="C17" s="107">
        <v>0.93</v>
      </c>
      <c r="D17" s="108">
        <v>1</v>
      </c>
      <c r="E17" s="109">
        <f>VLOOKUP(D17,Расчет_массы_кругБрил[],2,0)</f>
        <v>4.0000000000000001E-3</v>
      </c>
      <c r="F17" s="112"/>
      <c r="G17" s="112">
        <f>Таблица4[[#This Row],[Коэффициент, ср.]]*Таблица4[[#This Row],[Масса брил.]]*Таблица4[[#This Row],[Колличество]]</f>
        <v>0</v>
      </c>
    </row>
    <row r="18" spans="2:7" ht="15.75" x14ac:dyDescent="0.25">
      <c r="B18" s="87" t="s">
        <v>165</v>
      </c>
      <c r="C18" s="107">
        <v>1.1299999999999999</v>
      </c>
      <c r="D18" s="108">
        <v>1</v>
      </c>
      <c r="E18" s="109">
        <f>VLOOKUP(D18,Расчет_массы_кругБрил[],2,0)</f>
        <v>4.0000000000000001E-3</v>
      </c>
      <c r="F18" s="112"/>
      <c r="G18" s="112">
        <f>Таблица4[[#This Row],[Коэффициент, ср.]]*Таблица4[[#This Row],[Масса брил.]]*Таблица4[[#This Row],[Колличество]]</f>
        <v>0</v>
      </c>
    </row>
    <row r="19" spans="2:7" ht="15.75" x14ac:dyDescent="0.25">
      <c r="B19" s="87" t="s">
        <v>176</v>
      </c>
      <c r="C19" s="108">
        <v>0.9</v>
      </c>
      <c r="D19" s="108">
        <v>1</v>
      </c>
      <c r="E19" s="109">
        <f>VLOOKUP(D19,Расчет_массы_кругБрил[],2,0)</f>
        <v>4.0000000000000001E-3</v>
      </c>
      <c r="F19" s="112"/>
      <c r="G19" s="112">
        <f>Таблица4[[#This Row],[Коэффициент, ср.]]*Таблица4[[#This Row],[Масса брил.]]*Таблица4[[#This Row],[Колличество]]</f>
        <v>0</v>
      </c>
    </row>
    <row r="20" spans="2:7" ht="15.75" x14ac:dyDescent="0.25">
      <c r="B20" s="87" t="s">
        <v>161</v>
      </c>
      <c r="C20" s="107">
        <v>1.32</v>
      </c>
      <c r="D20" s="108">
        <v>1</v>
      </c>
      <c r="E20" s="109">
        <f>VLOOKUP(D20,Расчет_массы_кругБрил[],2,0)</f>
        <v>4.0000000000000001E-3</v>
      </c>
      <c r="F20" s="112"/>
      <c r="G20" s="112">
        <f>Таблица4[[#This Row],[Коэффициент, ср.]]*Таблица4[[#This Row],[Масса брил.]]*Таблица4[[#This Row],[Колличество]]</f>
        <v>0</v>
      </c>
    </row>
    <row r="21" spans="2:7" ht="15.75" x14ac:dyDescent="0.25">
      <c r="B21" s="87" t="s">
        <v>171</v>
      </c>
      <c r="C21" s="107">
        <v>0.97</v>
      </c>
      <c r="D21" s="108">
        <v>1</v>
      </c>
      <c r="E21" s="109">
        <f>VLOOKUP(D21,Расчет_массы_кругБрил[],2,0)</f>
        <v>4.0000000000000001E-3</v>
      </c>
      <c r="F21" s="112"/>
      <c r="G21" s="112">
        <f>Таблица4[[#This Row],[Коэффициент, ср.]]*Таблица4[[#This Row],[Масса брил.]]*Таблица4[[#This Row],[Колличество]]</f>
        <v>0</v>
      </c>
    </row>
    <row r="22" spans="2:7" ht="15.75" x14ac:dyDescent="0.25">
      <c r="B22" s="87" t="s">
        <v>182</v>
      </c>
      <c r="C22" s="107">
        <v>0.56999999999999995</v>
      </c>
      <c r="D22" s="108">
        <v>1</v>
      </c>
      <c r="E22" s="109">
        <f>VLOOKUP(D22,Расчет_массы_кругБрил[],2,0)</f>
        <v>4.0000000000000001E-3</v>
      </c>
      <c r="F22" s="112"/>
      <c r="G22" s="112">
        <f>Таблица4[[#This Row],[Коэффициент, ср.]]*Таблица4[[#This Row],[Масса брил.]]*Таблица4[[#This Row],[Колличество]]</f>
        <v>0</v>
      </c>
    </row>
    <row r="23" spans="2:7" ht="15.75" x14ac:dyDescent="0.25">
      <c r="B23" s="87" t="s">
        <v>73</v>
      </c>
      <c r="C23" s="107">
        <v>1.1100000000000001</v>
      </c>
      <c r="D23" s="108">
        <v>1</v>
      </c>
      <c r="E23" s="109">
        <f>VLOOKUP(D23,Расчет_массы_кругБрил[],2,0)</f>
        <v>4.0000000000000001E-3</v>
      </c>
      <c r="F23" s="112"/>
      <c r="G23" s="112">
        <f>Таблица4[[#This Row],[Коэффициент, ср.]]*Таблица4[[#This Row],[Масса брил.]]*Таблица4[[#This Row],[Колличество]]</f>
        <v>0</v>
      </c>
    </row>
    <row r="24" spans="2:7" ht="15.75" x14ac:dyDescent="0.25">
      <c r="B24" s="87" t="s">
        <v>163</v>
      </c>
      <c r="C24" s="107">
        <v>1.28</v>
      </c>
      <c r="D24" s="108">
        <v>1</v>
      </c>
      <c r="E24" s="109">
        <f>VLOOKUP(D24,Расчет_массы_кругБрил[],2,0)</f>
        <v>4.0000000000000001E-3</v>
      </c>
      <c r="F24" s="112"/>
      <c r="G24" s="112">
        <f>Таблица4[[#This Row],[Коэффициент, ср.]]*Таблица4[[#This Row],[Масса брил.]]*Таблица4[[#This Row],[Колличество]]</f>
        <v>0</v>
      </c>
    </row>
    <row r="25" spans="2:7" ht="15.75" x14ac:dyDescent="0.25">
      <c r="B25" s="87" t="s">
        <v>164</v>
      </c>
      <c r="C25" s="107">
        <v>1.18</v>
      </c>
      <c r="D25" s="108">
        <v>1</v>
      </c>
      <c r="E25" s="109">
        <f>VLOOKUP(D25,Расчет_массы_кругБрил[],2,0)</f>
        <v>4.0000000000000001E-3</v>
      </c>
      <c r="F25" s="112"/>
      <c r="G25" s="112">
        <f>Таблица4[[#This Row],[Коэффициент, ср.]]*Таблица4[[#This Row],[Масса брил.]]*Таблица4[[#This Row],[Колличество]]</f>
        <v>0</v>
      </c>
    </row>
    <row r="26" spans="2:7" ht="15.75" x14ac:dyDescent="0.25">
      <c r="B26" s="87" t="s">
        <v>138</v>
      </c>
      <c r="C26" s="107">
        <v>1.06</v>
      </c>
      <c r="D26" s="108">
        <v>1</v>
      </c>
      <c r="E26" s="109">
        <f>VLOOKUP(D26,Расчет_массы_кругБрил[],2,0)</f>
        <v>4.0000000000000001E-3</v>
      </c>
      <c r="F26" s="112"/>
      <c r="G26" s="112">
        <f>Таблица4[[#This Row],[Коэффициент, ср.]]*Таблица4[[#This Row],[Масса брил.]]*Таблица4[[#This Row],[Колличество]]</f>
        <v>0</v>
      </c>
    </row>
    <row r="27" spans="2:7" ht="15.75" x14ac:dyDescent="0.25">
      <c r="B27" s="87" t="s">
        <v>181</v>
      </c>
      <c r="C27" s="107">
        <v>0.71</v>
      </c>
      <c r="D27" s="108">
        <v>1</v>
      </c>
      <c r="E27" s="109">
        <f>VLOOKUP(D27,Расчет_массы_кругБрил[],2,0)</f>
        <v>4.0000000000000001E-3</v>
      </c>
      <c r="F27" s="112"/>
      <c r="G27" s="112">
        <f>Таблица4[[#This Row],[Коэффициент, ср.]]*Таблица4[[#This Row],[Масса брил.]]*Таблица4[[#This Row],[Колличество]]</f>
        <v>0</v>
      </c>
    </row>
    <row r="28" spans="2:7" ht="15.75" x14ac:dyDescent="0.25">
      <c r="B28" s="87" t="s">
        <v>143</v>
      </c>
      <c r="C28" s="108">
        <v>1</v>
      </c>
      <c r="D28" s="108">
        <v>1</v>
      </c>
      <c r="E28" s="109">
        <f>VLOOKUP(D28,Расчет_массы_кругБрил[],2,0)</f>
        <v>4.0000000000000001E-3</v>
      </c>
      <c r="F28" s="112"/>
      <c r="G28" s="112">
        <f>Таблица4[[#This Row],[Коэффициент, ср.]]*Таблица4[[#This Row],[Масса брил.]]*Таблица4[[#This Row],[Колличество]]</f>
        <v>0</v>
      </c>
    </row>
    <row r="29" spans="2:7" ht="15.75" x14ac:dyDescent="0.25">
      <c r="B29" s="87" t="s">
        <v>60</v>
      </c>
      <c r="C29" s="107">
        <v>0.95</v>
      </c>
      <c r="D29" s="108">
        <v>1</v>
      </c>
      <c r="E29" s="109">
        <f>VLOOKUP(D29,Расчет_массы_кругБрил[],2,0)</f>
        <v>4.0000000000000001E-3</v>
      </c>
      <c r="F29" s="112"/>
      <c r="G29" s="112">
        <f>Таблица4[[#This Row],[Коэффициент, ср.]]*Таблица4[[#This Row],[Масса брил.]]*Таблица4[[#This Row],[Колличество]]</f>
        <v>0</v>
      </c>
    </row>
    <row r="30" spans="2:7" ht="15.75" x14ac:dyDescent="0.25">
      <c r="B30" s="87" t="s">
        <v>159</v>
      </c>
      <c r="C30" s="107">
        <v>1.46</v>
      </c>
      <c r="D30" s="108">
        <v>1</v>
      </c>
      <c r="E30" s="109">
        <f>VLOOKUP(D30,Расчет_массы_кругБрил[],2,0)</f>
        <v>4.0000000000000001E-3</v>
      </c>
      <c r="F30" s="112"/>
      <c r="G30" s="112">
        <f>Таблица4[[#This Row],[Коэффициент, ср.]]*Таблица4[[#This Row],[Масса брил.]]*Таблица4[[#This Row],[Колличество]]</f>
        <v>0</v>
      </c>
    </row>
    <row r="31" spans="2:7" ht="15.75" x14ac:dyDescent="0.25">
      <c r="B31" s="87" t="s">
        <v>136</v>
      </c>
      <c r="C31" s="107">
        <v>1.01</v>
      </c>
      <c r="D31" s="108">
        <v>1</v>
      </c>
      <c r="E31" s="109">
        <f>VLOOKUP(D31,Расчет_массы_кругБрил[],2,0)</f>
        <v>4.0000000000000001E-3</v>
      </c>
      <c r="F31" s="112"/>
      <c r="G31" s="112">
        <f>Таблица4[[#This Row],[Коэффициент, ср.]]*Таблица4[[#This Row],[Масса брил.]]*Таблица4[[#This Row],[Колличество]]</f>
        <v>0</v>
      </c>
    </row>
    <row r="32" spans="2:7" ht="15.75" x14ac:dyDescent="0.25">
      <c r="B32" s="87" t="s">
        <v>92</v>
      </c>
      <c r="C32" s="107">
        <v>0.87</v>
      </c>
      <c r="D32" s="108">
        <v>1</v>
      </c>
      <c r="E32" s="109">
        <f>VLOOKUP(D32,Расчет_массы_кругБрил[],2,0)</f>
        <v>4.0000000000000001E-3</v>
      </c>
      <c r="F32" s="112"/>
      <c r="G32" s="112">
        <f>Таблица4[[#This Row],[Коэффициент, ср.]]*Таблица4[[#This Row],[Масса брил.]]*Таблица4[[#This Row],[Колличество]]</f>
        <v>0</v>
      </c>
    </row>
    <row r="33" spans="2:7" ht="15.75" x14ac:dyDescent="0.25">
      <c r="B33" s="87" t="s">
        <v>179</v>
      </c>
      <c r="C33" s="107">
        <v>0.84</v>
      </c>
      <c r="D33" s="108">
        <v>1</v>
      </c>
      <c r="E33" s="109">
        <f>VLOOKUP(D33,Расчет_массы_кругБрил[],2,0)</f>
        <v>4.0000000000000001E-3</v>
      </c>
      <c r="F33" s="112"/>
      <c r="G33" s="112">
        <f>Таблица4[[#This Row],[Коэффициент, ср.]]*Таблица4[[#This Row],[Масса брил.]]*Таблица4[[#This Row],[Колличество]]</f>
        <v>0</v>
      </c>
    </row>
    <row r="34" spans="2:7" ht="15.75" x14ac:dyDescent="0.25">
      <c r="B34" s="87" t="s">
        <v>137</v>
      </c>
      <c r="C34" s="107">
        <v>1.65</v>
      </c>
      <c r="D34" s="108">
        <v>1</v>
      </c>
      <c r="E34" s="109">
        <f>VLOOKUP(D34,Расчет_массы_кругБрил[],2,0)</f>
        <v>4.0000000000000001E-3</v>
      </c>
      <c r="F34" s="112"/>
      <c r="G34" s="112">
        <f>Таблица4[[#This Row],[Коэффициент, ср.]]*Таблица4[[#This Row],[Масса брил.]]*Таблица4[[#This Row],[Колличество]]</f>
        <v>0</v>
      </c>
    </row>
    <row r="35" spans="2:7" ht="15.75" x14ac:dyDescent="0.25">
      <c r="B35" s="87" t="s">
        <v>97</v>
      </c>
      <c r="C35" s="108">
        <v>0.9</v>
      </c>
      <c r="D35" s="108">
        <v>1</v>
      </c>
      <c r="E35" s="109">
        <f>VLOOKUP(D35,Расчет_массы_кругБрил[],2,0)</f>
        <v>4.0000000000000001E-3</v>
      </c>
      <c r="F35" s="112"/>
      <c r="G35" s="112">
        <f>Таблица4[[#This Row],[Коэффициент, ср.]]*Таблица4[[#This Row],[Масса брил.]]*Таблица4[[#This Row],[Колличество]]</f>
        <v>0</v>
      </c>
    </row>
    <row r="36" spans="2:7" ht="15.75" x14ac:dyDescent="0.25">
      <c r="B36" s="87" t="s">
        <v>167</v>
      </c>
      <c r="C36" s="107">
        <v>1.06</v>
      </c>
      <c r="D36" s="108">
        <v>1</v>
      </c>
      <c r="E36" s="109">
        <f>VLOOKUP(D36,Расчет_массы_кругБрил[],2,0)</f>
        <v>4.0000000000000001E-3</v>
      </c>
      <c r="F36" s="112"/>
      <c r="G36" s="112">
        <f>Таблица4[[#This Row],[Коэффициент, ср.]]*Таблица4[[#This Row],[Масса брил.]]*Таблица4[[#This Row],[Колличество]]</f>
        <v>0</v>
      </c>
    </row>
    <row r="37" spans="2:7" ht="15.75" x14ac:dyDescent="0.25">
      <c r="B37" s="87" t="s">
        <v>173</v>
      </c>
      <c r="C37" s="107">
        <v>0.93</v>
      </c>
      <c r="D37" s="108">
        <v>1</v>
      </c>
      <c r="E37" s="109">
        <f>VLOOKUP(D37,Расчет_массы_кругБрил[],2,0)</f>
        <v>4.0000000000000001E-3</v>
      </c>
      <c r="F37" s="112"/>
      <c r="G37" s="112">
        <f>Таблица4[[#This Row],[Коэффициент, ср.]]*Таблица4[[#This Row],[Масса брил.]]*Таблица4[[#This Row],[Колличество]]</f>
        <v>0</v>
      </c>
    </row>
    <row r="38" spans="2:7" ht="15.75" x14ac:dyDescent="0.25">
      <c r="B38" s="87" t="s">
        <v>160</v>
      </c>
      <c r="C38" s="107">
        <v>1.33</v>
      </c>
      <c r="D38" s="108">
        <v>1</v>
      </c>
      <c r="E38" s="109">
        <f>VLOOKUP(D38,Расчет_массы_кругБрил[],2,0)</f>
        <v>4.0000000000000001E-3</v>
      </c>
      <c r="F38" s="112"/>
      <c r="G38" s="112">
        <f>Таблица4[[#This Row],[Коэффициент, ср.]]*Таблица4[[#This Row],[Масса брил.]]*Таблица4[[#This Row],[Колличество]]</f>
        <v>0</v>
      </c>
    </row>
    <row r="39" spans="2:7" ht="15.75" x14ac:dyDescent="0.25">
      <c r="B39" s="87" t="s">
        <v>158</v>
      </c>
      <c r="C39" s="107">
        <v>1.73</v>
      </c>
      <c r="D39" s="108">
        <v>1</v>
      </c>
      <c r="E39" s="109">
        <f>VLOOKUP(D39,Расчет_массы_кругБрил[],2,0)</f>
        <v>4.0000000000000001E-3</v>
      </c>
      <c r="F39" s="112"/>
      <c r="G39" s="112">
        <f>Таблица4[[#This Row],[Коэффициент, ср.]]*Таблица4[[#This Row],[Масса брил.]]*Таблица4[[#This Row],[Колличество]]</f>
        <v>0</v>
      </c>
    </row>
    <row r="40" spans="2:7" ht="15.75" x14ac:dyDescent="0.25">
      <c r="B40" s="87" t="s">
        <v>156</v>
      </c>
      <c r="C40" s="107">
        <v>1.03</v>
      </c>
      <c r="D40" s="108">
        <v>1</v>
      </c>
      <c r="E40" s="109">
        <f>VLOOKUP(D40,Расчет_массы_кругБрил[],2,0)</f>
        <v>4.0000000000000001E-3</v>
      </c>
      <c r="F40" s="112"/>
      <c r="G40" s="112">
        <f>Таблица4[[#This Row],[Коэффициент, ср.]]*Таблица4[[#This Row],[Масса брил.]]*Таблица4[[#This Row],[Колличество]]</f>
        <v>0</v>
      </c>
    </row>
    <row r="41" spans="2:7" ht="15.75" x14ac:dyDescent="0.25">
      <c r="B41" s="92" t="s">
        <v>170</v>
      </c>
      <c r="C41" s="110">
        <v>1.03</v>
      </c>
      <c r="D41" s="108">
        <v>1</v>
      </c>
      <c r="E41" s="109">
        <f>VLOOKUP(D41,Расчет_массы_кругБрил[],2,0)</f>
        <v>4.0000000000000001E-3</v>
      </c>
      <c r="F41" s="113"/>
      <c r="G41" s="112">
        <f>Таблица4[[#This Row],[Коэффициент, ср.]]*Таблица4[[#This Row],[Масса брил.]]*Таблица4[[#This Row],[Колличество]]</f>
        <v>0</v>
      </c>
    </row>
    <row r="42" spans="2:7" ht="15.75" x14ac:dyDescent="0.25">
      <c r="D42" s="61"/>
      <c r="E42" s="86"/>
      <c r="F42" s="86"/>
    </row>
    <row r="43" spans="2:7" ht="15.75" x14ac:dyDescent="0.25">
      <c r="D43" s="61"/>
      <c r="E43" s="86"/>
      <c r="F43" s="86"/>
    </row>
    <row r="44" spans="2:7" ht="15.75" x14ac:dyDescent="0.25">
      <c r="D44" s="61"/>
      <c r="E44" s="86"/>
      <c r="F44" s="86"/>
    </row>
    <row r="45" spans="2:7" ht="15.75" x14ac:dyDescent="0.25">
      <c r="D45" s="61"/>
      <c r="E45" s="86"/>
      <c r="F45" s="86"/>
    </row>
    <row r="46" spans="2:7" ht="15.75" x14ac:dyDescent="0.25">
      <c r="D46" s="61"/>
      <c r="E46" s="86"/>
      <c r="F46" s="86"/>
    </row>
    <row r="47" spans="2:7" ht="15.75" x14ac:dyDescent="0.25">
      <c r="D47" s="61"/>
      <c r="E47" s="86"/>
      <c r="F47" s="86"/>
    </row>
    <row r="48" spans="2:7" ht="15.75" x14ac:dyDescent="0.25">
      <c r="D48" s="61"/>
      <c r="E48" s="86"/>
      <c r="F48" s="86"/>
    </row>
    <row r="49" spans="4:6" ht="15.75" x14ac:dyDescent="0.25">
      <c r="D49" s="61"/>
      <c r="E49" s="86"/>
      <c r="F49" s="86"/>
    </row>
    <row r="50" spans="4:6" ht="15.75" x14ac:dyDescent="0.25">
      <c r="D50" s="61"/>
      <c r="E50" s="86"/>
      <c r="F50" s="86"/>
    </row>
    <row r="51" spans="4:6" ht="15.75" x14ac:dyDescent="0.25">
      <c r="D51" s="61"/>
      <c r="E51" s="86"/>
      <c r="F51" s="86"/>
    </row>
    <row r="52" spans="4:6" ht="15.75" x14ac:dyDescent="0.25">
      <c r="D52" s="61"/>
      <c r="E52" s="86"/>
      <c r="F52" s="86"/>
    </row>
    <row r="53" spans="4:6" ht="15.75" x14ac:dyDescent="0.25">
      <c r="D53" s="61"/>
      <c r="E53" s="86"/>
      <c r="F53" s="86"/>
    </row>
    <row r="54" spans="4:6" ht="15.75" x14ac:dyDescent="0.25">
      <c r="D54" s="61"/>
      <c r="E54" s="86"/>
      <c r="F54" s="86"/>
    </row>
    <row r="55" spans="4:6" ht="15.75" x14ac:dyDescent="0.25">
      <c r="D55" s="61"/>
      <c r="E55" s="86"/>
      <c r="F55" s="86"/>
    </row>
    <row r="56" spans="4:6" ht="15.75" x14ac:dyDescent="0.25">
      <c r="D56" s="61"/>
      <c r="E56" s="86"/>
      <c r="F56" s="86"/>
    </row>
    <row r="57" spans="4:6" ht="15.75" x14ac:dyDescent="0.25">
      <c r="D57" s="61"/>
      <c r="E57" s="86"/>
      <c r="F57" s="86"/>
    </row>
    <row r="58" spans="4:6" ht="15.75" x14ac:dyDescent="0.25">
      <c r="D58" s="61"/>
      <c r="E58" s="86"/>
      <c r="F58" s="86"/>
    </row>
    <row r="59" spans="4:6" ht="15.75" x14ac:dyDescent="0.25">
      <c r="D59" s="61"/>
      <c r="E59" s="86"/>
      <c r="F59" s="86"/>
    </row>
    <row r="60" spans="4:6" ht="15.75" x14ac:dyDescent="0.25">
      <c r="D60" s="61"/>
      <c r="E60" s="86"/>
      <c r="F60" s="86"/>
    </row>
    <row r="61" spans="4:6" ht="15.75" x14ac:dyDescent="0.25">
      <c r="D61" s="61"/>
      <c r="E61" s="86"/>
      <c r="F61" s="86"/>
    </row>
  </sheetData>
  <sheetProtection sheet="1" objects="1" scenarios="1"/>
  <protectedRanges>
    <protectedRange sqref="D5:D50 F5:F50" name="Изменяемые"/>
  </protectedRanges>
  <sortState xmlns:xlrd2="http://schemas.microsoft.com/office/spreadsheetml/2017/richdata2" ref="B5:C41">
    <sortCondition ref="B5:B41"/>
  </sortState>
  <mergeCells count="1">
    <mergeCell ref="B2:G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7D0218-BF6A-472C-9703-747A5FFBF5A3}">
          <x14:formula1>
            <xm:f>'Масса круг. брил. '!$B$5:$B$70</xm:f>
          </x14:formula1>
          <xm:sqref>D5:D41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Счёт ДГЦУ </vt:lpstr>
      <vt:lpstr>Расчёт Массы</vt:lpstr>
      <vt:lpstr>Масса круг. брил. </vt:lpstr>
      <vt:lpstr>Плотность</vt:lpstr>
      <vt:lpstr>РасчетКоэфф.</vt:lpstr>
      <vt:lpstr>Плотность!Название_минерала</vt:lpstr>
      <vt:lpstr>Плотность_минерала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StrikeNote</dc:creator>
  <cp:lastModifiedBy>Емельянов Игорь </cp:lastModifiedBy>
  <dcterms:created xsi:type="dcterms:W3CDTF">2017-09-22T07:51:52Z</dcterms:created>
  <dcterms:modified xsi:type="dcterms:W3CDTF">2020-10-20T08:51:50Z</dcterms:modified>
</cp:coreProperties>
</file>