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drawings/drawing2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ctrlProps/ctrlProp1.xml" ContentType="application/vnd.ms-excel.controlproperties+xml"/>
  <Override PartName="/xl/drawings/drawing3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4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noahb\Desktop\Budget VSTO\Documentation\"/>
    </mc:Choice>
  </mc:AlternateContent>
  <xr:revisionPtr revIDLastSave="0" documentId="13_ncr:1_{ECCD7079-F649-4A84-8A59-DFBB2B4D38B8}" xr6:coauthVersionLast="44" xr6:coauthVersionMax="44" xr10:uidLastSave="{00000000-0000-0000-0000-000000000000}"/>
  <workbookProtection lockStructure="1"/>
  <bookViews>
    <workbookView xWindow="-108" yWindow="-108" windowWidth="23256" windowHeight="12576" firstSheet="1" activeTab="2" xr2:uid="{00000000-000D-0000-FFFF-FFFF00000000}"/>
  </bookViews>
  <sheets>
    <sheet name="ADMINISTRATION" sheetId="19" state="hidden" r:id="rId1"/>
    <sheet name="SUMMARY" sheetId="1" r:id="rId2"/>
    <sheet name="MainForm" sheetId="30" r:id="rId3"/>
    <sheet name="GeneralConditions" sheetId="33" r:id="rId4"/>
    <sheet name="ReferPipe" sheetId="17" r:id="rId5"/>
    <sheet name="Assemblies" sheetId="31" r:id="rId6"/>
    <sheet name="CntrlAssembly" sheetId="32" r:id="rId7"/>
    <sheet name="BLACK_GAS_PIPE" sheetId="15" state="hidden" r:id="rId8"/>
    <sheet name="GALV_GAS_PIPE" sheetId="18" state="hidden" r:id="rId9"/>
    <sheet name="COPPER_WATER_PIPE" sheetId="16" state="hidden" r:id="rId10"/>
    <sheet name="SOV Worksheet (2)" sheetId="22" state="hidden" r:id="rId11"/>
    <sheet name="PRICING_SHEETS" sheetId="20" state="hidden" r:id="rId12"/>
    <sheet name="Budget" sheetId="27" r:id="rId13"/>
  </sheets>
  <definedNames>
    <definedName name="_xlnm._FilterDatabase" localSheetId="12" hidden="1">Budget!$A$10:$J$141</definedName>
    <definedName name="BIMHrs">MainForm!$B$144</definedName>
    <definedName name="BTDetAlt1">MainForm!$C$142</definedName>
    <definedName name="BTDetAlt2">MainForm!$D$142</definedName>
    <definedName name="BTDetAlt3">MainForm!$E$142</definedName>
    <definedName name="BTDetAlt4">MainForm!$F$142</definedName>
    <definedName name="BTDetHrs">MainForm!$B$142</definedName>
    <definedName name="BThrs">MainForm!$B$140</definedName>
    <definedName name="BTRate">SUMMARY!$D$44</definedName>
    <definedName name="DetHrs">MainForm!$B$137</definedName>
    <definedName name="GCBT">MainForm!$B$138</definedName>
    <definedName name="GCcost">MainForm!$B$134</definedName>
    <definedName name="GCLC">MainForm!$B$139</definedName>
    <definedName name="GP">SUMMARY!$K$64</definedName>
    <definedName name="LCDetAlt1">MainForm!$C$143</definedName>
    <definedName name="LCDetAlt2">MainForm!$D$143</definedName>
    <definedName name="LCDetAlt3">MainForm!$E$143</definedName>
    <definedName name="LCDetAlt4">MainForm!$F$143</definedName>
    <definedName name="LCDetHrs">MainForm!$B$143</definedName>
    <definedName name="LCHrs">MainForm!$B$141</definedName>
    <definedName name="LCRate">SUMMARY!$D$45</definedName>
    <definedName name="PermitCost">SUMMARY!$L$38</definedName>
    <definedName name="PermitRatio">MainForm!$B$145</definedName>
    <definedName name="_xlnm.Print_Area" localSheetId="7">BLACK_GAS_PIPE!$A$1:$H$64</definedName>
    <definedName name="_xlnm.Print_Area" localSheetId="12">Budget!$B$2:$K$141</definedName>
    <definedName name="_xlnm.Print_Area" localSheetId="9">COPPER_WATER_PIPE!$A$1:$H$62</definedName>
    <definedName name="_xlnm.Print_Area" localSheetId="8">GALV_GAS_PIPE!$A$1:$H$65</definedName>
    <definedName name="_xlnm.Print_Area" localSheetId="11">PRICING_SHEETS!$A$1:$AD$41</definedName>
    <definedName name="_xlnm.Print_Area" localSheetId="4">ReferPipe!$A$1:$H$53</definedName>
    <definedName name="_xlnm.Print_Area" localSheetId="10">'SOV Worksheet (2)'!$A$1:$L$26</definedName>
    <definedName name="_xlnm.Print_Area" localSheetId="1">SUMMARY!$A$1:$L$66</definedName>
    <definedName name="Thrs">MainForm!$B$127</definedName>
    <definedName name="TotCost">SUMMARY!$K$62</definedName>
    <definedName name="Tothrs">MainForm!$B$136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0" i="30" l="1"/>
  <c r="S20" i="30"/>
  <c r="O20" i="30"/>
  <c r="N20" i="30"/>
  <c r="F20" i="30"/>
  <c r="E20" i="30"/>
  <c r="T19" i="30"/>
  <c r="S19" i="30"/>
  <c r="O19" i="30"/>
  <c r="N19" i="30"/>
  <c r="F19" i="30"/>
  <c r="E19" i="30"/>
  <c r="T18" i="30"/>
  <c r="S18" i="30"/>
  <c r="O18" i="30"/>
  <c r="N18" i="30"/>
  <c r="F18" i="30"/>
  <c r="E18" i="30"/>
  <c r="L48" i="17" l="1"/>
  <c r="L39" i="33"/>
  <c r="C37" i="1"/>
  <c r="K39" i="33"/>
  <c r="E3" i="30" l="1"/>
  <c r="F3" i="30"/>
  <c r="Y3" i="30" s="1"/>
  <c r="N3" i="30"/>
  <c r="AA3" i="30" s="1"/>
  <c r="O3" i="30"/>
  <c r="S3" i="30"/>
  <c r="T3" i="30"/>
  <c r="W3" i="30"/>
  <c r="E4" i="30"/>
  <c r="V4" i="30" s="1"/>
  <c r="F4" i="30"/>
  <c r="Y4" i="30" s="1"/>
  <c r="N4" i="30"/>
  <c r="AA4" i="30" s="1"/>
  <c r="O4" i="30"/>
  <c r="S4" i="30"/>
  <c r="T4" i="30"/>
  <c r="W4" i="30"/>
  <c r="E5" i="30"/>
  <c r="V5" i="30" s="1"/>
  <c r="F5" i="30"/>
  <c r="Y5" i="30" s="1"/>
  <c r="N5" i="30"/>
  <c r="U5" i="30" s="1"/>
  <c r="O5" i="30"/>
  <c r="S5" i="30"/>
  <c r="T5" i="30"/>
  <c r="W5" i="30"/>
  <c r="E6" i="30"/>
  <c r="AB6" i="30" s="1"/>
  <c r="F6" i="30"/>
  <c r="Y6" i="30" s="1"/>
  <c r="N6" i="30"/>
  <c r="AA6" i="30" s="1"/>
  <c r="O6" i="30"/>
  <c r="S6" i="30"/>
  <c r="T6" i="30"/>
  <c r="U6" i="30"/>
  <c r="W6" i="30"/>
  <c r="E7" i="30"/>
  <c r="V7" i="30" s="1"/>
  <c r="F7" i="30"/>
  <c r="Y7" i="30" s="1"/>
  <c r="N7" i="30"/>
  <c r="O7" i="30"/>
  <c r="S7" i="30"/>
  <c r="T7" i="30"/>
  <c r="W7" i="30"/>
  <c r="E9" i="30"/>
  <c r="AB9" i="30" s="1"/>
  <c r="F9" i="30"/>
  <c r="Y9" i="30" s="1"/>
  <c r="N9" i="30"/>
  <c r="U9" i="30" s="1"/>
  <c r="O9" i="30"/>
  <c r="S9" i="30"/>
  <c r="T9" i="30"/>
  <c r="W9" i="30"/>
  <c r="E10" i="30"/>
  <c r="AB10" i="30" s="1"/>
  <c r="F10" i="30"/>
  <c r="Y10" i="30" s="1"/>
  <c r="N10" i="30"/>
  <c r="U10" i="30" s="1"/>
  <c r="O10" i="30"/>
  <c r="X10" i="30" s="1"/>
  <c r="S10" i="30"/>
  <c r="T10" i="30"/>
  <c r="W10" i="30"/>
  <c r="E11" i="30"/>
  <c r="AB11" i="30" s="1"/>
  <c r="F11" i="30"/>
  <c r="Y11" i="30" s="1"/>
  <c r="N11" i="30"/>
  <c r="U11" i="30" s="1"/>
  <c r="O11" i="30"/>
  <c r="S11" i="30"/>
  <c r="T11" i="30"/>
  <c r="W11" i="30"/>
  <c r="E12" i="30"/>
  <c r="F12" i="30"/>
  <c r="Y12" i="30" s="1"/>
  <c r="N12" i="30"/>
  <c r="AA12" i="30" s="1"/>
  <c r="O12" i="30"/>
  <c r="S12" i="30"/>
  <c r="T12" i="30"/>
  <c r="W12" i="30"/>
  <c r="E13" i="30"/>
  <c r="V13" i="30" s="1"/>
  <c r="F13" i="30"/>
  <c r="Y13" i="30" s="1"/>
  <c r="N13" i="30"/>
  <c r="U13" i="30" s="1"/>
  <c r="O13" i="30"/>
  <c r="S13" i="30"/>
  <c r="T13" i="30"/>
  <c r="W13" i="30"/>
  <c r="E14" i="30"/>
  <c r="V14" i="30" s="1"/>
  <c r="F14" i="30"/>
  <c r="Y14" i="30" s="1"/>
  <c r="N14" i="30"/>
  <c r="O14" i="30"/>
  <c r="S14" i="30"/>
  <c r="T14" i="30"/>
  <c r="U14" i="30"/>
  <c r="W14" i="30"/>
  <c r="AA14" i="30"/>
  <c r="E15" i="30"/>
  <c r="F15" i="30"/>
  <c r="Y15" i="30" s="1"/>
  <c r="N15" i="30"/>
  <c r="AA15" i="30" s="1"/>
  <c r="O15" i="30"/>
  <c r="S15" i="30"/>
  <c r="T15" i="30"/>
  <c r="V15" i="30"/>
  <c r="W15" i="30"/>
  <c r="AB15" i="30"/>
  <c r="E16" i="30"/>
  <c r="V16" i="30" s="1"/>
  <c r="F16" i="30"/>
  <c r="Y16" i="30" s="1"/>
  <c r="N16" i="30"/>
  <c r="O16" i="30"/>
  <c r="S16" i="30"/>
  <c r="T16" i="30"/>
  <c r="W16" i="30"/>
  <c r="E17" i="30"/>
  <c r="V17" i="30" s="1"/>
  <c r="F17" i="30"/>
  <c r="Y17" i="30" s="1"/>
  <c r="N17" i="30"/>
  <c r="U17" i="30" s="1"/>
  <c r="O17" i="30"/>
  <c r="S17" i="30"/>
  <c r="T17" i="30"/>
  <c r="W17" i="30"/>
  <c r="AB18" i="30"/>
  <c r="Y18" i="30"/>
  <c r="U18" i="30"/>
  <c r="W18" i="30"/>
  <c r="V19" i="30"/>
  <c r="Y19" i="30"/>
  <c r="AA19" i="30"/>
  <c r="U19" i="30"/>
  <c r="W19" i="30"/>
  <c r="Y20" i="30"/>
  <c r="AA20" i="30"/>
  <c r="X20" i="30"/>
  <c r="U20" i="30"/>
  <c r="W20" i="30"/>
  <c r="E21" i="30"/>
  <c r="V21" i="30" s="1"/>
  <c r="F21" i="30"/>
  <c r="Y21" i="30" s="1"/>
  <c r="N21" i="30"/>
  <c r="U21" i="30" s="1"/>
  <c r="O21" i="30"/>
  <c r="S21" i="30"/>
  <c r="T21" i="30"/>
  <c r="W21" i="30"/>
  <c r="E22" i="30"/>
  <c r="AB22" i="30" s="1"/>
  <c r="F22" i="30"/>
  <c r="Y22" i="30" s="1"/>
  <c r="N22" i="30"/>
  <c r="U22" i="30" s="1"/>
  <c r="O22" i="30"/>
  <c r="S22" i="30"/>
  <c r="T22" i="30"/>
  <c r="W22" i="30"/>
  <c r="E23" i="30"/>
  <c r="AB23" i="30" s="1"/>
  <c r="F23" i="30"/>
  <c r="Y23" i="30" s="1"/>
  <c r="N23" i="30"/>
  <c r="AA23" i="30" s="1"/>
  <c r="O23" i="30"/>
  <c r="S23" i="30"/>
  <c r="T23" i="30"/>
  <c r="W23" i="30"/>
  <c r="E24" i="30"/>
  <c r="V24" i="30" s="1"/>
  <c r="F24" i="30"/>
  <c r="Y24" i="30" s="1"/>
  <c r="N24" i="30"/>
  <c r="O24" i="30"/>
  <c r="S24" i="30"/>
  <c r="T24" i="30"/>
  <c r="W24" i="30"/>
  <c r="E25" i="30"/>
  <c r="V25" i="30" s="1"/>
  <c r="F25" i="30"/>
  <c r="Y25" i="30" s="1"/>
  <c r="N25" i="30"/>
  <c r="U25" i="30" s="1"/>
  <c r="O25" i="30"/>
  <c r="S25" i="30"/>
  <c r="T25" i="30"/>
  <c r="W25" i="30"/>
  <c r="AB25" i="30"/>
  <c r="E26" i="30"/>
  <c r="AB26" i="30" s="1"/>
  <c r="F26" i="30"/>
  <c r="Y26" i="30" s="1"/>
  <c r="N26" i="30"/>
  <c r="U26" i="30" s="1"/>
  <c r="O26" i="30"/>
  <c r="S26" i="30"/>
  <c r="T26" i="30"/>
  <c r="W26" i="30"/>
  <c r="E27" i="30"/>
  <c r="V27" i="30" s="1"/>
  <c r="F27" i="30"/>
  <c r="Y27" i="30" s="1"/>
  <c r="N27" i="30"/>
  <c r="U27" i="30" s="1"/>
  <c r="O27" i="30"/>
  <c r="S27" i="30"/>
  <c r="T27" i="30"/>
  <c r="W27" i="30"/>
  <c r="E28" i="30"/>
  <c r="F28" i="30"/>
  <c r="Y28" i="30" s="1"/>
  <c r="N28" i="30"/>
  <c r="AA28" i="30" s="1"/>
  <c r="O28" i="30"/>
  <c r="S28" i="30"/>
  <c r="T28" i="30"/>
  <c r="W28" i="30"/>
  <c r="E29" i="30"/>
  <c r="V29" i="30" s="1"/>
  <c r="F29" i="30"/>
  <c r="Y29" i="30" s="1"/>
  <c r="N29" i="30"/>
  <c r="AA29" i="30" s="1"/>
  <c r="O29" i="30"/>
  <c r="S29" i="30"/>
  <c r="T29" i="30"/>
  <c r="W29" i="30"/>
  <c r="E30" i="30"/>
  <c r="V30" i="30" s="1"/>
  <c r="F30" i="30"/>
  <c r="Y30" i="30" s="1"/>
  <c r="N30" i="30"/>
  <c r="U30" i="30" s="1"/>
  <c r="O30" i="30"/>
  <c r="S30" i="30"/>
  <c r="T30" i="30"/>
  <c r="W30" i="30"/>
  <c r="E31" i="30"/>
  <c r="AB31" i="30" s="1"/>
  <c r="F31" i="30"/>
  <c r="Y31" i="30" s="1"/>
  <c r="N31" i="30"/>
  <c r="AA31" i="30" s="1"/>
  <c r="O31" i="30"/>
  <c r="S31" i="30"/>
  <c r="T31" i="30"/>
  <c r="W31" i="30"/>
  <c r="E32" i="30"/>
  <c r="V32" i="30" s="1"/>
  <c r="F32" i="30"/>
  <c r="Y32" i="30" s="1"/>
  <c r="N32" i="30"/>
  <c r="O32" i="30"/>
  <c r="S32" i="30"/>
  <c r="T32" i="30"/>
  <c r="W32" i="30"/>
  <c r="E33" i="30"/>
  <c r="AB33" i="30" s="1"/>
  <c r="F33" i="30"/>
  <c r="Y33" i="30" s="1"/>
  <c r="N33" i="30"/>
  <c r="U33" i="30" s="1"/>
  <c r="O33" i="30"/>
  <c r="S33" i="30"/>
  <c r="T33" i="30"/>
  <c r="W33" i="30"/>
  <c r="E34" i="30"/>
  <c r="AB34" i="30" s="1"/>
  <c r="F34" i="30"/>
  <c r="Y34" i="30" s="1"/>
  <c r="N34" i="30"/>
  <c r="U34" i="30" s="1"/>
  <c r="O34" i="30"/>
  <c r="X34" i="30" s="1"/>
  <c r="S34" i="30"/>
  <c r="T34" i="30"/>
  <c r="W34" i="30"/>
  <c r="E35" i="30"/>
  <c r="V35" i="30" s="1"/>
  <c r="F35" i="30"/>
  <c r="Y35" i="30" s="1"/>
  <c r="N35" i="30"/>
  <c r="AA35" i="30" s="1"/>
  <c r="O35" i="30"/>
  <c r="S35" i="30"/>
  <c r="T35" i="30"/>
  <c r="W35" i="30"/>
  <c r="E36" i="30"/>
  <c r="F36" i="30"/>
  <c r="Y36" i="30" s="1"/>
  <c r="N36" i="30"/>
  <c r="U36" i="30" s="1"/>
  <c r="O36" i="30"/>
  <c r="X36" i="30" s="1"/>
  <c r="S36" i="30"/>
  <c r="T36" i="30"/>
  <c r="W36" i="30"/>
  <c r="E37" i="30"/>
  <c r="V37" i="30" s="1"/>
  <c r="F37" i="30"/>
  <c r="Y37" i="30" s="1"/>
  <c r="N37" i="30"/>
  <c r="U37" i="30" s="1"/>
  <c r="O37" i="30"/>
  <c r="S37" i="30"/>
  <c r="T37" i="30"/>
  <c r="W37" i="30"/>
  <c r="AA37" i="30"/>
  <c r="E38" i="30"/>
  <c r="AB38" i="30" s="1"/>
  <c r="F38" i="30"/>
  <c r="Y38" i="30" s="1"/>
  <c r="N38" i="30"/>
  <c r="AA38" i="30" s="1"/>
  <c r="O38" i="30"/>
  <c r="S38" i="30"/>
  <c r="T38" i="30"/>
  <c r="W38" i="30"/>
  <c r="E39" i="30"/>
  <c r="V39" i="30" s="1"/>
  <c r="F39" i="30"/>
  <c r="Y39" i="30" s="1"/>
  <c r="N39" i="30"/>
  <c r="AA39" i="30" s="1"/>
  <c r="O39" i="30"/>
  <c r="S39" i="30"/>
  <c r="T39" i="30"/>
  <c r="W39" i="30"/>
  <c r="AB39" i="30"/>
  <c r="E40" i="30"/>
  <c r="V40" i="30" s="1"/>
  <c r="F40" i="30"/>
  <c r="Y40" i="30" s="1"/>
  <c r="N40" i="30"/>
  <c r="O40" i="30"/>
  <c r="S40" i="30"/>
  <c r="T40" i="30"/>
  <c r="W40" i="30"/>
  <c r="E41" i="30"/>
  <c r="AB41" i="30" s="1"/>
  <c r="F41" i="30"/>
  <c r="Y41" i="30" s="1"/>
  <c r="N41" i="30"/>
  <c r="U41" i="30" s="1"/>
  <c r="O41" i="30"/>
  <c r="S41" i="30"/>
  <c r="T41" i="30"/>
  <c r="W41" i="30"/>
  <c r="E42" i="30"/>
  <c r="AB42" i="30" s="1"/>
  <c r="F42" i="30"/>
  <c r="Y42" i="30" s="1"/>
  <c r="N42" i="30"/>
  <c r="U42" i="30" s="1"/>
  <c r="O42" i="30"/>
  <c r="S42" i="30"/>
  <c r="T42" i="30"/>
  <c r="W42" i="30"/>
  <c r="E43" i="30"/>
  <c r="V43" i="30" s="1"/>
  <c r="F43" i="30"/>
  <c r="Y43" i="30" s="1"/>
  <c r="N43" i="30"/>
  <c r="AA43" i="30" s="1"/>
  <c r="O43" i="30"/>
  <c r="S43" i="30"/>
  <c r="T43" i="30"/>
  <c r="W43" i="30"/>
  <c r="E44" i="30"/>
  <c r="F44" i="30"/>
  <c r="Y44" i="30" s="1"/>
  <c r="N44" i="30"/>
  <c r="AA44" i="30" s="1"/>
  <c r="O44" i="30"/>
  <c r="S44" i="30"/>
  <c r="T44" i="30"/>
  <c r="W44" i="30"/>
  <c r="E45" i="30"/>
  <c r="V45" i="30" s="1"/>
  <c r="F45" i="30"/>
  <c r="Y45" i="30" s="1"/>
  <c r="N45" i="30"/>
  <c r="U45" i="30" s="1"/>
  <c r="O45" i="30"/>
  <c r="S45" i="30"/>
  <c r="T45" i="30"/>
  <c r="W45" i="30"/>
  <c r="AA45" i="30"/>
  <c r="E46" i="30"/>
  <c r="V46" i="30" s="1"/>
  <c r="F46" i="30"/>
  <c r="Y46" i="30" s="1"/>
  <c r="N46" i="30"/>
  <c r="U46" i="30" s="1"/>
  <c r="O46" i="30"/>
  <c r="S46" i="30"/>
  <c r="T46" i="30"/>
  <c r="W46" i="30"/>
  <c r="AB46" i="30"/>
  <c r="E47" i="30"/>
  <c r="AB47" i="30" s="1"/>
  <c r="F47" i="30"/>
  <c r="Y47" i="30" s="1"/>
  <c r="N47" i="30"/>
  <c r="AA47" i="30" s="1"/>
  <c r="O47" i="30"/>
  <c r="S47" i="30"/>
  <c r="T47" i="30"/>
  <c r="U47" i="30"/>
  <c r="W47" i="30"/>
  <c r="E48" i="30"/>
  <c r="V48" i="30" s="1"/>
  <c r="F48" i="30"/>
  <c r="Y48" i="30" s="1"/>
  <c r="N48" i="30"/>
  <c r="O48" i="30"/>
  <c r="S48" i="30"/>
  <c r="T48" i="30"/>
  <c r="W48" i="30"/>
  <c r="E49" i="30"/>
  <c r="V49" i="30" s="1"/>
  <c r="F49" i="30"/>
  <c r="Y49" i="30" s="1"/>
  <c r="N49" i="30"/>
  <c r="U49" i="30" s="1"/>
  <c r="O49" i="30"/>
  <c r="S49" i="30"/>
  <c r="T49" i="30"/>
  <c r="W49" i="30"/>
  <c r="E50" i="30"/>
  <c r="AB50" i="30" s="1"/>
  <c r="F50" i="30"/>
  <c r="Y50" i="30" s="1"/>
  <c r="N50" i="30"/>
  <c r="U50" i="30" s="1"/>
  <c r="O50" i="30"/>
  <c r="S50" i="30"/>
  <c r="T50" i="30"/>
  <c r="W50" i="30"/>
  <c r="E51" i="30"/>
  <c r="V51" i="30" s="1"/>
  <c r="F51" i="30"/>
  <c r="Y51" i="30" s="1"/>
  <c r="N51" i="30"/>
  <c r="U51" i="30" s="1"/>
  <c r="O51" i="30"/>
  <c r="S51" i="30"/>
  <c r="T51" i="30"/>
  <c r="W51" i="30"/>
  <c r="E52" i="30"/>
  <c r="V52" i="30" s="1"/>
  <c r="F52" i="30"/>
  <c r="Y52" i="30" s="1"/>
  <c r="N52" i="30"/>
  <c r="U52" i="30" s="1"/>
  <c r="O52" i="30"/>
  <c r="S52" i="30"/>
  <c r="T52" i="30"/>
  <c r="W52" i="30"/>
  <c r="E53" i="30"/>
  <c r="AB53" i="30" s="1"/>
  <c r="F53" i="30"/>
  <c r="Y53" i="30" s="1"/>
  <c r="N53" i="30"/>
  <c r="AA53" i="30" s="1"/>
  <c r="O53" i="30"/>
  <c r="S53" i="30"/>
  <c r="T53" i="30"/>
  <c r="W53" i="30"/>
  <c r="E54" i="30"/>
  <c r="V54" i="30" s="1"/>
  <c r="F54" i="30"/>
  <c r="Y54" i="30" s="1"/>
  <c r="N54" i="30"/>
  <c r="AA54" i="30" s="1"/>
  <c r="O54" i="30"/>
  <c r="S54" i="30"/>
  <c r="T54" i="30"/>
  <c r="W54" i="30"/>
  <c r="E55" i="30"/>
  <c r="V55" i="30" s="1"/>
  <c r="F55" i="30"/>
  <c r="Y55" i="30" s="1"/>
  <c r="N55" i="30"/>
  <c r="AA55" i="30" s="1"/>
  <c r="O55" i="30"/>
  <c r="S55" i="30"/>
  <c r="T55" i="30"/>
  <c r="W55" i="30"/>
  <c r="AB55" i="30"/>
  <c r="E56" i="30"/>
  <c r="V56" i="30" s="1"/>
  <c r="F56" i="30"/>
  <c r="Y56" i="30" s="1"/>
  <c r="N56" i="30"/>
  <c r="O56" i="30"/>
  <c r="S56" i="30"/>
  <c r="T56" i="30"/>
  <c r="X56" i="30" s="1"/>
  <c r="W56" i="30"/>
  <c r="E57" i="30"/>
  <c r="AB57" i="30" s="1"/>
  <c r="F57" i="30"/>
  <c r="Y57" i="30" s="1"/>
  <c r="N57" i="30"/>
  <c r="U57" i="30" s="1"/>
  <c r="O57" i="30"/>
  <c r="S57" i="30"/>
  <c r="T57" i="30"/>
  <c r="W57" i="30"/>
  <c r="E58" i="30"/>
  <c r="AB58" i="30" s="1"/>
  <c r="F58" i="30"/>
  <c r="Y58" i="30" s="1"/>
  <c r="N58" i="30"/>
  <c r="AA58" i="30" s="1"/>
  <c r="O58" i="30"/>
  <c r="S58" i="30"/>
  <c r="T58" i="30"/>
  <c r="W58" i="30"/>
  <c r="E59" i="30"/>
  <c r="V59" i="30" s="1"/>
  <c r="F59" i="30"/>
  <c r="Y59" i="30" s="1"/>
  <c r="N59" i="30"/>
  <c r="U59" i="30" s="1"/>
  <c r="O59" i="30"/>
  <c r="S59" i="30"/>
  <c r="T59" i="30"/>
  <c r="W59" i="30"/>
  <c r="AA59" i="30"/>
  <c r="E60" i="30"/>
  <c r="V60" i="30" s="1"/>
  <c r="F60" i="30"/>
  <c r="Y60" i="30" s="1"/>
  <c r="N60" i="30"/>
  <c r="O60" i="30"/>
  <c r="S60" i="30"/>
  <c r="T60" i="30"/>
  <c r="U60" i="30"/>
  <c r="W60" i="30"/>
  <c r="AA60" i="30"/>
  <c r="E61" i="30"/>
  <c r="V61" i="30" s="1"/>
  <c r="F61" i="30"/>
  <c r="Y61" i="30" s="1"/>
  <c r="N61" i="30"/>
  <c r="U61" i="30" s="1"/>
  <c r="O61" i="30"/>
  <c r="S61" i="30"/>
  <c r="T61" i="30"/>
  <c r="W61" i="30"/>
  <c r="AB61" i="30"/>
  <c r="E62" i="30"/>
  <c r="AB62" i="30" s="1"/>
  <c r="F62" i="30"/>
  <c r="Y62" i="30" s="1"/>
  <c r="N62" i="30"/>
  <c r="AA62" i="30" s="1"/>
  <c r="O62" i="30"/>
  <c r="S62" i="30"/>
  <c r="T62" i="30"/>
  <c r="U62" i="30"/>
  <c r="W62" i="30"/>
  <c r="E63" i="30"/>
  <c r="V63" i="30" s="1"/>
  <c r="F63" i="30"/>
  <c r="Y63" i="30" s="1"/>
  <c r="N63" i="30"/>
  <c r="AA63" i="30" s="1"/>
  <c r="O63" i="30"/>
  <c r="S63" i="30"/>
  <c r="T63" i="30"/>
  <c r="W63" i="30"/>
  <c r="AB63" i="30"/>
  <c r="E64" i="30"/>
  <c r="V64" i="30" s="1"/>
  <c r="F64" i="30"/>
  <c r="Y64" i="30" s="1"/>
  <c r="N64" i="30"/>
  <c r="O64" i="30"/>
  <c r="S64" i="30"/>
  <c r="T64" i="30"/>
  <c r="W64" i="30"/>
  <c r="E65" i="30"/>
  <c r="AB65" i="30" s="1"/>
  <c r="F65" i="30"/>
  <c r="Y65" i="30" s="1"/>
  <c r="N65" i="30"/>
  <c r="U65" i="30" s="1"/>
  <c r="O65" i="30"/>
  <c r="S65" i="30"/>
  <c r="T65" i="30"/>
  <c r="W65" i="30"/>
  <c r="E66" i="30"/>
  <c r="AB66" i="30" s="1"/>
  <c r="F66" i="30"/>
  <c r="Y66" i="30" s="1"/>
  <c r="N66" i="30"/>
  <c r="U66" i="30" s="1"/>
  <c r="O66" i="30"/>
  <c r="S66" i="30"/>
  <c r="T66" i="30"/>
  <c r="W66" i="30"/>
  <c r="E67" i="30"/>
  <c r="V67" i="30" s="1"/>
  <c r="F67" i="30"/>
  <c r="Y67" i="30" s="1"/>
  <c r="N67" i="30"/>
  <c r="AA67" i="30" s="1"/>
  <c r="O67" i="30"/>
  <c r="S67" i="30"/>
  <c r="T67" i="30"/>
  <c r="U67" i="30"/>
  <c r="W67" i="30"/>
  <c r="E68" i="30"/>
  <c r="V68" i="30" s="1"/>
  <c r="F68" i="30"/>
  <c r="Y68" i="30" s="1"/>
  <c r="N68" i="30"/>
  <c r="AA68" i="30" s="1"/>
  <c r="O68" i="30"/>
  <c r="S68" i="30"/>
  <c r="T68" i="30"/>
  <c r="U68" i="30"/>
  <c r="W68" i="30"/>
  <c r="E69" i="30"/>
  <c r="V69" i="30" s="1"/>
  <c r="F69" i="30"/>
  <c r="Y69" i="30" s="1"/>
  <c r="N69" i="30"/>
  <c r="U69" i="30" s="1"/>
  <c r="O69" i="30"/>
  <c r="S69" i="30"/>
  <c r="T69" i="30"/>
  <c r="W69" i="30"/>
  <c r="E70" i="30"/>
  <c r="V70" i="30" s="1"/>
  <c r="F70" i="30"/>
  <c r="Y70" i="30" s="1"/>
  <c r="N70" i="30"/>
  <c r="U70" i="30" s="1"/>
  <c r="O70" i="30"/>
  <c r="S70" i="30"/>
  <c r="T70" i="30"/>
  <c r="W70" i="30"/>
  <c r="E71" i="30"/>
  <c r="AB71" i="30" s="1"/>
  <c r="F71" i="30"/>
  <c r="Y71" i="30" s="1"/>
  <c r="N71" i="30"/>
  <c r="AA71" i="30" s="1"/>
  <c r="O71" i="30"/>
  <c r="S71" i="30"/>
  <c r="T71" i="30"/>
  <c r="W71" i="30"/>
  <c r="E72" i="30"/>
  <c r="V72" i="30" s="1"/>
  <c r="F72" i="30"/>
  <c r="Y72" i="30" s="1"/>
  <c r="N72" i="30"/>
  <c r="O72" i="30"/>
  <c r="S72" i="30"/>
  <c r="T72" i="30"/>
  <c r="W72" i="30"/>
  <c r="E73" i="30"/>
  <c r="V73" i="30" s="1"/>
  <c r="F73" i="30"/>
  <c r="Y73" i="30" s="1"/>
  <c r="N73" i="30"/>
  <c r="U73" i="30" s="1"/>
  <c r="O73" i="30"/>
  <c r="S73" i="30"/>
  <c r="T73" i="30"/>
  <c r="W73" i="30"/>
  <c r="AB73" i="30"/>
  <c r="E74" i="30"/>
  <c r="AB74" i="30" s="1"/>
  <c r="F74" i="30"/>
  <c r="Y74" i="30" s="1"/>
  <c r="N74" i="30"/>
  <c r="U74" i="30" s="1"/>
  <c r="O74" i="30"/>
  <c r="S74" i="30"/>
  <c r="T74" i="30"/>
  <c r="W74" i="30"/>
  <c r="E75" i="30"/>
  <c r="V75" i="30" s="1"/>
  <c r="F75" i="30"/>
  <c r="Y75" i="30" s="1"/>
  <c r="N75" i="30"/>
  <c r="AA75" i="30" s="1"/>
  <c r="O75" i="30"/>
  <c r="S75" i="30"/>
  <c r="T75" i="30"/>
  <c r="W75" i="30"/>
  <c r="E76" i="30"/>
  <c r="V76" i="30" s="1"/>
  <c r="F76" i="30"/>
  <c r="Y76" i="30" s="1"/>
  <c r="N76" i="30"/>
  <c r="U76" i="30" s="1"/>
  <c r="O76" i="30"/>
  <c r="S76" i="30"/>
  <c r="T76" i="30"/>
  <c r="W76" i="30"/>
  <c r="E77" i="30"/>
  <c r="AB77" i="30" s="1"/>
  <c r="F77" i="30"/>
  <c r="Y77" i="30" s="1"/>
  <c r="N77" i="30"/>
  <c r="AA77" i="30" s="1"/>
  <c r="O77" i="30"/>
  <c r="S77" i="30"/>
  <c r="T77" i="30"/>
  <c r="U77" i="30"/>
  <c r="W77" i="30"/>
  <c r="E78" i="30"/>
  <c r="V78" i="30" s="1"/>
  <c r="F78" i="30"/>
  <c r="Y78" i="30" s="1"/>
  <c r="N78" i="30"/>
  <c r="U78" i="30" s="1"/>
  <c r="O78" i="30"/>
  <c r="S78" i="30"/>
  <c r="T78" i="30"/>
  <c r="W78" i="30"/>
  <c r="E79" i="30"/>
  <c r="AB79" i="30" s="1"/>
  <c r="F79" i="30"/>
  <c r="Y79" i="30" s="1"/>
  <c r="N79" i="30"/>
  <c r="AA79" i="30" s="1"/>
  <c r="O79" i="30"/>
  <c r="S79" i="30"/>
  <c r="T79" i="30"/>
  <c r="U79" i="30"/>
  <c r="W79" i="30"/>
  <c r="E80" i="30"/>
  <c r="V80" i="30" s="1"/>
  <c r="F80" i="30"/>
  <c r="Y80" i="30" s="1"/>
  <c r="N80" i="30"/>
  <c r="O80" i="30"/>
  <c r="S80" i="30"/>
  <c r="T80" i="30"/>
  <c r="W80" i="30"/>
  <c r="E81" i="30"/>
  <c r="AB81" i="30" s="1"/>
  <c r="F81" i="30"/>
  <c r="Y81" i="30" s="1"/>
  <c r="N81" i="30"/>
  <c r="U81" i="30" s="1"/>
  <c r="O81" i="30"/>
  <c r="S81" i="30"/>
  <c r="T81" i="30"/>
  <c r="W81" i="30"/>
  <c r="AA81" i="30"/>
  <c r="E82" i="30"/>
  <c r="AB82" i="30" s="1"/>
  <c r="F82" i="30"/>
  <c r="Y82" i="30" s="1"/>
  <c r="N82" i="30"/>
  <c r="U82" i="30" s="1"/>
  <c r="O82" i="30"/>
  <c r="S82" i="30"/>
  <c r="T82" i="30"/>
  <c r="W82" i="30"/>
  <c r="E83" i="30"/>
  <c r="F83" i="30"/>
  <c r="Y83" i="30" s="1"/>
  <c r="N83" i="30"/>
  <c r="AA83" i="30" s="1"/>
  <c r="O83" i="30"/>
  <c r="S83" i="30"/>
  <c r="T83" i="30"/>
  <c r="W83" i="30"/>
  <c r="E84" i="30"/>
  <c r="V84" i="30" s="1"/>
  <c r="F84" i="30"/>
  <c r="Y84" i="30" s="1"/>
  <c r="N84" i="30"/>
  <c r="U84" i="30" s="1"/>
  <c r="O84" i="30"/>
  <c r="S84" i="30"/>
  <c r="T84" i="30"/>
  <c r="W84" i="30"/>
  <c r="X84" i="30"/>
  <c r="E85" i="30"/>
  <c r="V85" i="30" s="1"/>
  <c r="F85" i="30"/>
  <c r="Y85" i="30" s="1"/>
  <c r="N85" i="30"/>
  <c r="AA85" i="30" s="1"/>
  <c r="O85" i="30"/>
  <c r="S85" i="30"/>
  <c r="T85" i="30"/>
  <c r="W85" i="30"/>
  <c r="E86" i="30"/>
  <c r="F86" i="30"/>
  <c r="Y86" i="30" s="1"/>
  <c r="N86" i="30"/>
  <c r="AA86" i="30" s="1"/>
  <c r="O86" i="30"/>
  <c r="S86" i="30"/>
  <c r="T86" i="30"/>
  <c r="V86" i="30"/>
  <c r="W86" i="30"/>
  <c r="AB86" i="30"/>
  <c r="E87" i="30"/>
  <c r="V87" i="30" s="1"/>
  <c r="F87" i="30"/>
  <c r="Y87" i="30" s="1"/>
  <c r="N87" i="30"/>
  <c r="U87" i="30" s="1"/>
  <c r="O87" i="30"/>
  <c r="S87" i="30"/>
  <c r="T87" i="30"/>
  <c r="W87" i="30"/>
  <c r="E88" i="30"/>
  <c r="AB88" i="30" s="1"/>
  <c r="F88" i="30"/>
  <c r="Y88" i="30" s="1"/>
  <c r="N88" i="30"/>
  <c r="AA88" i="30" s="1"/>
  <c r="O88" i="30"/>
  <c r="S88" i="30"/>
  <c r="T88" i="30"/>
  <c r="W88" i="30"/>
  <c r="E89" i="30"/>
  <c r="V89" i="30" s="1"/>
  <c r="F89" i="30"/>
  <c r="Y89" i="30" s="1"/>
  <c r="N89" i="30"/>
  <c r="U89" i="30" s="1"/>
  <c r="O89" i="30"/>
  <c r="S89" i="30"/>
  <c r="T89" i="30"/>
  <c r="W89" i="30"/>
  <c r="E90" i="30"/>
  <c r="AB90" i="30" s="1"/>
  <c r="F90" i="30"/>
  <c r="Y90" i="30" s="1"/>
  <c r="N90" i="30"/>
  <c r="AA90" i="30" s="1"/>
  <c r="O90" i="30"/>
  <c r="S90" i="30"/>
  <c r="T90" i="30"/>
  <c r="W90" i="30"/>
  <c r="E91" i="30"/>
  <c r="AB91" i="30" s="1"/>
  <c r="F91" i="30"/>
  <c r="Y91" i="30" s="1"/>
  <c r="N91" i="30"/>
  <c r="U91" i="30" s="1"/>
  <c r="O91" i="30"/>
  <c r="S91" i="30"/>
  <c r="T91" i="30"/>
  <c r="W91" i="30"/>
  <c r="E92" i="30"/>
  <c r="V92" i="30" s="1"/>
  <c r="F92" i="30"/>
  <c r="Y92" i="30" s="1"/>
  <c r="N92" i="30"/>
  <c r="U92" i="30" s="1"/>
  <c r="O92" i="30"/>
  <c r="S92" i="30"/>
  <c r="T92" i="30"/>
  <c r="W92" i="30"/>
  <c r="E93" i="30"/>
  <c r="V93" i="30" s="1"/>
  <c r="F93" i="30"/>
  <c r="Y93" i="30" s="1"/>
  <c r="N93" i="30"/>
  <c r="U93" i="30" s="1"/>
  <c r="O93" i="30"/>
  <c r="S93" i="30"/>
  <c r="T93" i="30"/>
  <c r="W93" i="30"/>
  <c r="E94" i="30"/>
  <c r="F94" i="30"/>
  <c r="Y94" i="30" s="1"/>
  <c r="N94" i="30"/>
  <c r="AA94" i="30" s="1"/>
  <c r="O94" i="30"/>
  <c r="S94" i="30"/>
  <c r="T94" i="30"/>
  <c r="V94" i="30"/>
  <c r="W94" i="30"/>
  <c r="AB94" i="30"/>
  <c r="E95" i="30"/>
  <c r="V95" i="30" s="1"/>
  <c r="F95" i="30"/>
  <c r="Y95" i="30" s="1"/>
  <c r="N95" i="30"/>
  <c r="AA95" i="30" s="1"/>
  <c r="O95" i="30"/>
  <c r="S95" i="30"/>
  <c r="T95" i="30"/>
  <c r="W95" i="30"/>
  <c r="AB95" i="30"/>
  <c r="E96" i="30"/>
  <c r="V96" i="30" s="1"/>
  <c r="F96" i="30"/>
  <c r="Y96" i="30" s="1"/>
  <c r="N96" i="30"/>
  <c r="AA96" i="30" s="1"/>
  <c r="O96" i="30"/>
  <c r="S96" i="30"/>
  <c r="T96" i="30"/>
  <c r="W96" i="30"/>
  <c r="E97" i="30"/>
  <c r="V97" i="30" s="1"/>
  <c r="F97" i="30"/>
  <c r="Y97" i="30" s="1"/>
  <c r="N97" i="30"/>
  <c r="U97" i="30" s="1"/>
  <c r="O97" i="30"/>
  <c r="S97" i="30"/>
  <c r="T97" i="30"/>
  <c r="W97" i="30"/>
  <c r="E98" i="30"/>
  <c r="V98" i="30" s="1"/>
  <c r="F98" i="30"/>
  <c r="Y98" i="30" s="1"/>
  <c r="N98" i="30"/>
  <c r="U98" i="30" s="1"/>
  <c r="O98" i="30"/>
  <c r="S98" i="30"/>
  <c r="T98" i="30"/>
  <c r="W98" i="30"/>
  <c r="E99" i="30"/>
  <c r="AB99" i="30" s="1"/>
  <c r="F99" i="30"/>
  <c r="Y99" i="30" s="1"/>
  <c r="N99" i="30"/>
  <c r="AA99" i="30" s="1"/>
  <c r="O99" i="30"/>
  <c r="S99" i="30"/>
  <c r="T99" i="30"/>
  <c r="W99" i="30"/>
  <c r="E100" i="30"/>
  <c r="V100" i="30" s="1"/>
  <c r="F100" i="30"/>
  <c r="Y100" i="30" s="1"/>
  <c r="N100" i="30"/>
  <c r="U100" i="30" s="1"/>
  <c r="O100" i="30"/>
  <c r="S100" i="30"/>
  <c r="T100" i="30"/>
  <c r="W100" i="30"/>
  <c r="AA100" i="30"/>
  <c r="E101" i="30"/>
  <c r="V101" i="30" s="1"/>
  <c r="F101" i="30"/>
  <c r="Y101" i="30" s="1"/>
  <c r="N101" i="30"/>
  <c r="U101" i="30" s="1"/>
  <c r="O101" i="30"/>
  <c r="S101" i="30"/>
  <c r="T101" i="30"/>
  <c r="W101" i="30"/>
  <c r="E102" i="30"/>
  <c r="V102" i="30" s="1"/>
  <c r="F102" i="30"/>
  <c r="Y102" i="30" s="1"/>
  <c r="N102" i="30"/>
  <c r="U102" i="30" s="1"/>
  <c r="O102" i="30"/>
  <c r="S102" i="30"/>
  <c r="T102" i="30"/>
  <c r="W102" i="30"/>
  <c r="E103" i="30"/>
  <c r="AB103" i="30" s="1"/>
  <c r="F103" i="30"/>
  <c r="Y103" i="30" s="1"/>
  <c r="N103" i="30"/>
  <c r="AA103" i="30" s="1"/>
  <c r="O103" i="30"/>
  <c r="S103" i="30"/>
  <c r="T103" i="30"/>
  <c r="W103" i="30"/>
  <c r="E104" i="30"/>
  <c r="AB104" i="30" s="1"/>
  <c r="F104" i="30"/>
  <c r="Y104" i="30" s="1"/>
  <c r="N104" i="30"/>
  <c r="U104" i="30" s="1"/>
  <c r="O104" i="30"/>
  <c r="S104" i="30"/>
  <c r="T104" i="30"/>
  <c r="W104" i="30"/>
  <c r="D105" i="30"/>
  <c r="G105" i="30"/>
  <c r="H105" i="30"/>
  <c r="I105" i="30"/>
  <c r="J105" i="30"/>
  <c r="K105" i="30"/>
  <c r="L105" i="30"/>
  <c r="P105" i="30"/>
  <c r="Q105" i="30"/>
  <c r="R105" i="30"/>
  <c r="AB80" i="30" l="1"/>
  <c r="AB78" i="30"/>
  <c r="X72" i="30"/>
  <c r="X37" i="30"/>
  <c r="AB87" i="30"/>
  <c r="AB30" i="30"/>
  <c r="AB29" i="30"/>
  <c r="V65" i="30"/>
  <c r="X28" i="30"/>
  <c r="X13" i="30"/>
  <c r="AB4" i="30"/>
  <c r="U85" i="30"/>
  <c r="X61" i="30"/>
  <c r="V38" i="30"/>
  <c r="X99" i="30"/>
  <c r="U38" i="30"/>
  <c r="AA36" i="30"/>
  <c r="U86" i="30"/>
  <c r="X101" i="30"/>
  <c r="X89" i="30"/>
  <c r="U53" i="30"/>
  <c r="X52" i="30"/>
  <c r="X50" i="30"/>
  <c r="X32" i="30"/>
  <c r="V23" i="30"/>
  <c r="X92" i="30"/>
  <c r="X6" i="30"/>
  <c r="X12" i="30"/>
  <c r="S105" i="30"/>
  <c r="X11" i="30"/>
  <c r="AB7" i="30"/>
  <c r="X5" i="30"/>
  <c r="AB5" i="30"/>
  <c r="AB54" i="30"/>
  <c r="AB32" i="30"/>
  <c r="X26" i="30"/>
  <c r="U75" i="30"/>
  <c r="AB14" i="30"/>
  <c r="X95" i="30"/>
  <c r="U94" i="30"/>
  <c r="X91" i="30"/>
  <c r="X78" i="30"/>
  <c r="X77" i="30"/>
  <c r="AA70" i="30"/>
  <c r="AA69" i="30"/>
  <c r="X60" i="30"/>
  <c r="X47" i="30"/>
  <c r="AA42" i="30"/>
  <c r="AA41" i="30"/>
  <c r="X31" i="30"/>
  <c r="AA25" i="30"/>
  <c r="AB24" i="30"/>
  <c r="U4" i="30"/>
  <c r="U3" i="30"/>
  <c r="X15" i="30"/>
  <c r="AA82" i="30"/>
  <c r="V71" i="30"/>
  <c r="AA66" i="30"/>
  <c r="AB64" i="30"/>
  <c r="U44" i="30"/>
  <c r="U29" i="30"/>
  <c r="U28" i="30"/>
  <c r="AA76" i="30"/>
  <c r="V53" i="30"/>
  <c r="AA52" i="30"/>
  <c r="V47" i="30"/>
  <c r="X44" i="30"/>
  <c r="V34" i="30"/>
  <c r="X21" i="30"/>
  <c r="V11" i="30"/>
  <c r="AA5" i="30"/>
  <c r="AA89" i="30"/>
  <c r="X80" i="30"/>
  <c r="X67" i="30"/>
  <c r="X64" i="30"/>
  <c r="AA46" i="30"/>
  <c r="V31" i="30"/>
  <c r="AA30" i="30"/>
  <c r="X23" i="30"/>
  <c r="X87" i="30"/>
  <c r="X30" i="30"/>
  <c r="V6" i="30"/>
  <c r="X71" i="30"/>
  <c r="X45" i="30"/>
  <c r="X43" i="30"/>
  <c r="X39" i="30"/>
  <c r="V33" i="30"/>
  <c r="X24" i="30"/>
  <c r="V10" i="30"/>
  <c r="X97" i="30"/>
  <c r="U90" i="30"/>
  <c r="AA74" i="30"/>
  <c r="X7" i="30"/>
  <c r="U103" i="30"/>
  <c r="U58" i="30"/>
  <c r="AA22" i="30"/>
  <c r="AA17" i="30"/>
  <c r="AA93" i="30"/>
  <c r="X86" i="30"/>
  <c r="AA27" i="30"/>
  <c r="AA13" i="30"/>
  <c r="X3" i="30"/>
  <c r="U99" i="30"/>
  <c r="AA102" i="30"/>
  <c r="AA92" i="30"/>
  <c r="X88" i="30"/>
  <c r="X68" i="30"/>
  <c r="AA57" i="30"/>
  <c r="AA49" i="30"/>
  <c r="V79" i="30"/>
  <c r="V62" i="30"/>
  <c r="X54" i="30"/>
  <c r="AB40" i="30"/>
  <c r="AB102" i="30"/>
  <c r="AB93" i="30"/>
  <c r="AB85" i="30"/>
  <c r="AB70" i="30"/>
  <c r="X63" i="30"/>
  <c r="AB52" i="30"/>
  <c r="X48" i="30"/>
  <c r="AA18" i="30"/>
  <c r="AB17" i="30"/>
  <c r="X100" i="30"/>
  <c r="AA84" i="30"/>
  <c r="V58" i="30"/>
  <c r="AB16" i="30"/>
  <c r="X104" i="30"/>
  <c r="X94" i="30"/>
  <c r="AA91" i="30"/>
  <c r="V88" i="30"/>
  <c r="AA78" i="30"/>
  <c r="X76" i="30"/>
  <c r="AA73" i="30"/>
  <c r="AA65" i="30"/>
  <c r="AA61" i="30"/>
  <c r="X59" i="30"/>
  <c r="AB56" i="30"/>
  <c r="X53" i="30"/>
  <c r="AA50" i="30"/>
  <c r="V42" i="30"/>
  <c r="X29" i="30"/>
  <c r="V22" i="30"/>
  <c r="AB21" i="30"/>
  <c r="X4" i="30"/>
  <c r="X103" i="30"/>
  <c r="AB100" i="30"/>
  <c r="X96" i="30"/>
  <c r="U88" i="30"/>
  <c r="AA87" i="30"/>
  <c r="X79" i="30"/>
  <c r="X75" i="30"/>
  <c r="AB69" i="30"/>
  <c r="V66" i="30"/>
  <c r="AB49" i="30"/>
  <c r="X40" i="30"/>
  <c r="X38" i="30"/>
  <c r="AA33" i="30"/>
  <c r="AA21" i="30"/>
  <c r="X18" i="30"/>
  <c r="X16" i="30"/>
  <c r="AB96" i="30"/>
  <c r="AA101" i="30"/>
  <c r="X69" i="30"/>
  <c r="X49" i="30"/>
  <c r="U12" i="30"/>
  <c r="AA9" i="30"/>
  <c r="X102" i="30"/>
  <c r="X93" i="30"/>
  <c r="X85" i="30"/>
  <c r="V82" i="30"/>
  <c r="X74" i="30"/>
  <c r="X62" i="30"/>
  <c r="X58" i="30"/>
  <c r="U55" i="30"/>
  <c r="X42" i="30"/>
  <c r="X41" i="30"/>
  <c r="U39" i="30"/>
  <c r="X17" i="30"/>
  <c r="U15" i="30"/>
  <c r="AA104" i="30"/>
  <c r="AB98" i="30"/>
  <c r="AA97" i="30"/>
  <c r="V90" i="30"/>
  <c r="AB89" i="30"/>
  <c r="X83" i="30"/>
  <c r="AB76" i="30"/>
  <c r="X66" i="30"/>
  <c r="X57" i="30"/>
  <c r="X55" i="30"/>
  <c r="X51" i="30"/>
  <c r="X35" i="30"/>
  <c r="T105" i="30"/>
  <c r="F105" i="30"/>
  <c r="W105" i="30"/>
  <c r="AB36" i="30"/>
  <c r="V36" i="30"/>
  <c r="U7" i="30"/>
  <c r="AA7" i="30"/>
  <c r="V103" i="30"/>
  <c r="AB12" i="30"/>
  <c r="V12" i="30"/>
  <c r="X73" i="30"/>
  <c r="X46" i="30"/>
  <c r="AB44" i="30"/>
  <c r="V44" i="30"/>
  <c r="X25" i="30"/>
  <c r="V81" i="30"/>
  <c r="U16" i="30"/>
  <c r="AA16" i="30"/>
  <c r="O105" i="30"/>
  <c r="V104" i="30"/>
  <c r="U95" i="30"/>
  <c r="AB92" i="30"/>
  <c r="V91" i="30"/>
  <c r="X90" i="30"/>
  <c r="X70" i="30"/>
  <c r="AB68" i="30"/>
  <c r="X65" i="30"/>
  <c r="AB48" i="30"/>
  <c r="AB37" i="30"/>
  <c r="U35" i="30"/>
  <c r="X33" i="30"/>
  <c r="V26" i="30"/>
  <c r="X22" i="30"/>
  <c r="AB20" i="30"/>
  <c r="V20" i="30"/>
  <c r="V50" i="30"/>
  <c r="U40" i="30"/>
  <c r="AA40" i="30"/>
  <c r="X98" i="30"/>
  <c r="V83" i="30"/>
  <c r="AB83" i="30"/>
  <c r="V57" i="30"/>
  <c r="U48" i="30"/>
  <c r="AA48" i="30"/>
  <c r="V41" i="30"/>
  <c r="E105" i="30"/>
  <c r="U83" i="30"/>
  <c r="U72" i="30"/>
  <c r="AA72" i="30"/>
  <c r="U71" i="30"/>
  <c r="U54" i="30"/>
  <c r="X27" i="30"/>
  <c r="U24" i="30"/>
  <c r="AA24" i="30"/>
  <c r="U23" i="30"/>
  <c r="AA10" i="30"/>
  <c r="X9" i="30"/>
  <c r="Y105" i="30"/>
  <c r="AA26" i="30"/>
  <c r="V99" i="30"/>
  <c r="V77" i="30"/>
  <c r="V18" i="30"/>
  <c r="X14" i="30"/>
  <c r="AA11" i="30"/>
  <c r="V9" i="30"/>
  <c r="AA98" i="30"/>
  <c r="AA34" i="30"/>
  <c r="X19" i="30"/>
  <c r="N105" i="30"/>
  <c r="AB101" i="30"/>
  <c r="AB97" i="30"/>
  <c r="AB84" i="30"/>
  <c r="X81" i="30"/>
  <c r="AB72" i="30"/>
  <c r="AB60" i="30"/>
  <c r="AB45" i="30"/>
  <c r="U43" i="30"/>
  <c r="AB28" i="30"/>
  <c r="V28" i="30"/>
  <c r="AB13" i="30"/>
  <c r="AB3" i="30"/>
  <c r="V3" i="30"/>
  <c r="U56" i="30"/>
  <c r="AA56" i="30"/>
  <c r="U80" i="30"/>
  <c r="AA80" i="30"/>
  <c r="X82" i="30"/>
  <c r="V74" i="30"/>
  <c r="AA51" i="30"/>
  <c r="U96" i="30"/>
  <c r="U64" i="30"/>
  <c r="AA64" i="30"/>
  <c r="U63" i="30"/>
  <c r="U32" i="30"/>
  <c r="AA32" i="30"/>
  <c r="U31" i="30"/>
  <c r="AB75" i="30"/>
  <c r="AB67" i="30"/>
  <c r="AB59" i="30"/>
  <c r="AB51" i="30"/>
  <c r="AB43" i="30"/>
  <c r="AB35" i="30"/>
  <c r="AB27" i="30"/>
  <c r="AB19" i="30"/>
  <c r="L40" i="1"/>
  <c r="L39" i="1"/>
  <c r="H62" i="27" s="1"/>
  <c r="L37" i="1"/>
  <c r="H13" i="27" s="1"/>
  <c r="L35" i="1"/>
  <c r="H25" i="27" s="1"/>
  <c r="H40" i="1"/>
  <c r="H45" i="27" s="1"/>
  <c r="H39" i="1"/>
  <c r="H44" i="27" s="1"/>
  <c r="H38" i="1"/>
  <c r="H36" i="1"/>
  <c r="H42" i="27" s="1"/>
  <c r="H37" i="1"/>
  <c r="H43" i="27" s="1"/>
  <c r="H35" i="1"/>
  <c r="H41" i="27" s="1"/>
  <c r="C40" i="1"/>
  <c r="H61" i="27" s="1"/>
  <c r="C36" i="1"/>
  <c r="H37" i="27" s="1"/>
  <c r="H38" i="27"/>
  <c r="C38" i="1"/>
  <c r="H39" i="27" s="1"/>
  <c r="C39" i="1"/>
  <c r="H40" i="27" s="1"/>
  <c r="C35" i="1"/>
  <c r="H36" i="27" s="1"/>
  <c r="I10" i="1"/>
  <c r="D12" i="33"/>
  <c r="F14" i="1"/>
  <c r="G22" i="27" s="1"/>
  <c r="C14" i="1"/>
  <c r="D22" i="27" s="1"/>
  <c r="F13" i="1"/>
  <c r="G47" i="27" s="1"/>
  <c r="F12" i="1"/>
  <c r="G46" i="27" s="1"/>
  <c r="C12" i="1"/>
  <c r="D46" i="27" s="1"/>
  <c r="C10" i="1"/>
  <c r="D19" i="27" s="1"/>
  <c r="V105" i="30" l="1"/>
  <c r="U105" i="30"/>
  <c r="AB105" i="30"/>
  <c r="AA105" i="30"/>
  <c r="H24" i="27"/>
  <c r="F18" i="1"/>
  <c r="I14" i="1" l="1"/>
  <c r="K37" i="33" l="1"/>
  <c r="L37" i="33"/>
  <c r="M37" i="33"/>
  <c r="M39" i="33" s="1"/>
  <c r="N37" i="33"/>
  <c r="N39" i="33" s="1"/>
  <c r="O37" i="33"/>
  <c r="O39" i="33" s="1"/>
  <c r="V28" i="33" l="1"/>
  <c r="U28" i="33"/>
  <c r="T28" i="33"/>
  <c r="S28" i="33"/>
  <c r="R28" i="33" l="1"/>
  <c r="D9" i="33" l="1"/>
  <c r="V27" i="33"/>
  <c r="U27" i="33"/>
  <c r="T27" i="33"/>
  <c r="S27" i="33"/>
  <c r="R27" i="33"/>
  <c r="G17" i="33"/>
  <c r="F17" i="33"/>
  <c r="E17" i="33"/>
  <c r="D17" i="33"/>
  <c r="C17" i="33"/>
  <c r="F35" i="27" l="1"/>
  <c r="J35" i="27" s="1"/>
  <c r="E50" i="27"/>
  <c r="E49" i="27"/>
  <c r="D50" i="27"/>
  <c r="F15" i="27"/>
  <c r="F20" i="27"/>
  <c r="F21" i="27"/>
  <c r="J21" i="27" s="1"/>
  <c r="F23" i="27"/>
  <c r="F24" i="27"/>
  <c r="F25" i="27"/>
  <c r="D34" i="27"/>
  <c r="G34" i="27"/>
  <c r="F50" i="27" l="1"/>
  <c r="L14" i="1"/>
  <c r="G67" i="27" s="1"/>
  <c r="G80" i="27"/>
  <c r="G77" i="27"/>
  <c r="G76" i="27"/>
  <c r="G75" i="27"/>
  <c r="G74" i="27"/>
  <c r="G73" i="27"/>
  <c r="G72" i="27"/>
  <c r="G71" i="27"/>
  <c r="G70" i="27"/>
  <c r="G69" i="27"/>
  <c r="G68" i="27"/>
  <c r="G66" i="27"/>
  <c r="G65" i="27"/>
  <c r="G60" i="27"/>
  <c r="G33" i="27"/>
  <c r="G31" i="27"/>
  <c r="G30" i="27"/>
  <c r="G26" i="27"/>
  <c r="G19" i="27"/>
  <c r="I11" i="1" l="1"/>
  <c r="D118" i="30" l="1"/>
  <c r="J114" i="30"/>
  <c r="J115" i="30"/>
  <c r="J116" i="30"/>
  <c r="J117" i="30"/>
  <c r="B144" i="30"/>
  <c r="L6" i="1"/>
  <c r="F12" i="33"/>
  <c r="I6" i="1" s="1"/>
  <c r="D64" i="27" l="1"/>
  <c r="J6" i="1"/>
  <c r="G64" i="27"/>
  <c r="W38" i="17"/>
  <c r="J113" i="30"/>
  <c r="B132" i="30"/>
  <c r="B131" i="30"/>
  <c r="N32" i="17"/>
  <c r="O32" i="17"/>
  <c r="P32" i="17"/>
  <c r="Q32" i="17"/>
  <c r="R32" i="17"/>
  <c r="S32" i="17"/>
  <c r="T32" i="17"/>
  <c r="U32" i="17"/>
  <c r="L36" i="1"/>
  <c r="L24" i="22" s="1"/>
  <c r="O24" i="22" s="1"/>
  <c r="J61" i="27"/>
  <c r="F16" i="1"/>
  <c r="F25" i="17"/>
  <c r="H25" i="17" s="1"/>
  <c r="F24" i="17"/>
  <c r="H24" i="17" s="1"/>
  <c r="F23" i="17"/>
  <c r="H23" i="17" s="1"/>
  <c r="F19" i="17"/>
  <c r="H19" i="17" s="1"/>
  <c r="F20" i="17"/>
  <c r="H20" i="17" s="1"/>
  <c r="F21" i="17"/>
  <c r="H21" i="17" s="1"/>
  <c r="F22" i="17"/>
  <c r="H22" i="17" s="1"/>
  <c r="F18" i="17"/>
  <c r="H18" i="17" s="1"/>
  <c r="N48" i="17"/>
  <c r="J7" i="1"/>
  <c r="J9" i="1"/>
  <c r="J12" i="1"/>
  <c r="J13" i="1"/>
  <c r="J15" i="1"/>
  <c r="E68" i="27" s="1"/>
  <c r="J16" i="1"/>
  <c r="J17" i="1"/>
  <c r="J18" i="1"/>
  <c r="J20" i="1"/>
  <c r="J21" i="1"/>
  <c r="E72" i="27" s="1"/>
  <c r="J22" i="1"/>
  <c r="J23" i="1"/>
  <c r="E74" i="27" s="1"/>
  <c r="J24" i="1"/>
  <c r="J25" i="1"/>
  <c r="J26" i="1"/>
  <c r="F11" i="17"/>
  <c r="F10" i="17"/>
  <c r="C44" i="17" s="1"/>
  <c r="H44" i="17" s="1"/>
  <c r="F9" i="17"/>
  <c r="C43" i="17" s="1"/>
  <c r="F8" i="17"/>
  <c r="C42" i="17" s="1"/>
  <c r="F7" i="17"/>
  <c r="C41" i="17" s="1"/>
  <c r="F6" i="17"/>
  <c r="C40" i="17" s="1"/>
  <c r="H40" i="17" s="1"/>
  <c r="F5" i="17"/>
  <c r="C39" i="17" s="1"/>
  <c r="F4" i="17"/>
  <c r="C38" i="17" s="1"/>
  <c r="F38" i="17" s="1"/>
  <c r="F3" i="17"/>
  <c r="C37" i="17" s="1"/>
  <c r="H11" i="17"/>
  <c r="H10" i="17"/>
  <c r="H9" i="17"/>
  <c r="H8" i="17"/>
  <c r="H7" i="17"/>
  <c r="H6" i="17"/>
  <c r="H5" i="17"/>
  <c r="H3" i="17"/>
  <c r="X38" i="17"/>
  <c r="X39" i="17"/>
  <c r="X40" i="17"/>
  <c r="X41" i="17"/>
  <c r="X42" i="17"/>
  <c r="X43" i="17"/>
  <c r="X44" i="17"/>
  <c r="X45" i="17"/>
  <c r="X37" i="17"/>
  <c r="F21" i="1" s="1"/>
  <c r="G29" i="27" s="1"/>
  <c r="W39" i="17"/>
  <c r="W40" i="17"/>
  <c r="W41" i="17"/>
  <c r="W42" i="17"/>
  <c r="W43" i="17"/>
  <c r="W44" i="17"/>
  <c r="W45" i="17"/>
  <c r="W37" i="17"/>
  <c r="C21" i="1" s="1"/>
  <c r="D29" i="27" s="1"/>
  <c r="H4" i="17"/>
  <c r="D11" i="1"/>
  <c r="E11" i="1" s="1"/>
  <c r="D15" i="1"/>
  <c r="E15" i="1" s="1"/>
  <c r="D17" i="1"/>
  <c r="E17" i="1" s="1"/>
  <c r="D23" i="1"/>
  <c r="E23" i="1" s="1"/>
  <c r="D26" i="1"/>
  <c r="E26" i="1" s="1"/>
  <c r="D29" i="1"/>
  <c r="E29" i="1" s="1"/>
  <c r="D30" i="1"/>
  <c r="E30" i="1" s="1"/>
  <c r="D32" i="1"/>
  <c r="M20" i="33"/>
  <c r="J41" i="27"/>
  <c r="D23" i="32"/>
  <c r="H52" i="17"/>
  <c r="F52" i="17"/>
  <c r="L49" i="17"/>
  <c r="G49" i="17"/>
  <c r="H33" i="17"/>
  <c r="F33" i="17"/>
  <c r="C30" i="17"/>
  <c r="H29" i="17"/>
  <c r="H30" i="17" s="1"/>
  <c r="F29" i="17"/>
  <c r="F30" i="17"/>
  <c r="F26" i="17"/>
  <c r="H26" i="17"/>
  <c r="C16" i="17"/>
  <c r="H15" i="17"/>
  <c r="F15" i="17"/>
  <c r="H14" i="17"/>
  <c r="F14" i="17"/>
  <c r="C12" i="17"/>
  <c r="C27" i="17"/>
  <c r="D5" i="32"/>
  <c r="D6" i="32"/>
  <c r="D7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4" i="32"/>
  <c r="H4" i="31"/>
  <c r="C22" i="32"/>
  <c r="H32" i="31"/>
  <c r="H5" i="31"/>
  <c r="H6" i="31"/>
  <c r="H7" i="31"/>
  <c r="H8" i="31"/>
  <c r="H9" i="31"/>
  <c r="H10" i="31"/>
  <c r="H11" i="31"/>
  <c r="H12" i="31"/>
  <c r="H13" i="31"/>
  <c r="H14" i="31"/>
  <c r="H15" i="31"/>
  <c r="H16" i="31"/>
  <c r="H17" i="31"/>
  <c r="H18" i="31"/>
  <c r="H19" i="31"/>
  <c r="H20" i="31"/>
  <c r="H21" i="31"/>
  <c r="H22" i="31"/>
  <c r="H23" i="31"/>
  <c r="H24" i="31"/>
  <c r="H25" i="31"/>
  <c r="H26" i="31"/>
  <c r="H27" i="31"/>
  <c r="H28" i="31"/>
  <c r="H29" i="31"/>
  <c r="H30" i="31"/>
  <c r="H31" i="31"/>
  <c r="H33" i="31"/>
  <c r="H34" i="31"/>
  <c r="H35" i="31"/>
  <c r="H36" i="31"/>
  <c r="H37" i="31"/>
  <c r="H38" i="31"/>
  <c r="H39" i="31"/>
  <c r="H40" i="31"/>
  <c r="H41" i="31"/>
  <c r="H42" i="31"/>
  <c r="H43" i="31"/>
  <c r="H44" i="31"/>
  <c r="H45" i="31"/>
  <c r="H46" i="31"/>
  <c r="H47" i="31"/>
  <c r="H48" i="31"/>
  <c r="H49" i="31"/>
  <c r="H50" i="31"/>
  <c r="H51" i="31"/>
  <c r="H52" i="31"/>
  <c r="H53" i="31"/>
  <c r="H54" i="31"/>
  <c r="H55" i="31"/>
  <c r="H56" i="31"/>
  <c r="H57" i="31"/>
  <c r="H58" i="31"/>
  <c r="H59" i="31"/>
  <c r="H60" i="31"/>
  <c r="H61" i="31"/>
  <c r="H62" i="31"/>
  <c r="H63" i="31"/>
  <c r="H64" i="31"/>
  <c r="H65" i="31"/>
  <c r="H66" i="31"/>
  <c r="H67" i="31"/>
  <c r="H68" i="31"/>
  <c r="H69" i="31"/>
  <c r="H70" i="31"/>
  <c r="H71" i="31"/>
  <c r="H72" i="31"/>
  <c r="H73" i="31"/>
  <c r="H74" i="31"/>
  <c r="H75" i="31"/>
  <c r="H76" i="31"/>
  <c r="H77" i="31"/>
  <c r="H78" i="31"/>
  <c r="H79" i="31"/>
  <c r="H80" i="31"/>
  <c r="H81" i="31"/>
  <c r="H82" i="31"/>
  <c r="H83" i="31"/>
  <c r="H84" i="31"/>
  <c r="H85" i="31"/>
  <c r="H86" i="31"/>
  <c r="H87" i="31"/>
  <c r="H88" i="31"/>
  <c r="H89" i="31"/>
  <c r="H90" i="31"/>
  <c r="H91" i="31"/>
  <c r="H92" i="31"/>
  <c r="H93" i="31"/>
  <c r="H94" i="31"/>
  <c r="H95" i="31"/>
  <c r="H96" i="31"/>
  <c r="H97" i="31"/>
  <c r="H98" i="31"/>
  <c r="H99" i="31"/>
  <c r="H100" i="31"/>
  <c r="K23" i="1"/>
  <c r="M5" i="33"/>
  <c r="M6" i="33"/>
  <c r="M7" i="33"/>
  <c r="M8" i="33"/>
  <c r="M9" i="33"/>
  <c r="M10" i="33"/>
  <c r="M11" i="33"/>
  <c r="M12" i="33"/>
  <c r="M13" i="33"/>
  <c r="M14" i="33"/>
  <c r="M15" i="33"/>
  <c r="M16" i="33"/>
  <c r="M17" i="33"/>
  <c r="M18" i="33"/>
  <c r="M19" i="33"/>
  <c r="M4" i="33"/>
  <c r="J42" i="27"/>
  <c r="J43" i="27"/>
  <c r="J45" i="27"/>
  <c r="F9" i="1"/>
  <c r="F8" i="1"/>
  <c r="F7" i="1"/>
  <c r="F6" i="1"/>
  <c r="F11" i="33"/>
  <c r="F9" i="33"/>
  <c r="C8" i="1" s="1"/>
  <c r="D13" i="27" s="1"/>
  <c r="V34" i="33"/>
  <c r="J20" i="27"/>
  <c r="J15" i="27"/>
  <c r="J23" i="27"/>
  <c r="J55" i="27"/>
  <c r="J56" i="27"/>
  <c r="J81" i="27"/>
  <c r="J82" i="27"/>
  <c r="J83" i="27"/>
  <c r="J84" i="27"/>
  <c r="J85" i="27"/>
  <c r="J86" i="27"/>
  <c r="J87" i="27"/>
  <c r="J88" i="27"/>
  <c r="J89" i="27"/>
  <c r="J90" i="27"/>
  <c r="J91" i="27"/>
  <c r="J92" i="27"/>
  <c r="J93" i="27"/>
  <c r="J94" i="27"/>
  <c r="J95" i="27"/>
  <c r="J96" i="27"/>
  <c r="J97" i="27"/>
  <c r="J98" i="27"/>
  <c r="J99" i="27"/>
  <c r="J100" i="27"/>
  <c r="J101" i="27"/>
  <c r="J102" i="27"/>
  <c r="J103" i="27"/>
  <c r="J104" i="27"/>
  <c r="J105" i="27"/>
  <c r="J106" i="27"/>
  <c r="J107" i="27"/>
  <c r="J108" i="27"/>
  <c r="J109" i="27"/>
  <c r="J110" i="27"/>
  <c r="J111" i="27"/>
  <c r="J112" i="27"/>
  <c r="J113" i="27"/>
  <c r="J114" i="27"/>
  <c r="J115" i="27"/>
  <c r="J116" i="27"/>
  <c r="J117" i="27"/>
  <c r="J118" i="27"/>
  <c r="J119" i="27"/>
  <c r="J120" i="27"/>
  <c r="J121" i="27"/>
  <c r="J122" i="27"/>
  <c r="J123" i="27"/>
  <c r="J124" i="27"/>
  <c r="J125" i="27"/>
  <c r="J126" i="27"/>
  <c r="J127" i="27"/>
  <c r="J128" i="27"/>
  <c r="J129" i="27"/>
  <c r="J130" i="27"/>
  <c r="J131" i="27"/>
  <c r="J132" i="27"/>
  <c r="J133" i="27"/>
  <c r="J134" i="27"/>
  <c r="J135" i="27"/>
  <c r="J136" i="27"/>
  <c r="D73" i="27"/>
  <c r="D60" i="27"/>
  <c r="J139" i="27"/>
  <c r="N138" i="27"/>
  <c r="J138" i="27"/>
  <c r="N137" i="27"/>
  <c r="J137" i="27"/>
  <c r="F50" i="15"/>
  <c r="D74" i="27"/>
  <c r="B45" i="19"/>
  <c r="B46" i="19" s="1"/>
  <c r="B35" i="19"/>
  <c r="D46" i="1" s="1"/>
  <c r="F3" i="15"/>
  <c r="F4" i="15"/>
  <c r="F5" i="15"/>
  <c r="F6" i="15"/>
  <c r="F7" i="15"/>
  <c r="F8" i="15"/>
  <c r="F9" i="15"/>
  <c r="F12" i="15"/>
  <c r="F13" i="15"/>
  <c r="F14" i="15"/>
  <c r="F15" i="15"/>
  <c r="F16" i="15"/>
  <c r="F17" i="15"/>
  <c r="F18" i="15"/>
  <c r="F21" i="15"/>
  <c r="F22" i="15"/>
  <c r="F23" i="15"/>
  <c r="F24" i="15"/>
  <c r="F25" i="15"/>
  <c r="F26" i="15"/>
  <c r="F29" i="15"/>
  <c r="F30" i="15"/>
  <c r="F31" i="15"/>
  <c r="F32" i="15"/>
  <c r="F33" i="15"/>
  <c r="F34" i="15"/>
  <c r="C37" i="15"/>
  <c r="F37" i="15"/>
  <c r="F38" i="15" s="1"/>
  <c r="F40" i="15"/>
  <c r="F41" i="15"/>
  <c r="F42" i="15"/>
  <c r="F43" i="15"/>
  <c r="F44" i="15"/>
  <c r="F45" i="15"/>
  <c r="F49" i="15"/>
  <c r="F52" i="15"/>
  <c r="F53" i="15"/>
  <c r="F54" i="15"/>
  <c r="F3" i="18"/>
  <c r="F4" i="18"/>
  <c r="F5" i="18"/>
  <c r="F6" i="18"/>
  <c r="F7" i="18"/>
  <c r="F8" i="18"/>
  <c r="F9" i="18"/>
  <c r="F12" i="18"/>
  <c r="F13" i="18"/>
  <c r="F14" i="18"/>
  <c r="F19" i="18" s="1"/>
  <c r="F15" i="18"/>
  <c r="F16" i="18"/>
  <c r="F17" i="18"/>
  <c r="F18" i="18"/>
  <c r="F21" i="18"/>
  <c r="F22" i="18"/>
  <c r="F23" i="18"/>
  <c r="F24" i="18"/>
  <c r="F25" i="18"/>
  <c r="F26" i="18"/>
  <c r="F29" i="18"/>
  <c r="F30" i="18"/>
  <c r="F31" i="18"/>
  <c r="F32" i="18"/>
  <c r="F33" i="18"/>
  <c r="F34" i="18"/>
  <c r="F35" i="18" s="1"/>
  <c r="C37" i="18"/>
  <c r="F40" i="18"/>
  <c r="F41" i="18"/>
  <c r="F42" i="18"/>
  <c r="F43" i="18"/>
  <c r="F44" i="18"/>
  <c r="F45" i="18"/>
  <c r="F49" i="18"/>
  <c r="F56" i="18" s="1"/>
  <c r="F52" i="18"/>
  <c r="F53" i="18"/>
  <c r="F54" i="18"/>
  <c r="F3" i="16"/>
  <c r="F4" i="16"/>
  <c r="F5" i="16"/>
  <c r="F6" i="16"/>
  <c r="F7" i="16"/>
  <c r="F8" i="16"/>
  <c r="F11" i="16"/>
  <c r="F12" i="16"/>
  <c r="F13" i="16"/>
  <c r="F17" i="16" s="1"/>
  <c r="F14" i="16"/>
  <c r="F15" i="16"/>
  <c r="F16" i="16"/>
  <c r="F19" i="16"/>
  <c r="F25" i="16" s="1"/>
  <c r="F20" i="16"/>
  <c r="F21" i="16"/>
  <c r="F22" i="16"/>
  <c r="F23" i="16"/>
  <c r="F24" i="16"/>
  <c r="F27" i="16"/>
  <c r="F28" i="16"/>
  <c r="F29" i="16"/>
  <c r="F33" i="16" s="1"/>
  <c r="F30" i="16"/>
  <c r="F31" i="16"/>
  <c r="F32" i="16"/>
  <c r="F35" i="16"/>
  <c r="F36" i="16"/>
  <c r="F37" i="16"/>
  <c r="F38" i="16"/>
  <c r="F41" i="16"/>
  <c r="F42" i="16"/>
  <c r="F43" i="16"/>
  <c r="F44" i="16"/>
  <c r="F45" i="16"/>
  <c r="F53" i="16"/>
  <c r="F54" i="16"/>
  <c r="F55" i="16"/>
  <c r="F56" i="16"/>
  <c r="F57" i="16"/>
  <c r="F58" i="16"/>
  <c r="F59" i="16"/>
  <c r="F60" i="16"/>
  <c r="H3" i="15"/>
  <c r="H4" i="15"/>
  <c r="H5" i="15"/>
  <c r="H6" i="15"/>
  <c r="H7" i="15"/>
  <c r="H8" i="15"/>
  <c r="H9" i="15"/>
  <c r="H12" i="15"/>
  <c r="H13" i="15"/>
  <c r="H14" i="15"/>
  <c r="H15" i="15"/>
  <c r="H16" i="15"/>
  <c r="H17" i="15"/>
  <c r="H18" i="15"/>
  <c r="H21" i="15"/>
  <c r="H22" i="15"/>
  <c r="H23" i="15"/>
  <c r="H24" i="15"/>
  <c r="H25" i="15"/>
  <c r="H26" i="15"/>
  <c r="H29" i="15"/>
  <c r="H30" i="15"/>
  <c r="H31" i="15"/>
  <c r="H32" i="15"/>
  <c r="H33" i="15"/>
  <c r="H34" i="15"/>
  <c r="H49" i="15"/>
  <c r="H50" i="15"/>
  <c r="H52" i="15"/>
  <c r="H53" i="15"/>
  <c r="H54" i="15"/>
  <c r="H3" i="18"/>
  <c r="H4" i="18"/>
  <c r="H5" i="18"/>
  <c r="H6" i="18"/>
  <c r="H7" i="18"/>
  <c r="H8" i="18"/>
  <c r="H9" i="18"/>
  <c r="H12" i="18"/>
  <c r="H13" i="18"/>
  <c r="H14" i="18"/>
  <c r="H15" i="18"/>
  <c r="H16" i="18"/>
  <c r="H17" i="18"/>
  <c r="H18" i="18"/>
  <c r="H21" i="18"/>
  <c r="H22" i="18"/>
  <c r="H23" i="18"/>
  <c r="H24" i="18"/>
  <c r="H25" i="18"/>
  <c r="H26" i="18"/>
  <c r="H29" i="18"/>
  <c r="H35" i="18" s="1"/>
  <c r="H30" i="18"/>
  <c r="H31" i="18"/>
  <c r="H32" i="18"/>
  <c r="H33" i="18"/>
  <c r="H34" i="18"/>
  <c r="H49" i="18"/>
  <c r="H50" i="18"/>
  <c r="H52" i="18"/>
  <c r="H53" i="18"/>
  <c r="H54" i="18"/>
  <c r="H3" i="16"/>
  <c r="H4" i="16"/>
  <c r="H5" i="16"/>
  <c r="H6" i="16"/>
  <c r="H7" i="16"/>
  <c r="H8" i="16"/>
  <c r="H9" i="16" s="1"/>
  <c r="H11" i="16"/>
  <c r="H12" i="16"/>
  <c r="H13" i="16"/>
  <c r="H14" i="16"/>
  <c r="H15" i="16"/>
  <c r="H16" i="16"/>
  <c r="H19" i="16"/>
  <c r="H20" i="16"/>
  <c r="H21" i="16"/>
  <c r="H22" i="16"/>
  <c r="H23" i="16"/>
  <c r="H24" i="16"/>
  <c r="H27" i="16"/>
  <c r="H28" i="16"/>
  <c r="H29" i="16"/>
  <c r="H30" i="16"/>
  <c r="H33" i="16" s="1"/>
  <c r="H31" i="16"/>
  <c r="H32" i="16"/>
  <c r="H35" i="16"/>
  <c r="H36" i="16"/>
  <c r="H37" i="16"/>
  <c r="H38" i="16"/>
  <c r="H52" i="16"/>
  <c r="H53" i="16"/>
  <c r="H54" i="16"/>
  <c r="H55" i="16"/>
  <c r="H56" i="16"/>
  <c r="H57" i="16"/>
  <c r="H58" i="16"/>
  <c r="H59" i="16"/>
  <c r="H60" i="16"/>
  <c r="E55" i="1"/>
  <c r="E56" i="1"/>
  <c r="J50" i="27" s="1"/>
  <c r="C3" i="22"/>
  <c r="K3" i="22"/>
  <c r="C48" i="16"/>
  <c r="K2" i="1"/>
  <c r="K5" i="22" s="1"/>
  <c r="H46" i="18"/>
  <c r="H46" i="15"/>
  <c r="C62" i="16"/>
  <c r="H46" i="16"/>
  <c r="H49" i="16"/>
  <c r="F49" i="16"/>
  <c r="D75" i="27"/>
  <c r="L15" i="22"/>
  <c r="D70" i="27"/>
  <c r="C46" i="1"/>
  <c r="E50" i="1" s="1"/>
  <c r="E53" i="1"/>
  <c r="D66" i="27"/>
  <c r="D71" i="27"/>
  <c r="H37" i="15"/>
  <c r="H38" i="15" s="1"/>
  <c r="F37" i="18"/>
  <c r="F38" i="18" s="1"/>
  <c r="H37" i="18"/>
  <c r="H38" i="18" s="1"/>
  <c r="D80" i="27"/>
  <c r="D72" i="27"/>
  <c r="D69" i="27"/>
  <c r="D68" i="27"/>
  <c r="F68" i="27" l="1"/>
  <c r="F72" i="27"/>
  <c r="D143" i="30"/>
  <c r="F20" i="1"/>
  <c r="G28" i="27" s="1"/>
  <c r="C20" i="1"/>
  <c r="D28" i="27" s="1"/>
  <c r="D117" i="30"/>
  <c r="F143" i="30"/>
  <c r="E143" i="30"/>
  <c r="D114" i="30"/>
  <c r="C143" i="30"/>
  <c r="C24" i="1"/>
  <c r="D30" i="27" s="1"/>
  <c r="D116" i="30"/>
  <c r="C25" i="1"/>
  <c r="D31" i="27" s="1"/>
  <c r="C13" i="1"/>
  <c r="D47" i="27" s="1"/>
  <c r="D115" i="30"/>
  <c r="F46" i="16"/>
  <c r="H35" i="15"/>
  <c r="F46" i="18"/>
  <c r="F46" i="15"/>
  <c r="F27" i="15"/>
  <c r="F10" i="15"/>
  <c r="K18" i="1"/>
  <c r="E73" i="27"/>
  <c r="F73" i="27" s="1"/>
  <c r="J73" i="27" s="1"/>
  <c r="K26" i="1"/>
  <c r="E80" i="27"/>
  <c r="F80" i="27" s="1"/>
  <c r="J80" i="27" s="1"/>
  <c r="K17" i="1"/>
  <c r="E70" i="27"/>
  <c r="F70" i="27" s="1"/>
  <c r="J70" i="27" s="1"/>
  <c r="K16" i="1"/>
  <c r="E69" i="27"/>
  <c r="F69" i="27" s="1"/>
  <c r="J69" i="27" s="1"/>
  <c r="K12" i="1"/>
  <c r="E66" i="27"/>
  <c r="F66" i="27" s="1"/>
  <c r="F74" i="27"/>
  <c r="K24" i="1"/>
  <c r="E75" i="27"/>
  <c r="F75" i="27" s="1"/>
  <c r="J75" i="27" s="1"/>
  <c r="K20" i="1"/>
  <c r="E71" i="27"/>
  <c r="F71" i="27" s="1"/>
  <c r="J71" i="27" s="1"/>
  <c r="J24" i="27"/>
  <c r="H25" i="16"/>
  <c r="H65" i="18"/>
  <c r="F65" i="18"/>
  <c r="F19" i="15"/>
  <c r="E46" i="1"/>
  <c r="H61" i="16"/>
  <c r="H56" i="15"/>
  <c r="F61" i="15" s="1"/>
  <c r="H10" i="15"/>
  <c r="H56" i="18"/>
  <c r="H19" i="15"/>
  <c r="F61" i="16"/>
  <c r="F39" i="16"/>
  <c r="F9" i="16"/>
  <c r="W47" i="17"/>
  <c r="X47" i="17"/>
  <c r="H39" i="16"/>
  <c r="H27" i="18"/>
  <c r="H10" i="18"/>
  <c r="F35" i="15"/>
  <c r="H16" i="17"/>
  <c r="H62" i="16"/>
  <c r="H19" i="18"/>
  <c r="F56" i="15"/>
  <c r="F58" i="15" s="1"/>
  <c r="F64" i="15" s="1"/>
  <c r="F22" i="1" s="1"/>
  <c r="H64" i="15"/>
  <c r="C22" i="1" s="1"/>
  <c r="D22" i="1" s="1"/>
  <c r="F27" i="18"/>
  <c r="H17" i="16"/>
  <c r="H27" i="15"/>
  <c r="F62" i="18"/>
  <c r="F61" i="18"/>
  <c r="F39" i="17"/>
  <c r="H39" i="17"/>
  <c r="J74" i="27"/>
  <c r="F16" i="17"/>
  <c r="J19" i="1"/>
  <c r="F62" i="16"/>
  <c r="C47" i="17"/>
  <c r="H47" i="17" s="1"/>
  <c r="F10" i="18"/>
  <c r="F58" i="18" s="1"/>
  <c r="J25" i="27"/>
  <c r="J62" i="27"/>
  <c r="J40" i="27"/>
  <c r="G18" i="27"/>
  <c r="J44" i="27"/>
  <c r="H41" i="1"/>
  <c r="J39" i="27"/>
  <c r="G13" i="27"/>
  <c r="G16" i="27"/>
  <c r="G17" i="27"/>
  <c r="G14" i="27"/>
  <c r="H37" i="17"/>
  <c r="F37" i="17"/>
  <c r="H41" i="17"/>
  <c r="F41" i="17"/>
  <c r="C32" i="17"/>
  <c r="F32" i="17" s="1"/>
  <c r="F34" i="17" s="1"/>
  <c r="H38" i="17"/>
  <c r="H42" i="17"/>
  <c r="F42" i="17"/>
  <c r="H43" i="17"/>
  <c r="F43" i="17"/>
  <c r="H12" i="17"/>
  <c r="C48" i="17"/>
  <c r="F48" i="17" s="1"/>
  <c r="F12" i="17"/>
  <c r="K15" i="1"/>
  <c r="K21" i="1"/>
  <c r="B36" i="19"/>
  <c r="M22" i="33"/>
  <c r="C54" i="1" s="1"/>
  <c r="D49" i="27" s="1"/>
  <c r="F49" i="27" s="1"/>
  <c r="L22" i="22"/>
  <c r="L23" i="22"/>
  <c r="J38" i="27"/>
  <c r="L16" i="22"/>
  <c r="B116" i="30"/>
  <c r="H27" i="17"/>
  <c r="F27" i="17"/>
  <c r="F44" i="17"/>
  <c r="F40" i="17"/>
  <c r="C45" i="17"/>
  <c r="F51" i="17" s="1"/>
  <c r="V32" i="33"/>
  <c r="E32" i="1"/>
  <c r="L19" i="22"/>
  <c r="S32" i="33"/>
  <c r="S34" i="33"/>
  <c r="D22" i="32"/>
  <c r="E64" i="27"/>
  <c r="D32" i="27" l="1"/>
  <c r="R31" i="33"/>
  <c r="R33" i="33" s="1"/>
  <c r="T32" i="33"/>
  <c r="T34" i="33"/>
  <c r="R34" i="33"/>
  <c r="B143" i="30"/>
  <c r="U32" i="33"/>
  <c r="U34" i="33"/>
  <c r="D113" i="30"/>
  <c r="D10" i="33"/>
  <c r="B117" i="30"/>
  <c r="B115" i="30"/>
  <c r="V30" i="33"/>
  <c r="C117" i="30"/>
  <c r="V31" i="33"/>
  <c r="V33" i="33" s="1"/>
  <c r="U30" i="33"/>
  <c r="T30" i="33"/>
  <c r="S30" i="33"/>
  <c r="B114" i="30"/>
  <c r="C34" i="17"/>
  <c r="H32" i="17"/>
  <c r="H34" i="17" s="1"/>
  <c r="C114" i="30"/>
  <c r="S31" i="33"/>
  <c r="S33" i="33" s="1"/>
  <c r="F62" i="15"/>
  <c r="U31" i="33"/>
  <c r="U33" i="33" s="1"/>
  <c r="C116" i="30"/>
  <c r="T31" i="33"/>
  <c r="T33" i="33" s="1"/>
  <c r="C115" i="30"/>
  <c r="J36" i="27"/>
  <c r="F64" i="27"/>
  <c r="E22" i="1"/>
  <c r="E32" i="27"/>
  <c r="F32" i="27" s="1"/>
  <c r="C50" i="17"/>
  <c r="F47" i="17"/>
  <c r="F50" i="17" s="1"/>
  <c r="J72" i="27"/>
  <c r="E54" i="1"/>
  <c r="F54" i="1" s="1"/>
  <c r="G32" i="27"/>
  <c r="J68" i="27"/>
  <c r="J66" i="27"/>
  <c r="H48" i="17"/>
  <c r="H50" i="17" s="1"/>
  <c r="H45" i="17"/>
  <c r="F45" i="17"/>
  <c r="J37" i="27"/>
  <c r="B135" i="30"/>
  <c r="J49" i="27"/>
  <c r="D77" i="27"/>
  <c r="J11" i="1"/>
  <c r="E77" i="27" s="1"/>
  <c r="D76" i="27"/>
  <c r="J10" i="1"/>
  <c r="L30" i="1"/>
  <c r="K6" i="1"/>
  <c r="D8" i="33" l="1"/>
  <c r="F8" i="33" s="1"/>
  <c r="C16" i="1" s="1"/>
  <c r="D18" i="27" s="1"/>
  <c r="F10" i="33"/>
  <c r="I8" i="1" s="1"/>
  <c r="I33" i="1" s="1"/>
  <c r="D5" i="33"/>
  <c r="F142" i="30"/>
  <c r="C142" i="30"/>
  <c r="E142" i="30"/>
  <c r="D67" i="27"/>
  <c r="D142" i="30"/>
  <c r="J14" i="1"/>
  <c r="K14" i="1" s="1"/>
  <c r="L33" i="1"/>
  <c r="I51" i="27"/>
  <c r="J51" i="27" s="1"/>
  <c r="F77" i="27"/>
  <c r="K10" i="1"/>
  <c r="E76" i="27"/>
  <c r="F76" i="27" s="1"/>
  <c r="J32" i="27"/>
  <c r="J35" i="22"/>
  <c r="L9" i="22"/>
  <c r="F49" i="17"/>
  <c r="H49" i="17"/>
  <c r="H53" i="17"/>
  <c r="F53" i="17"/>
  <c r="F19" i="1" s="1"/>
  <c r="G27" i="27" s="1"/>
  <c r="K11" i="1"/>
  <c r="D33" i="27"/>
  <c r="C19" i="1" l="1"/>
  <c r="D27" i="27" s="1"/>
  <c r="X105" i="30"/>
  <c r="R32" i="33"/>
  <c r="D6" i="33" s="1"/>
  <c r="R30" i="33"/>
  <c r="D4" i="33" s="1"/>
  <c r="I116" i="30"/>
  <c r="G116" i="30"/>
  <c r="G114" i="30"/>
  <c r="I114" i="30"/>
  <c r="G115" i="30"/>
  <c r="I115" i="30"/>
  <c r="I117" i="30"/>
  <c r="G117" i="30"/>
  <c r="D65" i="27"/>
  <c r="C45" i="1"/>
  <c r="B141" i="30" s="1"/>
  <c r="J8" i="1"/>
  <c r="E65" i="27" s="1"/>
  <c r="D7" i="33"/>
  <c r="F7" i="33" s="1"/>
  <c r="C7" i="1" s="1"/>
  <c r="D16" i="27" s="1"/>
  <c r="B113" i="30"/>
  <c r="B123" i="30" s="1"/>
  <c r="C113" i="30"/>
  <c r="E67" i="27"/>
  <c r="F67" i="27" s="1"/>
  <c r="J67" i="27" s="1"/>
  <c r="J77" i="27"/>
  <c r="J76" i="27"/>
  <c r="F5" i="33"/>
  <c r="C9" i="1" s="1"/>
  <c r="D17" i="27" s="1"/>
  <c r="J64" i="27"/>
  <c r="E52" i="1" l="1"/>
  <c r="F79" i="27" s="1"/>
  <c r="J79" i="27" s="1"/>
  <c r="F65" i="27"/>
  <c r="J65" i="27" s="1"/>
  <c r="E49" i="1"/>
  <c r="F78" i="27" s="1"/>
  <c r="J78" i="27" s="1"/>
  <c r="K8" i="1"/>
  <c r="B139" i="30" s="1"/>
  <c r="F6" i="33"/>
  <c r="C18" i="1" s="1"/>
  <c r="D26" i="27" s="1"/>
  <c r="B142" i="30"/>
  <c r="F33" i="1"/>
  <c r="C43" i="1" s="1"/>
  <c r="E43" i="1" s="1"/>
  <c r="G113" i="30" l="1"/>
  <c r="B5" i="19" s="1"/>
  <c r="I113" i="30"/>
  <c r="K33" i="1"/>
  <c r="G140" i="27" l="1"/>
  <c r="F4" i="33"/>
  <c r="C6" i="1" s="1"/>
  <c r="D14" i="27" s="1"/>
  <c r="C33" i="1" l="1"/>
  <c r="B137" i="30"/>
  <c r="D140" i="27"/>
  <c r="C44" i="1" l="1"/>
  <c r="B127" i="30" l="1"/>
  <c r="B136" i="30" s="1"/>
  <c r="E48" i="1"/>
  <c r="F53" i="27" s="1"/>
  <c r="J53" i="27" s="1"/>
  <c r="E51" i="1"/>
  <c r="F54" i="27" s="1"/>
  <c r="J54" i="27" s="1"/>
  <c r="B6" i="19"/>
  <c r="B140" i="30"/>
  <c r="E47" i="1"/>
  <c r="I52" i="27" s="1"/>
  <c r="B129" i="30" l="1"/>
  <c r="G120" i="30"/>
  <c r="G119" i="30"/>
  <c r="I121" i="30"/>
  <c r="I120" i="30"/>
  <c r="I118" i="30"/>
  <c r="I119" i="30"/>
  <c r="G121" i="30"/>
  <c r="G118" i="30"/>
  <c r="D19" i="1"/>
  <c r="D7" i="1"/>
  <c r="D14" i="1"/>
  <c r="D31" i="1"/>
  <c r="D16" i="1"/>
  <c r="D12" i="1"/>
  <c r="D8" i="1"/>
  <c r="D24" i="1"/>
  <c r="D13" i="1"/>
  <c r="D28" i="1"/>
  <c r="D21" i="1"/>
  <c r="D9" i="1"/>
  <c r="D18" i="1"/>
  <c r="D25" i="1"/>
  <c r="D20" i="1"/>
  <c r="D10" i="1"/>
  <c r="D27" i="1"/>
  <c r="D6" i="1"/>
  <c r="H115" i="30" l="1"/>
  <c r="H114" i="30"/>
  <c r="H116" i="30"/>
  <c r="H113" i="30"/>
  <c r="H117" i="30"/>
  <c r="E33" i="27"/>
  <c r="F33" i="27" s="1"/>
  <c r="J33" i="27" s="1"/>
  <c r="E27" i="1"/>
  <c r="E17" i="27"/>
  <c r="F17" i="27" s="1"/>
  <c r="J17" i="27" s="1"/>
  <c r="E9" i="1"/>
  <c r="E60" i="27"/>
  <c r="F60" i="27" s="1"/>
  <c r="J60" i="27" s="1"/>
  <c r="E31" i="1"/>
  <c r="E13" i="1"/>
  <c r="E47" i="27"/>
  <c r="F47" i="27" s="1"/>
  <c r="J47" i="27" s="1"/>
  <c r="E19" i="1"/>
  <c r="E27" i="27"/>
  <c r="F27" i="27" s="1"/>
  <c r="J27" i="27" s="1"/>
  <c r="E10" i="1"/>
  <c r="L13" i="22" s="1"/>
  <c r="E19" i="27"/>
  <c r="F19" i="27" s="1"/>
  <c r="J19" i="27" s="1"/>
  <c r="E29" i="27"/>
  <c r="F29" i="27" s="1"/>
  <c r="J29" i="27" s="1"/>
  <c r="E21" i="1"/>
  <c r="E22" i="27"/>
  <c r="F22" i="27" s="1"/>
  <c r="J22" i="27" s="1"/>
  <c r="E14" i="1"/>
  <c r="J52" i="27"/>
  <c r="I140" i="27"/>
  <c r="E18" i="1"/>
  <c r="E26" i="27"/>
  <c r="F26" i="27" s="1"/>
  <c r="J26" i="27" s="1"/>
  <c r="E18" i="27"/>
  <c r="F18" i="27" s="1"/>
  <c r="J18" i="27" s="1"/>
  <c r="E16" i="1"/>
  <c r="E24" i="1"/>
  <c r="E30" i="27"/>
  <c r="F30" i="27" s="1"/>
  <c r="J30" i="27" s="1"/>
  <c r="E20" i="1"/>
  <c r="L21" i="22"/>
  <c r="E28" i="27"/>
  <c r="F28" i="27" s="1"/>
  <c r="J28" i="27" s="1"/>
  <c r="E8" i="1"/>
  <c r="E13" i="27"/>
  <c r="F13" i="27" s="1"/>
  <c r="E14" i="27"/>
  <c r="F14" i="27" s="1"/>
  <c r="J14" i="27" s="1"/>
  <c r="E6" i="1"/>
  <c r="L11" i="22" s="1"/>
  <c r="D44" i="1"/>
  <c r="E25" i="1"/>
  <c r="E31" i="27"/>
  <c r="F31" i="27" s="1"/>
  <c r="J31" i="27" s="1"/>
  <c r="E28" i="1"/>
  <c r="E34" i="27"/>
  <c r="F34" i="27" s="1"/>
  <c r="J34" i="27" s="1"/>
  <c r="E46" i="27"/>
  <c r="F46" i="27" s="1"/>
  <c r="J46" i="27" s="1"/>
  <c r="E12" i="1"/>
  <c r="L17" i="22" s="1"/>
  <c r="E7" i="1"/>
  <c r="E16" i="27"/>
  <c r="F16" i="27" s="1"/>
  <c r="J16" i="27" s="1"/>
  <c r="L18" i="22" l="1"/>
  <c r="L12" i="22"/>
  <c r="L20" i="22"/>
  <c r="B134" i="30"/>
  <c r="B138" i="30"/>
  <c r="J27" i="1"/>
  <c r="E44" i="1"/>
  <c r="E33" i="1"/>
  <c r="J13" i="27"/>
  <c r="F140" i="27"/>
  <c r="L14" i="22" l="1"/>
  <c r="D45" i="1"/>
  <c r="H121" i="30"/>
  <c r="H119" i="30"/>
  <c r="H120" i="30"/>
  <c r="H118" i="30"/>
  <c r="E113" i="30" l="1"/>
  <c r="L113" i="30" s="1"/>
  <c r="E114" i="30"/>
  <c r="L114" i="30" s="1"/>
  <c r="N114" i="30" s="1"/>
  <c r="E115" i="30"/>
  <c r="L115" i="30" s="1"/>
  <c r="M115" i="30" s="1"/>
  <c r="E116" i="30"/>
  <c r="L116" i="30" s="1"/>
  <c r="N116" i="30" s="1"/>
  <c r="E117" i="30"/>
  <c r="L117" i="30" s="1"/>
  <c r="N117" i="30" s="1"/>
  <c r="E45" i="1"/>
  <c r="E120" i="30"/>
  <c r="N120" i="30" s="1"/>
  <c r="E119" i="30"/>
  <c r="N119" i="30" s="1"/>
  <c r="E121" i="30"/>
  <c r="N121" i="30" s="1"/>
  <c r="E118" i="30"/>
  <c r="N118" i="30" s="1"/>
  <c r="E122" i="30"/>
  <c r="N122" i="30" s="1"/>
  <c r="N113" i="30" l="1"/>
  <c r="M113" i="30"/>
  <c r="M117" i="30"/>
  <c r="M114" i="30"/>
  <c r="N115" i="30"/>
  <c r="M116" i="30"/>
  <c r="B128" i="30"/>
  <c r="E58" i="1"/>
  <c r="L38" i="1" s="1"/>
  <c r="H48" i="27" l="1"/>
  <c r="N123" i="30"/>
  <c r="E60" i="1"/>
  <c r="E71" i="1" s="1"/>
  <c r="B133" i="30" l="1"/>
  <c r="E62" i="1"/>
  <c r="L10" i="22"/>
  <c r="L26" i="22" s="1"/>
  <c r="L29" i="22" s="1"/>
  <c r="L41" i="1"/>
  <c r="C41" i="1" s="1"/>
  <c r="C63" i="1" s="1"/>
  <c r="K62" i="1" s="1"/>
  <c r="H140" i="27"/>
  <c r="E63" i="1" l="1"/>
  <c r="E64" i="1" s="1"/>
  <c r="K59" i="1" s="1"/>
  <c r="K60" i="1" s="1"/>
  <c r="J48" i="27"/>
  <c r="J140" i="27" s="1"/>
  <c r="J141" i="27" s="1"/>
  <c r="K64" i="1" l="1"/>
  <c r="B130" i="30" s="1"/>
  <c r="K61" i="1"/>
  <c r="K63" i="1"/>
  <c r="P27" i="22"/>
  <c r="Q27" i="22" s="1"/>
  <c r="O15" i="22" s="1"/>
  <c r="J8" i="27"/>
  <c r="J10" i="27" s="1"/>
  <c r="L56" i="1"/>
  <c r="L57" i="1"/>
  <c r="L55" i="1"/>
  <c r="O10" i="22" l="1"/>
  <c r="O12" i="22"/>
  <c r="O9" i="22"/>
  <c r="O14" i="22"/>
  <c r="O18" i="22"/>
  <c r="O20" i="22"/>
  <c r="O25" i="22"/>
  <c r="O11" i="22"/>
  <c r="O21" i="22"/>
  <c r="O22" i="22"/>
  <c r="O13" i="22"/>
  <c r="O17" i="22"/>
  <c r="O16" i="22"/>
  <c r="O23" i="22"/>
  <c r="O19" i="22"/>
  <c r="O26" i="2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shannonb</author>
  </authors>
  <commentList>
    <comment ref="F29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Additional $75.00 for consumables needed for this installation.</t>
        </r>
      </text>
    </comment>
  </commentList>
</comments>
</file>

<file path=xl/sharedStrings.xml><?xml version="1.0" encoding="utf-8"?>
<sst xmlns="http://schemas.openxmlformats.org/spreadsheetml/2006/main" count="1820" uniqueCount="717">
  <si>
    <t>CODE</t>
  </si>
  <si>
    <t>TASK</t>
  </si>
  <si>
    <t>HRS</t>
  </si>
  <si>
    <t>LABOR$</t>
  </si>
  <si>
    <t>MAT'L</t>
  </si>
  <si>
    <t>TASK:</t>
  </si>
  <si>
    <t>DEMO</t>
  </si>
  <si>
    <t>GAS PIPE</t>
  </si>
  <si>
    <t>TOTALS:</t>
  </si>
  <si>
    <t>SUBCONTRACTORS</t>
  </si>
  <si>
    <t>COST</t>
  </si>
  <si>
    <t>SUBS</t>
  </si>
  <si>
    <t>AIR BALANCE</t>
  </si>
  <si>
    <t>INSULATION</t>
  </si>
  <si>
    <t>CONTROLS</t>
  </si>
  <si>
    <t>ELECTRICAL</t>
  </si>
  <si>
    <t>TOTAL SUBS/MISC:</t>
  </si>
  <si>
    <t>TOTAL SUBS:</t>
  </si>
  <si>
    <t>SUMMARY</t>
  </si>
  <si>
    <t>COST/HRS</t>
  </si>
  <si>
    <t>RATE:</t>
  </si>
  <si>
    <t>SUB-TOTAL</t>
  </si>
  <si>
    <t>MATERIAL</t>
  </si>
  <si>
    <t>LABOR               /HR</t>
  </si>
  <si>
    <t>SUBS/MISC</t>
  </si>
  <si>
    <t xml:space="preserve">                                                             </t>
  </si>
  <si>
    <t xml:space="preserve">                                                                       </t>
  </si>
  <si>
    <t xml:space="preserve">                                                                                </t>
  </si>
  <si>
    <t>NOTES:</t>
  </si>
  <si>
    <t>SUB-TOTAL:</t>
  </si>
  <si>
    <t>TOTAL:</t>
  </si>
  <si>
    <t>Filters</t>
  </si>
  <si>
    <t>Cost</t>
  </si>
  <si>
    <t>Per Unit</t>
  </si>
  <si>
    <t>Qty</t>
  </si>
  <si>
    <t>TOTALS</t>
  </si>
  <si>
    <t>SUBSISTANCE</t>
  </si>
  <si>
    <t>INDIRECT</t>
  </si>
  <si>
    <t>SCHEDULE OF VALUES WORKSHEET</t>
  </si>
  <si>
    <t>EMERALD AIRE, INC.</t>
  </si>
  <si>
    <t>(IN HOUSE ONLY)</t>
  </si>
  <si>
    <t>PROJECT:</t>
  </si>
  <si>
    <t>JOB NO.:</t>
  </si>
  <si>
    <t>DURATION:</t>
  </si>
  <si>
    <t>DATE:</t>
  </si>
  <si>
    <t>FABRICATION</t>
  </si>
  <si>
    <t>Actual Sell Price</t>
  </si>
  <si>
    <t>Actual Mark Up</t>
  </si>
  <si>
    <t>REFER PIPE</t>
  </si>
  <si>
    <t xml:space="preserve"> </t>
  </si>
  <si>
    <t>OVERHEAD MARK-UP</t>
  </si>
  <si>
    <t>MARK-UP on SUB TOTAL (Profit)</t>
  </si>
  <si>
    <t>ACTUAL SELL PRICE FROM SUMMARY SHEET</t>
  </si>
  <si>
    <t>DIFFERENCE RATIO, USED IN CALCULATION</t>
  </si>
  <si>
    <t>Other</t>
  </si>
  <si>
    <t>Total Others</t>
  </si>
  <si>
    <t>COMMISSIONING</t>
  </si>
  <si>
    <t>$/TON:</t>
  </si>
  <si>
    <t>$/Sq Ft:</t>
  </si>
  <si>
    <t>Item</t>
  </si>
  <si>
    <t>Size</t>
  </si>
  <si>
    <t>Quantity</t>
  </si>
  <si>
    <t>Unit</t>
  </si>
  <si>
    <t>Total cost</t>
  </si>
  <si>
    <t>Labor Unit</t>
  </si>
  <si>
    <t>Total labor</t>
  </si>
  <si>
    <t>Piping</t>
  </si>
  <si>
    <t>1/2"</t>
  </si>
  <si>
    <t>l/f</t>
  </si>
  <si>
    <t>3/4"</t>
  </si>
  <si>
    <t>1"</t>
  </si>
  <si>
    <t>1-1/4"</t>
  </si>
  <si>
    <t>1-1/2"</t>
  </si>
  <si>
    <t>2"</t>
  </si>
  <si>
    <t>2-1/2"</t>
  </si>
  <si>
    <t>Elbows</t>
  </si>
  <si>
    <t>ea</t>
  </si>
  <si>
    <t>Tees</t>
  </si>
  <si>
    <t>Valves</t>
  </si>
  <si>
    <t>Hangars</t>
  </si>
  <si>
    <t>all</t>
  </si>
  <si>
    <t>Couplings</t>
  </si>
  <si>
    <t>w/fitting</t>
  </si>
  <si>
    <t>2 1/2"</t>
  </si>
  <si>
    <t>Armstrong</t>
  </si>
  <si>
    <t xml:space="preserve">unit </t>
  </si>
  <si>
    <t>cost</t>
  </si>
  <si>
    <t>55 gal</t>
  </si>
  <si>
    <t>3/8"</t>
  </si>
  <si>
    <t>5/8"</t>
  </si>
  <si>
    <t>7/8"</t>
  </si>
  <si>
    <t>1 1/8"</t>
  </si>
  <si>
    <t>1 3/8"</t>
  </si>
  <si>
    <t>1 5/8"</t>
  </si>
  <si>
    <t>Hot Gas BP</t>
  </si>
  <si>
    <t>Any</t>
  </si>
  <si>
    <t>Pipe Insul</t>
  </si>
  <si>
    <t>lin-ft</t>
  </si>
  <si>
    <t>Short Ells</t>
  </si>
  <si>
    <t>Long Ells</t>
  </si>
  <si>
    <t>Sub Total =&gt;</t>
  </si>
  <si>
    <t>Misc.</t>
  </si>
  <si>
    <t>?</t>
  </si>
  <si>
    <t xml:space="preserve">    PRV vent</t>
  </si>
  <si>
    <t xml:space="preserve">    Vent Riser</t>
  </si>
  <si>
    <t xml:space="preserve">    Set Tank</t>
  </si>
  <si>
    <t xml:space="preserve">    Quick Disk</t>
  </si>
  <si>
    <t xml:space="preserve">    Filters</t>
  </si>
  <si>
    <t xml:space="preserve">    Atuo Drains</t>
  </si>
  <si>
    <t xml:space="preserve">    Glycol</t>
  </si>
  <si>
    <t xml:space="preserve"> Balancing</t>
  </si>
  <si>
    <t xml:space="preserve">  Valves</t>
  </si>
  <si>
    <t xml:space="preserve">    thermom</t>
  </si>
  <si>
    <t xml:space="preserve">    Strainer</t>
  </si>
  <si>
    <t xml:space="preserve">    Ctrl Valve</t>
  </si>
  <si>
    <t xml:space="preserve">    Pete Plug</t>
  </si>
  <si>
    <t xml:space="preserve">    Unions</t>
  </si>
  <si>
    <t xml:space="preserve">    Exp. Tank</t>
  </si>
  <si>
    <t xml:space="preserve">    Air Vents</t>
  </si>
  <si>
    <t xml:space="preserve">    Flow Switch</t>
  </si>
  <si>
    <t>Black Pipe (Gas) Work Sheet</t>
  </si>
  <si>
    <t>Galvanized Pipe (Gas) Work Sheet</t>
  </si>
  <si>
    <t>R</t>
  </si>
  <si>
    <t>ITEM</t>
  </si>
  <si>
    <t>SIZE</t>
  </si>
  <si>
    <t>Black Pipe (Gas) Pricing</t>
  </si>
  <si>
    <t>Copper Pipe (Water) Pricing</t>
  </si>
  <si>
    <t>Copper Pipe (Water) Work Sheet</t>
  </si>
  <si>
    <t>Pipe Insulation</t>
  </si>
  <si>
    <t>Exp. Tank</t>
  </si>
  <si>
    <t>Air Vents</t>
  </si>
  <si>
    <t>Flow Switch</t>
  </si>
  <si>
    <t>Thermom</t>
  </si>
  <si>
    <t>Glycol</t>
  </si>
  <si>
    <t>Strainer</t>
  </si>
  <si>
    <t>Ctrl Valve</t>
  </si>
  <si>
    <t>Pete Plug</t>
  </si>
  <si>
    <t>Unions</t>
  </si>
  <si>
    <t>PRV Vent</t>
  </si>
  <si>
    <t>Vent Riser</t>
  </si>
  <si>
    <t>Set Tank</t>
  </si>
  <si>
    <t>Quick Disk</t>
  </si>
  <si>
    <t>Auto Drains</t>
  </si>
  <si>
    <t>Galvanized Pipe (Gas) Pricing</t>
  </si>
  <si>
    <t>Refrigeration Pipe Pricing</t>
  </si>
  <si>
    <t>1-1/8"</t>
  </si>
  <si>
    <t>1-3/8"</t>
  </si>
  <si>
    <t>1-5/8"</t>
  </si>
  <si>
    <t>Reducers</t>
  </si>
  <si>
    <t>(Down to</t>
  </si>
  <si>
    <t>next size)</t>
  </si>
  <si>
    <t>Black Pipe (Gas) Pricing
- Domostic Only -</t>
  </si>
  <si>
    <t>LABOR RATE:</t>
  </si>
  <si>
    <t>AMOUNT</t>
  </si>
  <si>
    <t>TO</t>
  </si>
  <si>
    <t>AND UP</t>
  </si>
  <si>
    <t>RANGE</t>
  </si>
  <si>
    <t>ALTERNATE LABOR RATE:</t>
  </si>
  <si>
    <t>Change the bold red values above to change the range or dollar amount of the formula in cell B5
If you want to simply enter a onetime change in labor rate, enter your dollar amount in cell B6</t>
  </si>
  <si>
    <t>TOTAL
W/MARKUP</t>
  </si>
  <si>
    <t>START/TEST</t>
  </si>
  <si>
    <t>050 USE TAX</t>
  </si>
  <si>
    <t>G.P. BASED ON ACTUAL SELL PRICE:</t>
  </si>
  <si>
    <t>TOTAL ESTIMATE COST:</t>
  </si>
  <si>
    <t>BOND COST (BASED ON ACTUAL SELL PRICE):</t>
  </si>
  <si>
    <t>JOB:</t>
  </si>
  <si>
    <t>ENGR:</t>
  </si>
  <si>
    <t>CUST:</t>
  </si>
  <si>
    <t>LOCATION:</t>
  </si>
  <si>
    <t>TONS OF A/C:</t>
  </si>
  <si>
    <t>DATE ORGINATED:</t>
  </si>
  <si>
    <t>TODAY'S DATE:</t>
  </si>
  <si>
    <t>SQ. FT. :</t>
  </si>
  <si>
    <t xml:space="preserve">FEDERAL JOB :  </t>
  </si>
  <si>
    <t>NO</t>
  </si>
  <si>
    <t>ROOF/G.C.</t>
  </si>
  <si>
    <t xml:space="preserve"># of Sys. </t>
  </si>
  <si>
    <t>Hard</t>
  </si>
  <si>
    <t>2 1/8"</t>
  </si>
  <si>
    <t>Linesets</t>
  </si>
  <si>
    <t>3/8"x3/4"</t>
  </si>
  <si>
    <t>3/8"x7/8"</t>
  </si>
  <si>
    <t>Ells</t>
  </si>
  <si>
    <t>Silent</t>
  </si>
  <si>
    <t>NOTE: DISTRIBUTION BETWEEN UNITS DIVIDED BY 6</t>
  </si>
  <si>
    <t>1 1/8 - 2 1/8"</t>
  </si>
  <si>
    <t>Consumables</t>
  </si>
  <si>
    <t>Nitrogen</t>
  </si>
  <si>
    <t>Total</t>
  </si>
  <si>
    <t>Contract w/out Markups</t>
  </si>
  <si>
    <t>ADJUST FOR PROFIT &amp; MARKUP</t>
  </si>
  <si>
    <t>Hydro**</t>
  </si>
  <si>
    <t>**(IF HYDRO INSTEAD OF SILENT HAND INPUT IN C33)</t>
  </si>
  <si>
    <r>
      <t>Consumables</t>
    </r>
    <r>
      <rPr>
        <sz val="9"/>
        <rFont val="Courier 12cpi"/>
      </rPr>
      <t xml:space="preserve"> - @ 6% of Total Material Cost</t>
    </r>
  </si>
  <si>
    <t>Labor Increase - Open Non-Occupied Buildings - No Change</t>
  </si>
  <si>
    <t>Labor Increase - Condos &amp; Apts - Add 33% of Labor</t>
  </si>
  <si>
    <t>Labor Increase - Small jobs (i.e. TI's) - Add  24% of labor .</t>
  </si>
  <si>
    <t>If Applies      Type the number in Pink in end box.</t>
  </si>
  <si>
    <t>Air Balance</t>
  </si>
  <si>
    <t>Poly Pipe</t>
  </si>
  <si>
    <t>Hard Pipe</t>
  </si>
  <si>
    <t>Copper Pipe</t>
  </si>
  <si>
    <t>Hours</t>
  </si>
  <si>
    <t>Notes:</t>
  </si>
  <si>
    <t>Condensate</t>
  </si>
  <si>
    <t>DESCRIPTION:</t>
  </si>
  <si>
    <t>Start &amp; Test</t>
  </si>
  <si>
    <t>Furnace</t>
  </si>
  <si>
    <t>JOB #:</t>
  </si>
  <si>
    <t>(Based on 50')</t>
  </si>
  <si>
    <t>Demo</t>
  </si>
  <si>
    <t>RES LABOR     / HR</t>
  </si>
  <si>
    <t>Duct Installation &amp; Insulation</t>
  </si>
  <si>
    <t>Engineering / Drawings</t>
  </si>
  <si>
    <t>Mobilization</t>
  </si>
  <si>
    <t>Demolition</t>
  </si>
  <si>
    <t>Detailing</t>
  </si>
  <si>
    <t>Fabrication</t>
  </si>
  <si>
    <t>Equipment &amp; Equipment Installation</t>
  </si>
  <si>
    <t>Grilles, Registers &amp; Diffusers</t>
  </si>
  <si>
    <t>Controls</t>
  </si>
  <si>
    <t>Electrical</t>
  </si>
  <si>
    <t>Misc. Subcontractors</t>
  </si>
  <si>
    <t>Design Build</t>
  </si>
  <si>
    <t>Value of Design Build Box</t>
  </si>
  <si>
    <t>Use Tax</t>
  </si>
  <si>
    <t>Engineering Task Code Totals</t>
  </si>
  <si>
    <t>Residential Venting</t>
  </si>
  <si>
    <t>Commercial Rates</t>
  </si>
  <si>
    <t>Residential Rates</t>
  </si>
  <si>
    <t>Range</t>
  </si>
  <si>
    <t>Amount</t>
  </si>
  <si>
    <t>Value of Full Residential Project</t>
  </si>
  <si>
    <t>Residential Dept. Job</t>
  </si>
  <si>
    <t>Markup on Subtotal Using Sliding Scale</t>
  </si>
  <si>
    <t>Pricing Date: 10/11/10</t>
  </si>
  <si>
    <t>Pricing Date:12/3/10</t>
  </si>
  <si>
    <t>Light Commercial Rates</t>
  </si>
  <si>
    <t>Labor Rate</t>
  </si>
  <si>
    <t>Alternate Labor Rate</t>
  </si>
  <si>
    <t>Indirect:</t>
  </si>
  <si>
    <t>TRUST - COMM</t>
  </si>
  <si>
    <t>TRUST - RES</t>
  </si>
  <si>
    <t>EQUITY - COMM</t>
  </si>
  <si>
    <t>EQUITY - RES</t>
  </si>
  <si>
    <t>CHECK TO INSULATE BOTH LINES====&gt;</t>
  </si>
  <si>
    <t>Multiplier for F47==&gt;</t>
  </si>
  <si>
    <t>Multiplier for F48==&gt;</t>
  </si>
  <si>
    <t>GRD</t>
  </si>
  <si>
    <t>0001-0601</t>
  </si>
  <si>
    <t>0001-0602</t>
  </si>
  <si>
    <t>0001-0603</t>
  </si>
  <si>
    <t>0001-0604</t>
  </si>
  <si>
    <t>0001-0605</t>
  </si>
  <si>
    <t>0001-0606</t>
  </si>
  <si>
    <t>0001-0607</t>
  </si>
  <si>
    <t>0001-0608</t>
  </si>
  <si>
    <t>LC GRD</t>
  </si>
  <si>
    <t>CONDENSATE PIPE</t>
  </si>
  <si>
    <t>OWNER'S TRAINING</t>
  </si>
  <si>
    <t>0003-0601</t>
  </si>
  <si>
    <t>0003-0602</t>
  </si>
  <si>
    <t>0003-0603</t>
  </si>
  <si>
    <t>0003-0604</t>
  </si>
  <si>
    <t>0003-0605</t>
  </si>
  <si>
    <t>0003-0606</t>
  </si>
  <si>
    <t>0003-0607</t>
  </si>
  <si>
    <t>0003-0608</t>
  </si>
  <si>
    <t>0003-0611</t>
  </si>
  <si>
    <t>0001-1004</t>
  </si>
  <si>
    <t>BIM</t>
  </si>
  <si>
    <t>0001-1101</t>
  </si>
  <si>
    <t>0001-1102</t>
  </si>
  <si>
    <t>0001-1103</t>
  </si>
  <si>
    <t>0001-1104</t>
  </si>
  <si>
    <t>0001-1201</t>
  </si>
  <si>
    <t>0003-1103</t>
  </si>
  <si>
    <t>0004-1104</t>
  </si>
  <si>
    <t>0004-1103</t>
  </si>
  <si>
    <t>0003-1104</t>
  </si>
  <si>
    <t>S/M DETAILING</t>
  </si>
  <si>
    <t>DUCT WORK</t>
  </si>
  <si>
    <t>EQUIPMENT</t>
  </si>
  <si>
    <t>WARRANTY RESERVE</t>
  </si>
  <si>
    <t>PUNCH LIST</t>
  </si>
  <si>
    <t>RES VENT/EQUIP/OTH</t>
  </si>
  <si>
    <t>3/8-7/8"</t>
  </si>
  <si>
    <t>0001-1203 PARKG</t>
  </si>
  <si>
    <t>Louvers</t>
  </si>
  <si>
    <t>0001-1002</t>
  </si>
  <si>
    <t>SUBSIST/TRVL EXPENSE</t>
  </si>
  <si>
    <t>BEFORE PERMIT ENG</t>
  </si>
  <si>
    <t>0001-0201</t>
  </si>
  <si>
    <t>0001-0303</t>
  </si>
  <si>
    <t>0001-0801</t>
  </si>
  <si>
    <t>0001-0901</t>
  </si>
  <si>
    <t>0001-0401</t>
  </si>
  <si>
    <t>0003-0001</t>
  </si>
  <si>
    <t>0003-0201</t>
  </si>
  <si>
    <t>0003-0801</t>
  </si>
  <si>
    <t>0003-0901</t>
  </si>
  <si>
    <t>0003-0401</t>
  </si>
  <si>
    <t>0004-0801</t>
  </si>
  <si>
    <t>0001-0701</t>
  </si>
  <si>
    <t>0001-0702</t>
  </si>
  <si>
    <t>0001-0703</t>
  </si>
  <si>
    <t>0001-0704</t>
  </si>
  <si>
    <t>0001-0705</t>
  </si>
  <si>
    <t>0001-1202</t>
  </si>
  <si>
    <t>0001-0706 PIPING</t>
  </si>
  <si>
    <t>0001-0707 CRANE</t>
  </si>
  <si>
    <t>0001-0708 ENGRG</t>
  </si>
  <si>
    <t>0001-0501 SCISSOR RENT</t>
  </si>
  <si>
    <t>0001-0709 SAW CUTTER</t>
  </si>
  <si>
    <t>0001-0710 FIRE STOPPING</t>
  </si>
  <si>
    <t>0001-1001 PERMIT</t>
  </si>
  <si>
    <t>Insert Job Name</t>
  </si>
  <si>
    <t>Insert Job Number</t>
  </si>
  <si>
    <t>Original Contract Amount</t>
  </si>
  <si>
    <t>Projected Margin</t>
  </si>
  <si>
    <t>Active (Y/N)</t>
  </si>
  <si>
    <t>Task Code</t>
  </si>
  <si>
    <t>Task Description</t>
  </si>
  <si>
    <t>Costs</t>
  </si>
  <si>
    <t>Materials</t>
  </si>
  <si>
    <t>Subs</t>
  </si>
  <si>
    <t>Other Costs</t>
  </si>
  <si>
    <t>Y</t>
  </si>
  <si>
    <t>0001- 0102</t>
  </si>
  <si>
    <t>0001- 0303</t>
  </si>
  <si>
    <t>0001- 0401</t>
  </si>
  <si>
    <t>0001- 0601</t>
  </si>
  <si>
    <t>Special Teams Detailing</t>
  </si>
  <si>
    <t>0001- 0602</t>
  </si>
  <si>
    <t>Special Teams Refer Pipe</t>
  </si>
  <si>
    <t>0001- 0603</t>
  </si>
  <si>
    <t>Special Teams Controls</t>
  </si>
  <si>
    <t>0001- 0604</t>
  </si>
  <si>
    <t>Condensate Pipe</t>
  </si>
  <si>
    <t>0001- 0605</t>
  </si>
  <si>
    <t>Start/Test</t>
  </si>
  <si>
    <t>0001- 0606</t>
  </si>
  <si>
    <t>0001- 0607</t>
  </si>
  <si>
    <t>Gas Pipe</t>
  </si>
  <si>
    <t>0001- 0608</t>
  </si>
  <si>
    <t>Owners Training</t>
  </si>
  <si>
    <t>Commissioning</t>
  </si>
  <si>
    <t>Equipment</t>
  </si>
  <si>
    <t>0001- 1001</t>
  </si>
  <si>
    <t>Permit Fees</t>
  </si>
  <si>
    <t>0001- 1002</t>
  </si>
  <si>
    <t>0001- 1003</t>
  </si>
  <si>
    <t>0001- 1101</t>
  </si>
  <si>
    <t>Warranty Reserve</t>
  </si>
  <si>
    <t>0001- 1102</t>
  </si>
  <si>
    <t>0001- 1103</t>
  </si>
  <si>
    <t>0001- 1104</t>
  </si>
  <si>
    <t>0001- 1201</t>
  </si>
  <si>
    <t>Punchlist</t>
  </si>
  <si>
    <t>0001- 1203</t>
  </si>
  <si>
    <t>Parking</t>
  </si>
  <si>
    <t>Insulation</t>
  </si>
  <si>
    <t>Roof/GC</t>
  </si>
  <si>
    <t>Crane</t>
  </si>
  <si>
    <t>Engineering</t>
  </si>
  <si>
    <t>Saw Cutter</t>
  </si>
  <si>
    <t>Fire Stopping</t>
  </si>
  <si>
    <t>LC Demo</t>
  </si>
  <si>
    <t>LC S/M Detailing</t>
  </si>
  <si>
    <t>0003- 0601</t>
  </si>
  <si>
    <t>0003- 0602</t>
  </si>
  <si>
    <t>LC Refer Pipe</t>
  </si>
  <si>
    <t>0003- 0603</t>
  </si>
  <si>
    <t>LC Controls</t>
  </si>
  <si>
    <t>0003- 0604</t>
  </si>
  <si>
    <t>LC Condensate Pipe</t>
  </si>
  <si>
    <t>0003- 0605</t>
  </si>
  <si>
    <t>LC Start/Test</t>
  </si>
  <si>
    <t>0003- 0606</t>
  </si>
  <si>
    <t>LC Air Balance</t>
  </si>
  <si>
    <t>0003- 0607</t>
  </si>
  <si>
    <t>LC Gas Pipe</t>
  </si>
  <si>
    <t>0003- 0608</t>
  </si>
  <si>
    <t>0003- 0611</t>
  </si>
  <si>
    <t>LC Commissioning</t>
  </si>
  <si>
    <t>LC Ductwork</t>
  </si>
  <si>
    <t>LC Equipment</t>
  </si>
  <si>
    <t>0003- 1103</t>
  </si>
  <si>
    <t>Trust - LC</t>
  </si>
  <si>
    <t>0003- 1104</t>
  </si>
  <si>
    <t>Equity-LC</t>
  </si>
  <si>
    <t>Hrs</t>
  </si>
  <si>
    <t>0001- 0001</t>
  </si>
  <si>
    <t>Foreman Time</t>
  </si>
  <si>
    <t>0001- 0201</t>
  </si>
  <si>
    <t>Field Layout</t>
  </si>
  <si>
    <t>0001- 0301</t>
  </si>
  <si>
    <t>0001- 0701</t>
  </si>
  <si>
    <t>0001- 0702</t>
  </si>
  <si>
    <t>0001- 0707</t>
  </si>
  <si>
    <t>0001- 0710</t>
  </si>
  <si>
    <t>0001- 0801</t>
  </si>
  <si>
    <t>0001- 0901</t>
  </si>
  <si>
    <t>N</t>
  </si>
  <si>
    <t>0001- 0002</t>
  </si>
  <si>
    <t>0001- 0103</t>
  </si>
  <si>
    <t>Meetings</t>
  </si>
  <si>
    <t>Safety Matters</t>
  </si>
  <si>
    <t>Mat Handling Shop</t>
  </si>
  <si>
    <t>0001- 0402</t>
  </si>
  <si>
    <t>0001- 0501</t>
  </si>
  <si>
    <t>0001- 0502</t>
  </si>
  <si>
    <t>0001- 0609</t>
  </si>
  <si>
    <t>0001- 0610</t>
  </si>
  <si>
    <t>Equipment Install</t>
  </si>
  <si>
    <t>0001- 1105</t>
  </si>
  <si>
    <t>Intent &amp; Affidavait</t>
  </si>
  <si>
    <t>0001- 1106</t>
  </si>
  <si>
    <t>Courier Fees</t>
  </si>
  <si>
    <t>0001- 1202</t>
  </si>
  <si>
    <t>Subsistence/Travel</t>
  </si>
  <si>
    <t>0001- 0703</t>
  </si>
  <si>
    <t>0001- 0704</t>
  </si>
  <si>
    <t>0001- 0705</t>
  </si>
  <si>
    <t>0001- 0706</t>
  </si>
  <si>
    <t>0001- 0708</t>
  </si>
  <si>
    <t>0001- 0709</t>
  </si>
  <si>
    <t>LC ST Detailing</t>
  </si>
  <si>
    <t>0004- 0801</t>
  </si>
  <si>
    <t>ST DETALING</t>
  </si>
  <si>
    <t>0001-0301</t>
  </si>
  <si>
    <t>MAT. HANDLING</t>
  </si>
  <si>
    <t>TRUST - LC</t>
  </si>
  <si>
    <t>EQUITY - LC</t>
  </si>
  <si>
    <t>LC DEMO</t>
  </si>
  <si>
    <t>LC S/M DETAILING</t>
  </si>
  <si>
    <t>LC EQUIPMENT</t>
  </si>
  <si>
    <t>LC GAS PIPE</t>
  </si>
  <si>
    <t>LC AIR BALANCE</t>
  </si>
  <si>
    <t>LC COMMISSIONING</t>
  </si>
  <si>
    <t>LC DUCT WORK</t>
  </si>
  <si>
    <t>LC REFER PIPE</t>
  </si>
  <si>
    <t>LC CONTROLS</t>
  </si>
  <si>
    <t>LC CONDENSATE PIPE</t>
  </si>
  <si>
    <t>LC START/TEST</t>
  </si>
  <si>
    <t>LC OWNER'S TRAINING</t>
  </si>
  <si>
    <t>LC</t>
  </si>
  <si>
    <t>LC LABOR        / HR</t>
  </si>
  <si>
    <t>0001-0102</t>
  </si>
  <si>
    <t>MEETINGS/FOREMAN TIME</t>
  </si>
  <si>
    <t>Base</t>
  </si>
  <si>
    <t>ST</t>
  </si>
  <si>
    <t>SHOP</t>
  </si>
  <si>
    <t>BT</t>
  </si>
  <si>
    <t>QTY costs</t>
  </si>
  <si>
    <t>Cntl HRs</t>
  </si>
  <si>
    <t>QTY</t>
  </si>
  <si>
    <t>System</t>
  </si>
  <si>
    <t>Templates</t>
  </si>
  <si>
    <t>ERV</t>
  </si>
  <si>
    <t>VFD</t>
  </si>
  <si>
    <t>A/B Hrs</t>
  </si>
  <si>
    <t>A/Diff</t>
  </si>
  <si>
    <t>0009 - EQUIP</t>
  </si>
  <si>
    <t>0303 - SHOP/MAT</t>
  </si>
  <si>
    <t>Cost/Per</t>
  </si>
  <si>
    <t>0401 -GRD</t>
  </si>
  <si>
    <t>S&amp;T</t>
  </si>
  <si>
    <t>Tstat</t>
  </si>
  <si>
    <t>Vault Package</t>
  </si>
  <si>
    <t>Building Releif</t>
  </si>
  <si>
    <t>Econo SS</t>
  </si>
  <si>
    <t>Econo Pckg</t>
  </si>
  <si>
    <t>Type</t>
  </si>
  <si>
    <t>RTU(2-7.5)</t>
  </si>
  <si>
    <t>RTU(7.5-15)</t>
  </si>
  <si>
    <t>RTU(20+)</t>
  </si>
  <si>
    <t>SS(&lt;5)</t>
  </si>
  <si>
    <t>SS(7.5-15)</t>
  </si>
  <si>
    <t>VRF (OU&lt;14)</t>
  </si>
  <si>
    <t>VRF(OU&gt;16)</t>
  </si>
  <si>
    <t>VRF(Ductless)</t>
  </si>
  <si>
    <t>VRF(Ducted)</t>
  </si>
  <si>
    <t>VRF(BC)</t>
  </si>
  <si>
    <t>VRF(Ybranch)</t>
  </si>
  <si>
    <t>MUA</t>
  </si>
  <si>
    <t>Wire</t>
  </si>
  <si>
    <t>GarageEx</t>
  </si>
  <si>
    <t>LargeFan</t>
  </si>
  <si>
    <t>SmallFan</t>
  </si>
  <si>
    <t>Duct Detector</t>
  </si>
  <si>
    <t>MD</t>
  </si>
  <si>
    <t>DHP</t>
  </si>
  <si>
    <t>MHK1</t>
  </si>
  <si>
    <t>SmallLouver</t>
  </si>
  <si>
    <t>MedLouver</t>
  </si>
  <si>
    <t>LargeLouver</t>
  </si>
  <si>
    <t>SFD</t>
  </si>
  <si>
    <t>0603-CNTRLS</t>
  </si>
  <si>
    <t>Component</t>
  </si>
  <si>
    <t>DMPR INTLK</t>
  </si>
  <si>
    <t>Duct Silencer(S)</t>
  </si>
  <si>
    <t>MD/BDD</t>
  </si>
  <si>
    <t>Special</t>
  </si>
  <si>
    <t>Timer</t>
  </si>
  <si>
    <t>FD</t>
  </si>
  <si>
    <t>Alt-1</t>
  </si>
  <si>
    <t>Alt-2</t>
  </si>
  <si>
    <t>Alt-3</t>
  </si>
  <si>
    <t>Alt-4</t>
  </si>
  <si>
    <t>Mat</t>
  </si>
  <si>
    <t>0605 - S&amp;T</t>
  </si>
  <si>
    <t>OccSensor</t>
  </si>
  <si>
    <t>LV Stat</t>
  </si>
  <si>
    <t>CO/NO2</t>
  </si>
  <si>
    <t>0602 -REFER</t>
  </si>
  <si>
    <t>I(ea)</t>
  </si>
  <si>
    <t>0606 -AB</t>
  </si>
  <si>
    <t>Warranty</t>
  </si>
  <si>
    <t>MatH</t>
  </si>
  <si>
    <t>General Condition Items</t>
  </si>
  <si>
    <t>Detailing BT</t>
  </si>
  <si>
    <t>Detailing ST</t>
  </si>
  <si>
    <t>Adj Hrs</t>
  </si>
  <si>
    <t>Safety</t>
  </si>
  <si>
    <t>Cargtage To Site</t>
  </si>
  <si>
    <t>Div</t>
  </si>
  <si>
    <t>Material</t>
  </si>
  <si>
    <t>'0001-0103</t>
  </si>
  <si>
    <t>SAFETY</t>
  </si>
  <si>
    <t>Clac. Hrs</t>
  </si>
  <si>
    <t>Building Trades</t>
  </si>
  <si>
    <t>Phase</t>
  </si>
  <si>
    <t>Description</t>
  </si>
  <si>
    <t>Subsistance</t>
  </si>
  <si>
    <t>S. Engineering</t>
  </si>
  <si>
    <t>Scissor Rental</t>
  </si>
  <si>
    <t>Job Trailer Rent</t>
  </si>
  <si>
    <t>Dump</t>
  </si>
  <si>
    <t>Sub-Contractors</t>
  </si>
  <si>
    <t>Engineering Tasks</t>
  </si>
  <si>
    <t>hrs</t>
  </si>
  <si>
    <t>-</t>
  </si>
  <si>
    <t>Load Calcs</t>
  </si>
  <si>
    <t>Cad Set Up</t>
  </si>
  <si>
    <t>Equip Selection</t>
  </si>
  <si>
    <t>Duct Layout</t>
  </si>
  <si>
    <t>Smoke Control</t>
  </si>
  <si>
    <t>Refer Piping</t>
  </si>
  <si>
    <t>Controls Layout</t>
  </si>
  <si>
    <t>Accoustical Rep.</t>
  </si>
  <si>
    <t>DD Set</t>
  </si>
  <si>
    <t>Permit Set</t>
  </si>
  <si>
    <t>CD Set</t>
  </si>
  <si>
    <t>Superplots</t>
  </si>
  <si>
    <t>Coord Set Up</t>
  </si>
  <si>
    <t>VRF Tree</t>
  </si>
  <si>
    <t>By Pieces of Equipment</t>
  </si>
  <si>
    <t>By Level</t>
  </si>
  <si>
    <t>High Rise</t>
  </si>
  <si>
    <t>By System Type</t>
  </si>
  <si>
    <t>Per Meeting</t>
  </si>
  <si>
    <t>Per System</t>
  </si>
  <si>
    <t>Detailing LC/R</t>
  </si>
  <si>
    <t>Detailing ST(LC)</t>
  </si>
  <si>
    <t>Count</t>
  </si>
  <si>
    <t>Boiler Connections</t>
  </si>
  <si>
    <t>Exhausto</t>
  </si>
  <si>
    <t>EW-50</t>
  </si>
  <si>
    <t>Bus</t>
  </si>
  <si>
    <t xml:space="preserve">Labor Multiplier </t>
  </si>
  <si>
    <t>Material Multiplier</t>
  </si>
  <si>
    <t>1-5/8</t>
  </si>
  <si>
    <t>1-3/8</t>
  </si>
  <si>
    <t>1-1/8</t>
  </si>
  <si>
    <t>7/8</t>
  </si>
  <si>
    <t>3/4</t>
  </si>
  <si>
    <t>5/8</t>
  </si>
  <si>
    <t>1/2</t>
  </si>
  <si>
    <t>3/8</t>
  </si>
  <si>
    <t>VRF Line Set input</t>
  </si>
  <si>
    <t>#Fan Coils</t>
  </si>
  <si>
    <t>#Ybranches</t>
  </si>
  <si>
    <t>Ft/Lineset 5/8:3/8</t>
  </si>
  <si>
    <t>Ft/Lineset 1/2:1/4</t>
  </si>
  <si>
    <t>$/Ft 5/8:3/8 Lineset</t>
  </si>
  <si>
    <t>$/Ft 1/2:1/4 Lineset</t>
  </si>
  <si>
    <t>Hrs/Hanger</t>
  </si>
  <si>
    <t>$/Hanger</t>
  </si>
  <si>
    <t>Totals</t>
  </si>
  <si>
    <t>Class I Hood</t>
  </si>
  <si>
    <t>Remote Sensor</t>
  </si>
  <si>
    <t>Lineset Ft/HR</t>
  </si>
  <si>
    <t>Elevator Relief</t>
  </si>
  <si>
    <t>Unit Vent Design</t>
  </si>
  <si>
    <t>Number Of Units</t>
  </si>
  <si>
    <t>CO2 Sensor</t>
  </si>
  <si>
    <t>BASE</t>
  </si>
  <si>
    <t>Condensate Piping</t>
  </si>
  <si>
    <t>#Connections at BC Controllers</t>
  </si>
  <si>
    <t>Ptrap</t>
  </si>
  <si>
    <t>Ft/Elb</t>
  </si>
  <si>
    <t>Cond Pump</t>
  </si>
  <si>
    <t>OH&amp;P:</t>
  </si>
  <si>
    <t>RATE</t>
  </si>
  <si>
    <t>Hrs (LC)</t>
  </si>
  <si>
    <t>0801- LC</t>
  </si>
  <si>
    <t>0801 - BT</t>
  </si>
  <si>
    <t>Total Hours</t>
  </si>
  <si>
    <t>Variables</t>
  </si>
  <si>
    <t>Labor Cost</t>
  </si>
  <si>
    <t>Indirects</t>
  </si>
  <si>
    <t>GP</t>
  </si>
  <si>
    <t>Markup</t>
  </si>
  <si>
    <t>SubMarkup</t>
  </si>
  <si>
    <t>Permit Costs</t>
  </si>
  <si>
    <t>GC Costs</t>
  </si>
  <si>
    <t>Eng Cost</t>
  </si>
  <si>
    <t>BThrs</t>
  </si>
  <si>
    <t>LCHrs</t>
  </si>
  <si>
    <t>LaborCost</t>
  </si>
  <si>
    <t>Total Hours Less Detail</t>
  </si>
  <si>
    <t>Detail Hours</t>
  </si>
  <si>
    <t>DetHrs</t>
  </si>
  <si>
    <t>Sell</t>
  </si>
  <si>
    <t>GC Cost</t>
  </si>
  <si>
    <t>GC(BT)</t>
  </si>
  <si>
    <t>GC(LC)</t>
  </si>
  <si>
    <t>BTHrs</t>
  </si>
  <si>
    <t>BTDetHrs</t>
  </si>
  <si>
    <t>LCDetHrs</t>
  </si>
  <si>
    <t>BIMHrs</t>
  </si>
  <si>
    <t>Permit Ratio</t>
  </si>
  <si>
    <t>Permits</t>
  </si>
  <si>
    <t>Test</t>
  </si>
  <si>
    <t>LC Hrs</t>
  </si>
  <si>
    <t>Quote</t>
  </si>
  <si>
    <t>Vent Term</t>
  </si>
  <si>
    <t>0001-0001</t>
  </si>
  <si>
    <t>Resi EF</t>
  </si>
  <si>
    <t>Design Fee (No Permit)</t>
  </si>
  <si>
    <t>MedFan</t>
  </si>
  <si>
    <t>Duct</t>
  </si>
  <si>
    <t>Contingency</t>
  </si>
  <si>
    <t>LC ST DETAILING</t>
  </si>
  <si>
    <t>PressFan</t>
  </si>
  <si>
    <t>0001- 0305</t>
  </si>
  <si>
    <t>Shop Fab Grease Duct</t>
  </si>
  <si>
    <t>0001- 0306</t>
  </si>
  <si>
    <t>Shop Fab Terminations</t>
  </si>
  <si>
    <t>GRD Install</t>
  </si>
  <si>
    <t>Equipment Rental</t>
  </si>
  <si>
    <t>Job Trailer Rental</t>
  </si>
  <si>
    <t>0001-0501 FORKLIFT RENT</t>
  </si>
  <si>
    <t>0001-0502 JOB TRAILER RENT</t>
  </si>
  <si>
    <t>0001-0609</t>
  </si>
  <si>
    <t>ST Foreman</t>
  </si>
  <si>
    <t>Saw Cutter/Coring</t>
  </si>
  <si>
    <t>Duct Installation</t>
  </si>
  <si>
    <t>Trust - Money</t>
  </si>
  <si>
    <t>Equity-Money</t>
  </si>
  <si>
    <t>0001- 1107</t>
  </si>
  <si>
    <t>Textura Fees</t>
  </si>
  <si>
    <t>0001- 1108</t>
  </si>
  <si>
    <t>Bond Fees</t>
  </si>
  <si>
    <t>0001- 1109</t>
  </si>
  <si>
    <t>Wrap Insurance</t>
  </si>
  <si>
    <t>0003- 0103</t>
  </si>
  <si>
    <t>0003- 0201</t>
  </si>
  <si>
    <t>0003- 0401</t>
  </si>
  <si>
    <t>LC Owner's Training</t>
  </si>
  <si>
    <t>Res Venting</t>
  </si>
  <si>
    <t>0003- 0001</t>
  </si>
  <si>
    <t>LC Safety Matters</t>
  </si>
  <si>
    <t>0001-0103 DUMP/DEMO</t>
  </si>
  <si>
    <t>Budget Worksheet</t>
  </si>
  <si>
    <t>0003- 0801</t>
  </si>
  <si>
    <t>0003- 0901</t>
  </si>
  <si>
    <t>Demo BT</t>
  </si>
  <si>
    <t>Demo LC</t>
  </si>
  <si>
    <t>Cartage to Site</t>
  </si>
  <si>
    <t>Demo (LC)</t>
  </si>
  <si>
    <t>GC Alternate Breakdown (Hrs.)</t>
  </si>
  <si>
    <t>Demo Item</t>
  </si>
  <si>
    <t>Duct (LF)</t>
  </si>
  <si>
    <t>1 Floor + Roof</t>
  </si>
  <si>
    <t>2 Floor + Roof</t>
  </si>
  <si>
    <t>1 Floor or Roof Only</t>
  </si>
  <si>
    <t>GRDs (EA)</t>
  </si>
  <si>
    <t>IDUs (EA)</t>
  </si>
  <si>
    <t>ODUs/RTUs (EA)</t>
  </si>
  <si>
    <t>Kitchen Hoods (EA)</t>
  </si>
  <si>
    <t>Tstats/Sensors (EA)</t>
  </si>
  <si>
    <t>End Caps (EA)</t>
  </si>
  <si>
    <t>Refer Pipe/Conduit (LF)</t>
  </si>
  <si>
    <t>Fork/Mat. Lift Rental</t>
  </si>
  <si>
    <t>CHECK FOR</t>
  </si>
  <si>
    <t>CHOOSE SCOPE--&gt;</t>
  </si>
  <si>
    <t>EACH ALT.</t>
  </si>
  <si>
    <t xml:space="preserve">PICKED UP </t>
  </si>
  <si>
    <t>BY GC</t>
  </si>
  <si>
    <t>Tstat (VRF)</t>
  </si>
  <si>
    <t>ODU</t>
  </si>
  <si>
    <t>BC</t>
  </si>
  <si>
    <t>Lower level ductless</t>
  </si>
  <si>
    <t>lower level vestibule</t>
  </si>
  <si>
    <t>lower level ERV</t>
  </si>
  <si>
    <t>md</t>
  </si>
  <si>
    <t>dmpr intlk</t>
  </si>
  <si>
    <t>medlouver</t>
  </si>
  <si>
    <t>upperlevel ductless</t>
  </si>
  <si>
    <t>vrf(ductless)</t>
  </si>
  <si>
    <t xml:space="preserve">dh's </t>
  </si>
  <si>
    <t>erv</t>
  </si>
  <si>
    <t>tstat</t>
  </si>
  <si>
    <t>gensco</t>
  </si>
  <si>
    <t>quote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</si>
</sst>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&quot;$&quot;#,##0.00"/>
    <numFmt numFmtId="166" formatCode="\(000\)"/>
    <numFmt numFmtId="167" formatCode="\(00#\)"/>
    <numFmt numFmtId="168" formatCode="\(0##\)"/>
    <numFmt numFmtId="169" formatCode="\(#0#\)"/>
    <numFmt numFmtId="170" formatCode="0.000"/>
    <numFmt numFmtId="171" formatCode="m/d/yy;@"/>
    <numFmt numFmtId="172" formatCode="000"/>
    <numFmt numFmtId="173" formatCode="0000\-0000"/>
    <numFmt numFmtId="174" formatCode="_(&quot;$&quot;* #,##0_);_(&quot;$&quot;* \(#,##0\);_(&quot;$&quot;* &quot;-&quot;??_);_(@_)"/>
    <numFmt numFmtId="175" formatCode="0.0%"/>
  </numFmts>
  <fonts count="85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MS Sans Serif"/>
      <family val="2"/>
    </font>
    <font>
      <sz val="8"/>
      <name val="Times New Roman"/>
      <family val="1"/>
    </font>
    <font>
      <sz val="8"/>
      <name val="Times New Roman"/>
      <family val="1"/>
    </font>
    <font>
      <i/>
      <sz val="8"/>
      <name val="Times New Roman"/>
      <family val="1"/>
    </font>
    <font>
      <b/>
      <sz val="10"/>
      <name val="MS Sans Serif"/>
      <family val="2"/>
    </font>
    <font>
      <i/>
      <sz val="10"/>
      <name val="MS Sans Serif"/>
      <family val="2"/>
    </font>
    <font>
      <b/>
      <sz val="8.5"/>
      <name val="MS Sans Serif"/>
      <family val="2"/>
    </font>
    <font>
      <b/>
      <sz val="8"/>
      <name val="Times New Roman"/>
      <family val="1"/>
    </font>
    <font>
      <b/>
      <u/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sz val="10"/>
      <name val="Arial"/>
      <family val="2"/>
    </font>
    <font>
      <sz val="16"/>
      <color indexed="10"/>
      <name val="Courier 12cpi"/>
    </font>
    <font>
      <sz val="9"/>
      <color indexed="9"/>
      <name val="Times New Roman"/>
      <family val="1"/>
    </font>
    <font>
      <sz val="9"/>
      <name val="Courier 12cpi"/>
    </font>
    <font>
      <sz val="9"/>
      <color indexed="13"/>
      <name val="Times New Roman"/>
      <family val="1"/>
    </font>
    <font>
      <sz val="9"/>
      <name val="Arial"/>
      <family val="2"/>
    </font>
    <font>
      <b/>
      <sz val="9"/>
      <name val="Courier 12cpi"/>
    </font>
    <font>
      <sz val="8"/>
      <name val="MS Sans Serif"/>
      <family val="2"/>
    </font>
    <font>
      <b/>
      <sz val="18"/>
      <name val="MS Sans Serif"/>
      <family val="2"/>
    </font>
    <font>
      <b/>
      <sz val="12"/>
      <name val="Times New Roman"/>
      <family val="1"/>
    </font>
    <font>
      <sz val="12"/>
      <name val="MS Sans Serif"/>
      <family val="2"/>
    </font>
    <font>
      <b/>
      <sz val="12"/>
      <name val="Courier 12cpi"/>
    </font>
    <font>
      <sz val="12"/>
      <name val="Courier 12cpi"/>
    </font>
    <font>
      <b/>
      <sz val="12"/>
      <name val="MS Sans Serif"/>
      <family val="2"/>
    </font>
    <font>
      <b/>
      <sz val="10"/>
      <color indexed="10"/>
      <name val="MS Sans Serif"/>
      <family val="2"/>
    </font>
    <font>
      <sz val="10"/>
      <color indexed="10"/>
      <name val="MS Sans Serif"/>
      <family val="2"/>
    </font>
    <font>
      <sz val="7.5"/>
      <name val="Times New Roman"/>
      <family val="1"/>
    </font>
    <font>
      <b/>
      <sz val="8"/>
      <color indexed="10"/>
      <name val="Times New Roman"/>
      <family val="1"/>
    </font>
    <font>
      <b/>
      <sz val="8"/>
      <color indexed="10"/>
      <name val="MS Sans Serif"/>
      <family val="2"/>
    </font>
    <font>
      <sz val="8"/>
      <color indexed="10"/>
      <name val="Courier 12cpi"/>
    </font>
    <font>
      <sz val="10"/>
      <color indexed="10"/>
      <name val="Courier 12cpi"/>
    </font>
    <font>
      <sz val="16"/>
      <name val="Courier 12cpi"/>
    </font>
    <font>
      <b/>
      <sz val="16"/>
      <color indexed="10"/>
      <name val="Courier 12cpi"/>
    </font>
    <font>
      <sz val="10"/>
      <name val="MS Sans Serif"/>
      <family val="2"/>
    </font>
    <font>
      <sz val="8"/>
      <color indexed="10"/>
      <name val="Times New Roman"/>
      <family val="1"/>
    </font>
    <font>
      <b/>
      <sz val="8"/>
      <color indexed="81"/>
      <name val="Tahoma"/>
      <family val="2"/>
    </font>
    <font>
      <b/>
      <sz val="8"/>
      <name val="Arial"/>
      <family val="2"/>
    </font>
    <font>
      <b/>
      <sz val="8"/>
      <name val="MS Sans Serif"/>
      <family val="2"/>
    </font>
    <font>
      <sz val="8.5"/>
      <name val="MS Sans Serif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MS Sans Serif"/>
    </font>
    <font>
      <sz val="10"/>
      <name val="Calibri"/>
      <family val="2"/>
      <scheme val="minor"/>
    </font>
    <font>
      <sz val="18"/>
      <color rgb="FFFF0000"/>
      <name val="MS Sans Serif"/>
    </font>
    <font>
      <b/>
      <sz val="10"/>
      <name val="MS Sans Serif"/>
    </font>
    <font>
      <sz val="10"/>
      <name val="Cambria"/>
      <family val="1"/>
      <scheme val="major"/>
    </font>
    <font>
      <sz val="8"/>
      <color rgb="FF000000"/>
      <name val="Tahoma"/>
      <family val="2"/>
    </font>
    <font>
      <sz val="10"/>
      <color rgb="FF000000"/>
      <name val="MS Sans Serif"/>
    </font>
    <font>
      <sz val="10"/>
      <color theme="0"/>
      <name val="MS Sans Serif"/>
    </font>
    <font>
      <b/>
      <sz val="10"/>
      <color rgb="FFFF0000"/>
      <name val="MS Sans Serif"/>
    </font>
    <font>
      <b/>
      <sz val="11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1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medium">
        <color indexed="64"/>
      </top>
      <bottom/>
      <diagonal/>
    </border>
    <border>
      <left style="thick">
        <color indexed="64"/>
      </left>
      <right style="hair">
        <color indexed="64"/>
      </right>
      <top/>
      <bottom/>
      <diagonal/>
    </border>
    <border>
      <left style="thick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ck">
        <color indexed="64"/>
      </right>
      <top style="medium">
        <color indexed="64"/>
      </top>
      <bottom/>
      <diagonal/>
    </border>
    <border>
      <left style="hair">
        <color indexed="64"/>
      </left>
      <right style="thick">
        <color indexed="64"/>
      </right>
      <top/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/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hair">
        <color indexed="64"/>
      </right>
      <top/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ck">
        <color indexed="64"/>
      </right>
      <top style="hair">
        <color indexed="64"/>
      </top>
      <bottom style="medium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/>
      <diagonal/>
    </border>
    <border>
      <left style="thick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ck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double">
        <color indexed="64"/>
      </bottom>
      <diagonal/>
    </border>
    <border>
      <left/>
      <right style="thick">
        <color indexed="64"/>
      </right>
      <top/>
      <bottom style="double">
        <color indexed="64"/>
      </bottom>
      <diagonal/>
    </border>
    <border>
      <left style="thick">
        <color auto="1"/>
      </left>
      <right style="thick">
        <color auto="1"/>
      </right>
      <top/>
      <bottom style="double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double">
        <color indexed="64"/>
      </bottom>
      <diagonal/>
    </border>
    <border>
      <left style="thick">
        <color auto="1"/>
      </left>
      <right style="thick">
        <color auto="1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8" fontId="27" fillId="0" borderId="0" applyFont="0" applyFill="0" applyBorder="0" applyAlignment="0" applyProtection="0"/>
    <xf numFmtId="0" fontId="43" fillId="0" borderId="0"/>
    <xf numFmtId="0" fontId="40" fillId="0" borderId="0">
      <alignment vertical="top"/>
    </xf>
    <xf numFmtId="0" fontId="43" fillId="0" borderId="0"/>
    <xf numFmtId="0" fontId="26" fillId="0" borderId="0"/>
    <xf numFmtId="44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3" fillId="0" borderId="0"/>
    <xf numFmtId="44" fontId="23" fillId="0" borderId="0" applyFont="0" applyFill="0" applyBorder="0" applyAlignment="0" applyProtection="0"/>
    <xf numFmtId="43" fontId="75" fillId="0" borderId="0" applyFont="0" applyFill="0" applyBorder="0" applyAlignment="0" applyProtection="0"/>
  </cellStyleXfs>
  <cellXfs count="911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28" fillId="0" borderId="0" xfId="0" applyFont="1" applyBorder="1"/>
    <xf numFmtId="0" fontId="29" fillId="0" borderId="0" xfId="0" applyFont="1" applyBorder="1"/>
    <xf numFmtId="0" fontId="29" fillId="0" borderId="0" xfId="0" applyFont="1" applyBorder="1" applyAlignment="1">
      <alignment horizontal="center"/>
    </xf>
    <xf numFmtId="0" fontId="29" fillId="0" borderId="1" xfId="0" applyFont="1" applyBorder="1"/>
    <xf numFmtId="0" fontId="29" fillId="0" borderId="2" xfId="0" applyFont="1" applyBorder="1"/>
    <xf numFmtId="0" fontId="31" fillId="0" borderId="3" xfId="0" applyFont="1" applyBorder="1"/>
    <xf numFmtId="0" fontId="29" fillId="0" borderId="3" xfId="0" applyFont="1" applyBorder="1"/>
    <xf numFmtId="0" fontId="29" fillId="0" borderId="4" xfId="0" applyFont="1" applyBorder="1"/>
    <xf numFmtId="0" fontId="29" fillId="0" borderId="5" xfId="0" applyFont="1" applyBorder="1"/>
    <xf numFmtId="0" fontId="29" fillId="0" borderId="6" xfId="0" applyFont="1" applyBorder="1"/>
    <xf numFmtId="0" fontId="29" fillId="0" borderId="7" xfId="0" applyFont="1" applyBorder="1" applyAlignment="1">
      <alignment horizontal="left"/>
    </xf>
    <xf numFmtId="0" fontId="30" fillId="0" borderId="8" xfId="0" applyFont="1" applyBorder="1" applyAlignment="1">
      <alignment horizontal="left"/>
    </xf>
    <xf numFmtId="0" fontId="29" fillId="0" borderId="5" xfId="0" quotePrefix="1" applyFont="1" applyBorder="1" applyAlignment="1">
      <alignment horizontal="left"/>
    </xf>
    <xf numFmtId="0" fontId="29" fillId="0" borderId="9" xfId="0" applyFont="1" applyBorder="1"/>
    <xf numFmtId="0" fontId="29" fillId="0" borderId="9" xfId="0" applyFont="1" applyBorder="1" applyAlignment="1">
      <alignment horizontal="left"/>
    </xf>
    <xf numFmtId="0" fontId="29" fillId="0" borderId="10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0" fontId="29" fillId="0" borderId="13" xfId="0" applyFont="1" applyBorder="1" applyAlignment="1">
      <alignment horizontal="center"/>
    </xf>
    <xf numFmtId="0" fontId="29" fillId="0" borderId="14" xfId="0" applyFont="1" applyBorder="1"/>
    <xf numFmtId="0" fontId="29" fillId="0" borderId="15" xfId="0" applyFont="1" applyBorder="1"/>
    <xf numFmtId="0" fontId="29" fillId="0" borderId="16" xfId="0" applyFont="1" applyBorder="1"/>
    <xf numFmtId="0" fontId="29" fillId="0" borderId="17" xfId="0" quotePrefix="1" applyFont="1" applyBorder="1" applyAlignment="1">
      <alignment horizontal="center"/>
    </xf>
    <xf numFmtId="0" fontId="29" fillId="0" borderId="18" xfId="0" applyFont="1" applyBorder="1" applyAlignment="1">
      <alignment horizontal="center"/>
    </xf>
    <xf numFmtId="0" fontId="29" fillId="0" borderId="9" xfId="0" quotePrefix="1" applyFont="1" applyBorder="1" applyAlignment="1">
      <alignment horizontal="left"/>
    </xf>
    <xf numFmtId="0" fontId="29" fillId="0" borderId="9" xfId="0" quotePrefix="1" applyFont="1" applyBorder="1" applyAlignment="1">
      <alignment horizontal="left" vertical="top" wrapText="1"/>
    </xf>
    <xf numFmtId="0" fontId="31" fillId="0" borderId="13" xfId="0" applyFont="1" applyBorder="1"/>
    <xf numFmtId="0" fontId="29" fillId="0" borderId="20" xfId="0" applyFont="1" applyBorder="1" applyAlignment="1">
      <alignment horizontal="center"/>
    </xf>
    <xf numFmtId="0" fontId="29" fillId="0" borderId="3" xfId="0" applyFont="1" applyBorder="1" applyAlignment="1">
      <alignment horizontal="left"/>
    </xf>
    <xf numFmtId="0" fontId="29" fillId="0" borderId="6" xfId="0" applyFont="1" applyBorder="1" applyAlignment="1">
      <alignment horizontal="center"/>
    </xf>
    <xf numFmtId="0" fontId="29" fillId="0" borderId="6" xfId="0" quotePrefix="1" applyFont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29" fillId="0" borderId="0" xfId="0" quotePrefix="1" applyFont="1" applyBorder="1" applyAlignment="1">
      <alignment horizontal="center"/>
    </xf>
    <xf numFmtId="0" fontId="35" fillId="0" borderId="6" xfId="0" applyFont="1" applyBorder="1"/>
    <xf numFmtId="0" fontId="35" fillId="0" borderId="2" xfId="0" applyFont="1" applyBorder="1"/>
    <xf numFmtId="0" fontId="35" fillId="0" borderId="10" xfId="0" applyFont="1" applyBorder="1" applyAlignment="1">
      <alignment horizontal="left"/>
    </xf>
    <xf numFmtId="0" fontId="0" fillId="0" borderId="28" xfId="0" applyBorder="1"/>
    <xf numFmtId="1" fontId="40" fillId="0" borderId="24" xfId="0" applyNumberFormat="1" applyFont="1" applyBorder="1" applyAlignment="1">
      <alignment horizontal="left"/>
    </xf>
    <xf numFmtId="166" fontId="40" fillId="0" borderId="28" xfId="0" applyNumberFormat="1" applyFont="1" applyBorder="1" applyAlignment="1">
      <alignment horizontal="left"/>
    </xf>
    <xf numFmtId="0" fontId="0" fillId="0" borderId="29" xfId="0" applyBorder="1"/>
    <xf numFmtId="167" fontId="40" fillId="0" borderId="28" xfId="0" applyNumberFormat="1" applyFont="1" applyBorder="1" applyAlignment="1">
      <alignment horizontal="left"/>
    </xf>
    <xf numFmtId="0" fontId="40" fillId="0" borderId="28" xfId="0" applyFont="1" applyBorder="1" applyAlignment="1">
      <alignment horizontal="left"/>
    </xf>
    <xf numFmtId="0" fontId="40" fillId="0" borderId="28" xfId="0" applyFont="1" applyBorder="1"/>
    <xf numFmtId="168" fontId="40" fillId="0" borderId="28" xfId="0" applyNumberFormat="1" applyFont="1" applyBorder="1" applyAlignment="1">
      <alignment horizontal="left"/>
    </xf>
    <xf numFmtId="169" fontId="40" fillId="0" borderId="28" xfId="0" applyNumberFormat="1" applyFont="1" applyBorder="1" applyAlignment="1">
      <alignment horizontal="left"/>
    </xf>
    <xf numFmtId="0" fontId="37" fillId="0" borderId="0" xfId="0" applyFont="1" applyBorder="1" applyAlignment="1">
      <alignment horizontal="right"/>
    </xf>
    <xf numFmtId="0" fontId="39" fillId="0" borderId="0" xfId="0" applyFont="1" applyBorder="1" applyAlignment="1">
      <alignment horizontal="centerContinuous"/>
    </xf>
    <xf numFmtId="0" fontId="37" fillId="0" borderId="0" xfId="0" applyFont="1" applyBorder="1" applyAlignment="1">
      <alignment horizontal="centerContinuous"/>
    </xf>
    <xf numFmtId="2" fontId="0" fillId="0" borderId="0" xfId="0" applyNumberFormat="1"/>
    <xf numFmtId="0" fontId="29" fillId="0" borderId="0" xfId="0" applyFont="1" applyBorder="1" applyProtection="1">
      <protection locked="0"/>
    </xf>
    <xf numFmtId="0" fontId="29" fillId="0" borderId="15" xfId="0" applyFont="1" applyBorder="1" applyProtection="1">
      <protection locked="0"/>
    </xf>
    <xf numFmtId="0" fontId="0" fillId="0" borderId="28" xfId="0" applyBorder="1" applyProtection="1">
      <protection locked="0"/>
    </xf>
    <xf numFmtId="0" fontId="0" fillId="0" borderId="29" xfId="0" applyBorder="1" applyProtection="1">
      <protection locked="0"/>
    </xf>
    <xf numFmtId="0" fontId="0" fillId="0" borderId="24" xfId="0" applyBorder="1" applyProtection="1">
      <protection locked="0"/>
    </xf>
    <xf numFmtId="0" fontId="29" fillId="0" borderId="0" xfId="0" applyFont="1" applyFill="1" applyBorder="1"/>
    <xf numFmtId="6" fontId="0" fillId="0" borderId="0" xfId="0" applyNumberFormat="1"/>
    <xf numFmtId="0" fontId="29" fillId="0" borderId="17" xfId="0" applyFont="1" applyBorder="1" applyAlignment="1">
      <alignment horizontal="left"/>
    </xf>
    <xf numFmtId="0" fontId="29" fillId="0" borderId="24" xfId="0" applyFont="1" applyBorder="1" applyAlignment="1">
      <alignment horizontal="left"/>
    </xf>
    <xf numFmtId="0" fontId="29" fillId="0" borderId="7" xfId="0" applyFont="1" applyBorder="1" applyAlignment="1">
      <alignment horizontal="center"/>
    </xf>
    <xf numFmtId="8" fontId="29" fillId="0" borderId="0" xfId="1" applyFont="1" applyBorder="1" applyProtection="1">
      <protection locked="0"/>
    </xf>
    <xf numFmtId="0" fontId="0" fillId="0" borderId="0" xfId="0" applyAlignment="1">
      <alignment horizontal="right"/>
    </xf>
    <xf numFmtId="0" fontId="29" fillId="0" borderId="5" xfId="0" applyFont="1" applyBorder="1" applyAlignment="1" applyProtection="1">
      <alignment horizontal="center"/>
      <protection locked="0"/>
    </xf>
    <xf numFmtId="0" fontId="29" fillId="0" borderId="5" xfId="0" applyFont="1" applyBorder="1" applyProtection="1">
      <protection locked="0"/>
    </xf>
    <xf numFmtId="0" fontId="29" fillId="0" borderId="16" xfId="0" applyFont="1" applyBorder="1" applyProtection="1">
      <protection locked="0"/>
    </xf>
    <xf numFmtId="165" fontId="29" fillId="0" borderId="30" xfId="0" applyNumberFormat="1" applyFont="1" applyBorder="1" applyAlignment="1" applyProtection="1">
      <alignment horizontal="right"/>
    </xf>
    <xf numFmtId="0" fontId="0" fillId="0" borderId="32" xfId="0" applyBorder="1" applyProtection="1"/>
    <xf numFmtId="0" fontId="43" fillId="0" borderId="0" xfId="2"/>
    <xf numFmtId="0" fontId="46" fillId="2" borderId="23" xfId="3" applyFont="1" applyFill="1" applyBorder="1" applyAlignment="1" applyProtection="1">
      <alignment horizontal="center"/>
      <protection locked="0"/>
    </xf>
    <xf numFmtId="0" fontId="46" fillId="2" borderId="1" xfId="3" applyFont="1" applyFill="1" applyBorder="1" applyAlignment="1" applyProtection="1">
      <alignment horizontal="center"/>
      <protection locked="0"/>
    </xf>
    <xf numFmtId="0" fontId="46" fillId="3" borderId="1" xfId="3" applyFont="1" applyFill="1" applyBorder="1" applyAlignment="1" applyProtection="1">
      <alignment horizontal="center"/>
    </xf>
    <xf numFmtId="0" fontId="43" fillId="0" borderId="0" xfId="2" applyAlignment="1">
      <alignment horizontal="center"/>
    </xf>
    <xf numFmtId="0" fontId="43" fillId="0" borderId="0" xfId="4"/>
    <xf numFmtId="0" fontId="46" fillId="3" borderId="23" xfId="3" applyFont="1" applyFill="1" applyBorder="1" applyAlignment="1" applyProtection="1">
      <alignment horizontal="center"/>
    </xf>
    <xf numFmtId="8" fontId="46" fillId="3" borderId="23" xfId="1" applyFont="1" applyFill="1" applyBorder="1" applyAlignment="1" applyProtection="1">
      <alignment horizontal="center"/>
    </xf>
    <xf numFmtId="0" fontId="46" fillId="3" borderId="33" xfId="3" applyFont="1" applyFill="1" applyBorder="1" applyAlignment="1" applyProtection="1">
      <alignment horizontal="center"/>
    </xf>
    <xf numFmtId="8" fontId="46" fillId="3" borderId="1" xfId="1" applyFont="1" applyFill="1" applyBorder="1" applyAlignment="1" applyProtection="1">
      <alignment horizontal="center"/>
    </xf>
    <xf numFmtId="0" fontId="46" fillId="3" borderId="34" xfId="3" applyFont="1" applyFill="1" applyBorder="1" applyAlignment="1" applyProtection="1">
      <alignment horizontal="center"/>
    </xf>
    <xf numFmtId="0" fontId="47" fillId="4" borderId="22" xfId="3" applyFont="1" applyFill="1" applyBorder="1" applyAlignment="1" applyProtection="1">
      <alignment horizontal="center"/>
    </xf>
    <xf numFmtId="8" fontId="47" fillId="4" borderId="22" xfId="1" applyFont="1" applyFill="1" applyBorder="1" applyAlignment="1" applyProtection="1">
      <alignment horizontal="center"/>
    </xf>
    <xf numFmtId="0" fontId="48" fillId="0" borderId="0" xfId="4" applyFont="1" applyAlignment="1">
      <alignment horizontal="center"/>
    </xf>
    <xf numFmtId="0" fontId="43" fillId="0" borderId="0" xfId="4" applyAlignment="1">
      <alignment horizontal="center"/>
    </xf>
    <xf numFmtId="0" fontId="43" fillId="0" borderId="0" xfId="4" applyFill="1"/>
    <xf numFmtId="0" fontId="43" fillId="0" borderId="0" xfId="4" applyFill="1" applyBorder="1"/>
    <xf numFmtId="0" fontId="43" fillId="0" borderId="0" xfId="4" applyBorder="1"/>
    <xf numFmtId="8" fontId="49" fillId="3" borderId="1" xfId="1" applyFont="1" applyFill="1" applyBorder="1" applyAlignment="1" applyProtection="1">
      <alignment horizontal="center"/>
    </xf>
    <xf numFmtId="8" fontId="49" fillId="5" borderId="1" xfId="1" applyFont="1" applyFill="1" applyBorder="1" applyAlignment="1" applyProtection="1">
      <alignment horizontal="center"/>
    </xf>
    <xf numFmtId="0" fontId="46" fillId="3" borderId="21" xfId="3" applyFont="1" applyFill="1" applyBorder="1" applyAlignment="1" applyProtection="1">
      <alignment horizontal="center"/>
    </xf>
    <xf numFmtId="8" fontId="46" fillId="3" borderId="21" xfId="1" applyFont="1" applyFill="1" applyBorder="1" applyAlignment="1" applyProtection="1">
      <alignment horizontal="center"/>
    </xf>
    <xf numFmtId="0" fontId="46" fillId="3" borderId="35" xfId="3" applyFont="1" applyFill="1" applyBorder="1" applyAlignment="1" applyProtection="1">
      <alignment horizontal="center"/>
    </xf>
    <xf numFmtId="0" fontId="49" fillId="3" borderId="36" xfId="3" applyFont="1" applyFill="1" applyBorder="1" applyAlignment="1" applyProtection="1">
      <alignment horizontal="left"/>
    </xf>
    <xf numFmtId="0" fontId="46" fillId="3" borderId="37" xfId="3" applyFont="1" applyFill="1" applyBorder="1" applyAlignment="1" applyProtection="1">
      <alignment horizontal="left"/>
    </xf>
    <xf numFmtId="0" fontId="46" fillId="3" borderId="38" xfId="3" applyFont="1" applyFill="1" applyBorder="1" applyAlignment="1" applyProtection="1">
      <alignment horizontal="left"/>
    </xf>
    <xf numFmtId="0" fontId="43" fillId="0" borderId="0" xfId="2" applyBorder="1"/>
    <xf numFmtId="0" fontId="46" fillId="2" borderId="9" xfId="3" applyFont="1" applyFill="1" applyBorder="1" applyAlignment="1" applyProtection="1">
      <alignment horizontal="center"/>
      <protection locked="0"/>
    </xf>
    <xf numFmtId="0" fontId="46" fillId="3" borderId="9" xfId="3" applyFont="1" applyFill="1" applyBorder="1" applyAlignment="1" applyProtection="1">
      <alignment horizontal="center"/>
    </xf>
    <xf numFmtId="0" fontId="44" fillId="6" borderId="39" xfId="3" applyFont="1" applyFill="1" applyBorder="1" applyAlignment="1" applyProtection="1">
      <alignment horizontal="centerContinuous"/>
    </xf>
    <xf numFmtId="0" fontId="44" fillId="6" borderId="22" xfId="3" applyFont="1" applyFill="1" applyBorder="1" applyAlignment="1" applyProtection="1">
      <alignment horizontal="centerContinuous"/>
    </xf>
    <xf numFmtId="0" fontId="45" fillId="4" borderId="40" xfId="3" applyFont="1" applyFill="1" applyBorder="1" applyAlignment="1" applyProtection="1">
      <alignment horizontal="center"/>
    </xf>
    <xf numFmtId="0" fontId="46" fillId="3" borderId="41" xfId="3" applyFont="1" applyFill="1" applyBorder="1" applyAlignment="1" applyProtection="1">
      <alignment horizontal="left"/>
    </xf>
    <xf numFmtId="0" fontId="46" fillId="3" borderId="42" xfId="3" applyFont="1" applyFill="1" applyBorder="1" applyAlignment="1" applyProtection="1">
      <alignment horizontal="left"/>
    </xf>
    <xf numFmtId="0" fontId="46" fillId="3" borderId="26" xfId="3" applyFont="1" applyFill="1" applyBorder="1" applyAlignment="1" applyProtection="1">
      <alignment horizontal="center"/>
    </xf>
    <xf numFmtId="8" fontId="46" fillId="3" borderId="26" xfId="1" applyFont="1" applyFill="1" applyBorder="1" applyAlignment="1" applyProtection="1">
      <alignment horizontal="center"/>
    </xf>
    <xf numFmtId="0" fontId="46" fillId="3" borderId="43" xfId="3" applyFont="1" applyFill="1" applyBorder="1" applyAlignment="1" applyProtection="1">
      <alignment horizontal="center"/>
    </xf>
    <xf numFmtId="8" fontId="46" fillId="3" borderId="9" xfId="1" applyFont="1" applyFill="1" applyBorder="1" applyAlignment="1" applyProtection="1">
      <alignment horizontal="center"/>
    </xf>
    <xf numFmtId="0" fontId="46" fillId="3" borderId="44" xfId="3" applyFont="1" applyFill="1" applyBorder="1" applyAlignment="1" applyProtection="1">
      <alignment horizontal="center"/>
    </xf>
    <xf numFmtId="8" fontId="49" fillId="3" borderId="26" xfId="1" applyFont="1" applyFill="1" applyBorder="1" applyAlignment="1" applyProtection="1">
      <alignment horizontal="center"/>
    </xf>
    <xf numFmtId="0" fontId="46" fillId="3" borderId="1" xfId="3" applyFont="1" applyFill="1" applyBorder="1" applyAlignment="1" applyProtection="1">
      <alignment horizontal="left"/>
    </xf>
    <xf numFmtId="8" fontId="49" fillId="3" borderId="21" xfId="1" applyFont="1" applyFill="1" applyBorder="1" applyAlignment="1" applyProtection="1">
      <alignment horizontal="center"/>
    </xf>
    <xf numFmtId="0" fontId="49" fillId="3" borderId="45" xfId="3" applyFont="1" applyFill="1" applyBorder="1" applyAlignment="1" applyProtection="1">
      <alignment horizontal="left"/>
    </xf>
    <xf numFmtId="0" fontId="49" fillId="3" borderId="38" xfId="3" applyFont="1" applyFill="1" applyBorder="1" applyAlignment="1" applyProtection="1">
      <alignment horizontal="left"/>
    </xf>
    <xf numFmtId="0" fontId="49" fillId="3" borderId="46" xfId="3" applyFont="1" applyFill="1" applyBorder="1" applyAlignment="1" applyProtection="1">
      <alignment horizontal="left"/>
    </xf>
    <xf numFmtId="0" fontId="46" fillId="3" borderId="47" xfId="3" applyFont="1" applyFill="1" applyBorder="1" applyAlignment="1" applyProtection="1">
      <alignment horizontal="center"/>
    </xf>
    <xf numFmtId="8" fontId="46" fillId="3" borderId="47" xfId="1" applyFont="1" applyFill="1" applyBorder="1" applyAlignment="1" applyProtection="1">
      <alignment horizontal="center"/>
    </xf>
    <xf numFmtId="0" fontId="47" fillId="4" borderId="48" xfId="3" applyFont="1" applyFill="1" applyBorder="1" applyAlignment="1" applyProtection="1">
      <alignment horizontal="center"/>
    </xf>
    <xf numFmtId="8" fontId="47" fillId="4" borderId="48" xfId="1" applyFont="1" applyFill="1" applyBorder="1" applyAlignment="1" applyProtection="1">
      <alignment horizontal="center"/>
    </xf>
    <xf numFmtId="0" fontId="49" fillId="3" borderId="1" xfId="3" applyFont="1" applyFill="1" applyBorder="1" applyAlignment="1" applyProtection="1">
      <alignment horizontal="left"/>
    </xf>
    <xf numFmtId="0" fontId="49" fillId="3" borderId="37" xfId="3" applyFont="1" applyFill="1" applyBorder="1" applyAlignment="1" applyProtection="1">
      <alignment horizontal="left"/>
    </xf>
    <xf numFmtId="8" fontId="46" fillId="5" borderId="1" xfId="1" applyFont="1" applyFill="1" applyBorder="1" applyAlignment="1" applyProtection="1">
      <alignment horizontal="center"/>
    </xf>
    <xf numFmtId="0" fontId="49" fillId="0" borderId="0" xfId="3" applyFont="1" applyFill="1" applyBorder="1" applyAlignment="1" applyProtection="1">
      <alignment horizontal="left"/>
    </xf>
    <xf numFmtId="0" fontId="46" fillId="0" borderId="0" xfId="3" applyFont="1" applyFill="1" applyBorder="1" applyAlignment="1" applyProtection="1">
      <alignment horizontal="center"/>
    </xf>
    <xf numFmtId="0" fontId="46" fillId="0" borderId="0" xfId="3" applyFont="1" applyFill="1" applyBorder="1" applyAlignment="1" applyProtection="1">
      <alignment horizontal="center"/>
      <protection locked="0"/>
    </xf>
    <xf numFmtId="0" fontId="46" fillId="0" borderId="0" xfId="3" applyFont="1" applyFill="1" applyBorder="1" applyAlignment="1" applyProtection="1">
      <alignment horizontal="left"/>
    </xf>
    <xf numFmtId="0" fontId="54" fillId="0" borderId="0" xfId="3" applyFont="1" applyFill="1" applyBorder="1" applyAlignment="1" applyProtection="1">
      <alignment horizontal="left"/>
    </xf>
    <xf numFmtId="0" fontId="55" fillId="0" borderId="0" xfId="3" applyFont="1" applyFill="1" applyBorder="1" applyAlignment="1" applyProtection="1">
      <alignment horizontal="center"/>
    </xf>
    <xf numFmtId="0" fontId="55" fillId="0" borderId="0" xfId="3" applyFont="1" applyFill="1" applyBorder="1" applyAlignment="1" applyProtection="1">
      <alignment horizontal="center"/>
      <protection locked="0"/>
    </xf>
    <xf numFmtId="0" fontId="55" fillId="0" borderId="0" xfId="3" applyFont="1" applyFill="1" applyBorder="1" applyAlignment="1" applyProtection="1">
      <alignment horizontal="left"/>
    </xf>
    <xf numFmtId="0" fontId="56" fillId="0" borderId="0" xfId="0" applyFont="1"/>
    <xf numFmtId="0" fontId="52" fillId="0" borderId="49" xfId="3" applyFont="1" applyFill="1" applyBorder="1" applyAlignment="1" applyProtection="1">
      <alignment horizontal="center"/>
    </xf>
    <xf numFmtId="0" fontId="55" fillId="0" borderId="49" xfId="3" applyFont="1" applyFill="1" applyBorder="1" applyAlignment="1" applyProtection="1">
      <alignment horizontal="center"/>
      <protection locked="0"/>
    </xf>
    <xf numFmtId="0" fontId="55" fillId="0" borderId="50" xfId="3" applyFont="1" applyFill="1" applyBorder="1" applyAlignment="1" applyProtection="1">
      <alignment horizontal="center"/>
      <protection locked="0"/>
    </xf>
    <xf numFmtId="0" fontId="55" fillId="0" borderId="51" xfId="3" applyFont="1" applyFill="1" applyBorder="1" applyAlignment="1" applyProtection="1">
      <alignment horizontal="center"/>
      <protection locked="0"/>
    </xf>
    <xf numFmtId="0" fontId="55" fillId="0" borderId="52" xfId="3" applyFont="1" applyFill="1" applyBorder="1" applyAlignment="1" applyProtection="1">
      <alignment horizontal="center"/>
    </xf>
    <xf numFmtId="0" fontId="55" fillId="0" borderId="53" xfId="3" applyFont="1" applyFill="1" applyBorder="1" applyAlignment="1" applyProtection="1">
      <alignment horizontal="center"/>
    </xf>
    <xf numFmtId="0" fontId="55" fillId="0" borderId="54" xfId="3" applyFont="1" applyFill="1" applyBorder="1" applyAlignment="1" applyProtection="1">
      <alignment horizontal="center"/>
    </xf>
    <xf numFmtId="0" fontId="55" fillId="0" borderId="55" xfId="3" applyFont="1" applyFill="1" applyBorder="1" applyAlignment="1" applyProtection="1">
      <alignment horizontal="center"/>
    </xf>
    <xf numFmtId="0" fontId="55" fillId="0" borderId="56" xfId="3" applyFont="1" applyFill="1" applyBorder="1" applyAlignment="1" applyProtection="1">
      <alignment horizontal="center"/>
    </xf>
    <xf numFmtId="0" fontId="55" fillId="0" borderId="57" xfId="3" applyFont="1" applyFill="1" applyBorder="1" applyAlignment="1" applyProtection="1">
      <alignment horizontal="center"/>
    </xf>
    <xf numFmtId="0" fontId="55" fillId="0" borderId="58" xfId="3" applyFont="1" applyFill="1" applyBorder="1" applyAlignment="1" applyProtection="1">
      <alignment horizontal="center"/>
    </xf>
    <xf numFmtId="0" fontId="54" fillId="0" borderId="59" xfId="3" applyFont="1" applyFill="1" applyBorder="1" applyAlignment="1" applyProtection="1">
      <alignment horizontal="left"/>
    </xf>
    <xf numFmtId="0" fontId="54" fillId="0" borderId="60" xfId="3" applyFont="1" applyFill="1" applyBorder="1" applyAlignment="1" applyProtection="1">
      <alignment horizontal="left"/>
    </xf>
    <xf numFmtId="0" fontId="55" fillId="0" borderId="61" xfId="3" applyFont="1" applyFill="1" applyBorder="1" applyAlignment="1" applyProtection="1">
      <alignment horizontal="left"/>
    </xf>
    <xf numFmtId="0" fontId="55" fillId="0" borderId="60" xfId="3" applyFont="1" applyFill="1" applyBorder="1" applyAlignment="1" applyProtection="1">
      <alignment horizontal="left"/>
    </xf>
    <xf numFmtId="0" fontId="53" fillId="0" borderId="60" xfId="0" applyFont="1" applyBorder="1"/>
    <xf numFmtId="0" fontId="53" fillId="0" borderId="61" xfId="0" applyFont="1" applyBorder="1"/>
    <xf numFmtId="0" fontId="53" fillId="0" borderId="54" xfId="0" applyFont="1" applyBorder="1"/>
    <xf numFmtId="0" fontId="55" fillId="0" borderId="62" xfId="3" applyFont="1" applyFill="1" applyBorder="1" applyAlignment="1" applyProtection="1">
      <alignment horizontal="center"/>
      <protection locked="0"/>
    </xf>
    <xf numFmtId="0" fontId="55" fillId="0" borderId="63" xfId="3" applyFont="1" applyFill="1" applyBorder="1" applyAlignment="1" applyProtection="1">
      <alignment horizontal="center"/>
      <protection locked="0"/>
    </xf>
    <xf numFmtId="0" fontId="55" fillId="0" borderId="49" xfId="3" applyFont="1" applyFill="1" applyBorder="1" applyAlignment="1" applyProtection="1">
      <alignment horizontal="center"/>
    </xf>
    <xf numFmtId="0" fontId="55" fillId="0" borderId="64" xfId="3" applyFont="1" applyFill="1" applyBorder="1" applyAlignment="1" applyProtection="1">
      <alignment horizontal="center"/>
      <protection locked="0"/>
    </xf>
    <xf numFmtId="0" fontId="55" fillId="0" borderId="51" xfId="3" applyFont="1" applyFill="1" applyBorder="1" applyAlignment="1" applyProtection="1">
      <alignment horizontal="center"/>
    </xf>
    <xf numFmtId="0" fontId="53" fillId="0" borderId="53" xfId="0" applyFont="1" applyBorder="1"/>
    <xf numFmtId="0" fontId="55" fillId="0" borderId="65" xfId="3" applyFont="1" applyFill="1" applyBorder="1" applyAlignment="1" applyProtection="1">
      <alignment horizontal="center"/>
      <protection locked="0"/>
    </xf>
    <xf numFmtId="0" fontId="52" fillId="0" borderId="54" xfId="3" applyFont="1" applyFill="1" applyBorder="1" applyAlignment="1" applyProtection="1">
      <alignment horizontal="center"/>
    </xf>
    <xf numFmtId="0" fontId="52" fillId="0" borderId="61" xfId="3" applyFont="1" applyFill="1" applyBorder="1" applyAlignment="1" applyProtection="1">
      <alignment horizontal="center"/>
    </xf>
    <xf numFmtId="0" fontId="54" fillId="0" borderId="66" xfId="3" applyFont="1" applyFill="1" applyBorder="1" applyAlignment="1" applyProtection="1">
      <alignment horizontal="left"/>
    </xf>
    <xf numFmtId="0" fontId="53" fillId="0" borderId="67" xfId="0" applyFont="1" applyBorder="1"/>
    <xf numFmtId="0" fontId="53" fillId="0" borderId="68" xfId="0" applyFont="1" applyBorder="1"/>
    <xf numFmtId="0" fontId="55" fillId="0" borderId="68" xfId="3" applyFont="1" applyFill="1" applyBorder="1" applyAlignment="1" applyProtection="1">
      <alignment horizontal="left"/>
    </xf>
    <xf numFmtId="0" fontId="55" fillId="0" borderId="69" xfId="3" applyFont="1" applyFill="1" applyBorder="1" applyAlignment="1" applyProtection="1">
      <alignment horizontal="center"/>
    </xf>
    <xf numFmtId="0" fontId="55" fillId="0" borderId="70" xfId="3" applyFont="1" applyFill="1" applyBorder="1" applyAlignment="1" applyProtection="1">
      <alignment horizontal="center"/>
      <protection locked="0"/>
    </xf>
    <xf numFmtId="0" fontId="55" fillId="0" borderId="60" xfId="3" applyFont="1" applyFill="1" applyBorder="1" applyAlignment="1" applyProtection="1">
      <alignment horizontal="left" indent="1"/>
    </xf>
    <xf numFmtId="0" fontId="53" fillId="0" borderId="71" xfId="0" applyFont="1" applyBorder="1"/>
    <xf numFmtId="0" fontId="53" fillId="0" borderId="72" xfId="0" applyFont="1" applyBorder="1"/>
    <xf numFmtId="0" fontId="55" fillId="0" borderId="68" xfId="3" applyFont="1" applyFill="1" applyBorder="1" applyAlignment="1" applyProtection="1">
      <alignment horizontal="left" indent="1"/>
    </xf>
    <xf numFmtId="0" fontId="55" fillId="0" borderId="71" xfId="3" applyFont="1" applyFill="1" applyBorder="1" applyAlignment="1" applyProtection="1">
      <alignment horizontal="left" indent="1"/>
    </xf>
    <xf numFmtId="0" fontId="53" fillId="0" borderId="71" xfId="0" applyFont="1" applyBorder="1" applyAlignment="1">
      <alignment horizontal="left" indent="1"/>
    </xf>
    <xf numFmtId="0" fontId="53" fillId="0" borderId="72" xfId="0" applyFont="1" applyBorder="1" applyAlignment="1">
      <alignment horizontal="left" indent="1"/>
    </xf>
    <xf numFmtId="0" fontId="54" fillId="0" borderId="73" xfId="3" applyFont="1" applyFill="1" applyBorder="1" applyAlignment="1" applyProtection="1">
      <alignment horizontal="left"/>
    </xf>
    <xf numFmtId="0" fontId="55" fillId="0" borderId="72" xfId="3" applyFont="1" applyFill="1" applyBorder="1" applyAlignment="1" applyProtection="1">
      <alignment horizontal="left" indent="1"/>
    </xf>
    <xf numFmtId="0" fontId="55" fillId="0" borderId="74" xfId="3" applyFont="1" applyFill="1" applyBorder="1" applyAlignment="1" applyProtection="1">
      <alignment horizontal="center"/>
      <protection locked="0"/>
    </xf>
    <xf numFmtId="0" fontId="55" fillId="0" borderId="60" xfId="3" applyFont="1" applyFill="1" applyBorder="1" applyAlignment="1" applyProtection="1">
      <alignment horizontal="left" indent="2"/>
    </xf>
    <xf numFmtId="0" fontId="56" fillId="0" borderId="59" xfId="0" applyFont="1" applyBorder="1"/>
    <xf numFmtId="0" fontId="0" fillId="0" borderId="75" xfId="0" applyBorder="1" applyAlignment="1">
      <alignment horizontal="right"/>
    </xf>
    <xf numFmtId="0" fontId="0" fillId="0" borderId="76" xfId="0" applyBorder="1" applyAlignment="1">
      <alignment horizontal="right"/>
    </xf>
    <xf numFmtId="0" fontId="0" fillId="0" borderId="77" xfId="0" applyBorder="1"/>
    <xf numFmtId="0" fontId="0" fillId="0" borderId="78" xfId="0" applyBorder="1"/>
    <xf numFmtId="0" fontId="0" fillId="0" borderId="79" xfId="0" applyBorder="1"/>
    <xf numFmtId="0" fontId="0" fillId="0" borderId="80" xfId="0" applyBorder="1"/>
    <xf numFmtId="0" fontId="0" fillId="0" borderId="28" xfId="0" applyFill="1" applyBorder="1"/>
    <xf numFmtId="0" fontId="57" fillId="0" borderId="31" xfId="0" applyFont="1" applyBorder="1"/>
    <xf numFmtId="0" fontId="57" fillId="0" borderId="81" xfId="0" applyFont="1" applyBorder="1"/>
    <xf numFmtId="0" fontId="57" fillId="0" borderId="25" xfId="0" applyFont="1" applyBorder="1"/>
    <xf numFmtId="8" fontId="57" fillId="0" borderId="25" xfId="1" applyFont="1" applyBorder="1"/>
    <xf numFmtId="8" fontId="57" fillId="0" borderId="29" xfId="1" applyFont="1" applyBorder="1"/>
    <xf numFmtId="8" fontId="0" fillId="0" borderId="82" xfId="1" applyFont="1" applyBorder="1"/>
    <xf numFmtId="8" fontId="57" fillId="0" borderId="77" xfId="1" applyFont="1" applyBorder="1"/>
    <xf numFmtId="8" fontId="0" fillId="0" borderId="77" xfId="1" applyFont="1" applyBorder="1"/>
    <xf numFmtId="0" fontId="46" fillId="3" borderId="1" xfId="3" applyFont="1" applyFill="1" applyBorder="1" applyAlignment="1" applyProtection="1">
      <alignment horizontal="center"/>
      <protection locked="0"/>
    </xf>
    <xf numFmtId="1" fontId="47" fillId="4" borderId="22" xfId="1" applyNumberFormat="1" applyFont="1" applyFill="1" applyBorder="1" applyAlignment="1" applyProtection="1">
      <alignment horizontal="right"/>
    </xf>
    <xf numFmtId="1" fontId="49" fillId="5" borderId="1" xfId="1" applyNumberFormat="1" applyFont="1" applyFill="1" applyBorder="1" applyAlignment="1" applyProtection="1">
      <alignment horizontal="right"/>
    </xf>
    <xf numFmtId="1" fontId="46" fillId="3" borderId="35" xfId="3" applyNumberFormat="1" applyFont="1" applyFill="1" applyBorder="1" applyAlignment="1" applyProtection="1">
      <alignment horizontal="right"/>
    </xf>
    <xf numFmtId="38" fontId="49" fillId="5" borderId="1" xfId="1" applyNumberFormat="1" applyFont="1" applyFill="1" applyBorder="1" applyAlignment="1" applyProtection="1">
      <alignment horizontal="center"/>
    </xf>
    <xf numFmtId="38" fontId="47" fillId="4" borderId="22" xfId="1" applyNumberFormat="1" applyFont="1" applyFill="1" applyBorder="1" applyAlignment="1" applyProtection="1">
      <alignment horizontal="center"/>
    </xf>
    <xf numFmtId="1" fontId="46" fillId="5" borderId="34" xfId="1" applyNumberFormat="1" applyFont="1" applyFill="1" applyBorder="1" applyAlignment="1" applyProtection="1">
      <alignment horizontal="center"/>
    </xf>
    <xf numFmtId="1" fontId="46" fillId="3" borderId="34" xfId="3" applyNumberFormat="1" applyFont="1" applyFill="1" applyBorder="1" applyAlignment="1" applyProtection="1">
      <alignment horizontal="center"/>
    </xf>
    <xf numFmtId="1" fontId="47" fillId="4" borderId="22" xfId="1" applyNumberFormat="1" applyFont="1" applyFill="1" applyBorder="1" applyAlignment="1" applyProtection="1">
      <alignment horizontal="center"/>
    </xf>
    <xf numFmtId="1" fontId="46" fillId="5" borderId="43" xfId="1" applyNumberFormat="1" applyFont="1" applyFill="1" applyBorder="1" applyAlignment="1" applyProtection="1">
      <alignment horizontal="center"/>
    </xf>
    <xf numFmtId="1" fontId="46" fillId="2" borderId="23" xfId="3" applyNumberFormat="1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9" fillId="3" borderId="83" xfId="0" quotePrefix="1" applyFont="1" applyFill="1" applyBorder="1" applyAlignment="1">
      <alignment horizontal="center"/>
    </xf>
    <xf numFmtId="0" fontId="29" fillId="3" borderId="1" xfId="0" applyFont="1" applyFill="1" applyBorder="1" applyAlignment="1">
      <alignment horizontal="left"/>
    </xf>
    <xf numFmtId="6" fontId="29" fillId="0" borderId="1" xfId="1" applyNumberFormat="1" applyFont="1" applyBorder="1"/>
    <xf numFmtId="0" fontId="29" fillId="3" borderId="83" xfId="0" applyFont="1" applyFill="1" applyBorder="1" applyAlignment="1">
      <alignment horizontal="center"/>
    </xf>
    <xf numFmtId="0" fontId="29" fillId="3" borderId="1" xfId="0" applyFont="1" applyFill="1" applyBorder="1"/>
    <xf numFmtId="0" fontId="29" fillId="0" borderId="84" xfId="0" applyFont="1" applyBorder="1"/>
    <xf numFmtId="0" fontId="29" fillId="3" borderId="1" xfId="0" applyFont="1" applyFill="1" applyBorder="1" applyAlignment="1" applyProtection="1">
      <alignment horizontal="left"/>
      <protection locked="0"/>
    </xf>
    <xf numFmtId="6" fontId="29" fillId="5" borderId="2" xfId="1" applyNumberFormat="1" applyFont="1" applyFill="1" applyBorder="1"/>
    <xf numFmtId="164" fontId="29" fillId="5" borderId="2" xfId="0" applyNumberFormat="1" applyFont="1" applyFill="1" applyBorder="1"/>
    <xf numFmtId="164" fontId="29" fillId="5" borderId="31" xfId="0" applyNumberFormat="1" applyFont="1" applyFill="1" applyBorder="1"/>
    <xf numFmtId="1" fontId="29" fillId="5" borderId="2" xfId="0" applyNumberFormat="1" applyFont="1" applyFill="1" applyBorder="1"/>
    <xf numFmtId="1" fontId="29" fillId="5" borderId="1" xfId="0" applyNumberFormat="1" applyFont="1" applyFill="1" applyBorder="1"/>
    <xf numFmtId="2" fontId="33" fillId="7" borderId="22" xfId="0" applyNumberFormat="1" applyFont="1" applyFill="1" applyBorder="1"/>
    <xf numFmtId="14" fontId="0" fillId="0" borderId="28" xfId="0" applyNumberFormat="1" applyBorder="1" applyProtection="1">
      <protection locked="0"/>
    </xf>
    <xf numFmtId="8" fontId="33" fillId="7" borderId="91" xfId="1" applyNumberFormat="1" applyFont="1" applyFill="1" applyBorder="1"/>
    <xf numFmtId="0" fontId="0" fillId="0" borderId="75" xfId="0" applyBorder="1"/>
    <xf numFmtId="0" fontId="0" fillId="0" borderId="88" xfId="0" applyBorder="1"/>
    <xf numFmtId="0" fontId="36" fillId="0" borderId="88" xfId="0" applyFont="1" applyBorder="1" applyAlignment="1">
      <alignment horizontal="centerContinuous"/>
    </xf>
    <xf numFmtId="0" fontId="37" fillId="0" borderId="88" xfId="0" applyFont="1" applyBorder="1" applyAlignment="1">
      <alignment horizontal="centerContinuous"/>
    </xf>
    <xf numFmtId="0" fontId="0" fillId="0" borderId="82" xfId="0" applyBorder="1"/>
    <xf numFmtId="0" fontId="37" fillId="0" borderId="76" xfId="0" applyFont="1" applyBorder="1" applyAlignment="1">
      <alignment horizontal="left"/>
    </xf>
    <xf numFmtId="0" fontId="38" fillId="0" borderId="0" xfId="0" applyFont="1" applyBorder="1" applyAlignment="1">
      <alignment horizontal="center"/>
    </xf>
    <xf numFmtId="0" fontId="0" fillId="0" borderId="76" xfId="0" applyBorder="1"/>
    <xf numFmtId="0" fontId="39" fillId="0" borderId="0" xfId="0" applyFont="1" applyBorder="1" applyAlignment="1">
      <alignment horizontal="right"/>
    </xf>
    <xf numFmtId="0" fontId="0" fillId="0" borderId="92" xfId="0" applyBorder="1" applyProtection="1">
      <protection locked="0"/>
    </xf>
    <xf numFmtId="0" fontId="0" fillId="0" borderId="76" xfId="0" applyBorder="1" applyAlignment="1">
      <alignment horizontal="center"/>
    </xf>
    <xf numFmtId="0" fontId="29" fillId="0" borderId="0" xfId="0" applyFont="1" applyBorder="1" applyAlignment="1">
      <alignment horizontal="left"/>
    </xf>
    <xf numFmtId="0" fontId="35" fillId="0" borderId="93" xfId="0" applyFont="1" applyBorder="1" applyAlignment="1">
      <alignment horizontal="left" vertical="center"/>
    </xf>
    <xf numFmtId="0" fontId="30" fillId="0" borderId="8" xfId="0" applyFont="1" applyBorder="1" applyProtection="1">
      <protection locked="0"/>
    </xf>
    <xf numFmtId="0" fontId="30" fillId="0" borderId="7" xfId="0" applyFont="1" applyBorder="1" applyAlignment="1" applyProtection="1">
      <protection locked="0"/>
    </xf>
    <xf numFmtId="0" fontId="30" fillId="0" borderId="7" xfId="0" applyFont="1" applyBorder="1" applyProtection="1">
      <protection locked="0"/>
    </xf>
    <xf numFmtId="0" fontId="29" fillId="0" borderId="5" xfId="0" applyFont="1" applyBorder="1" applyAlignment="1" applyProtection="1">
      <protection locked="0"/>
    </xf>
    <xf numFmtId="0" fontId="50" fillId="0" borderId="5" xfId="0" applyFont="1" applyBorder="1" applyAlignment="1"/>
    <xf numFmtId="0" fontId="50" fillId="0" borderId="0" xfId="0" applyFont="1"/>
    <xf numFmtId="0" fontId="29" fillId="0" borderId="19" xfId="0" applyFont="1" applyBorder="1" applyAlignment="1" applyProtection="1">
      <protection locked="0"/>
    </xf>
    <xf numFmtId="49" fontId="50" fillId="0" borderId="19" xfId="0" applyNumberFormat="1" applyFont="1" applyBorder="1" applyAlignment="1" applyProtection="1">
      <protection locked="0"/>
    </xf>
    <xf numFmtId="0" fontId="50" fillId="0" borderId="14" xfId="0" applyFont="1" applyBorder="1" applyAlignment="1"/>
    <xf numFmtId="0" fontId="29" fillId="2" borderId="0" xfId="0" applyFont="1" applyFill="1" applyBorder="1" applyProtection="1">
      <protection locked="0"/>
    </xf>
    <xf numFmtId="0" fontId="50" fillId="2" borderId="0" xfId="0" applyFont="1" applyFill="1" applyBorder="1" applyProtection="1">
      <protection locked="0"/>
    </xf>
    <xf numFmtId="0" fontId="29" fillId="3" borderId="81" xfId="0" applyFont="1" applyFill="1" applyBorder="1" applyAlignment="1">
      <alignment horizontal="right"/>
    </xf>
    <xf numFmtId="6" fontId="29" fillId="2" borderId="0" xfId="1" applyNumberFormat="1" applyFont="1" applyFill="1" applyBorder="1" applyProtection="1">
      <protection locked="0"/>
    </xf>
    <xf numFmtId="6" fontId="31" fillId="5" borderId="31" xfId="1" applyNumberFormat="1" applyFont="1" applyFill="1" applyBorder="1" applyAlignment="1"/>
    <xf numFmtId="6" fontId="29" fillId="5" borderId="81" xfId="1" applyNumberFormat="1" applyFont="1" applyFill="1" applyBorder="1" applyAlignment="1">
      <alignment horizontal="right"/>
    </xf>
    <xf numFmtId="0" fontId="29" fillId="0" borderId="17" xfId="0" applyFont="1" applyBorder="1" applyAlignment="1"/>
    <xf numFmtId="0" fontId="62" fillId="6" borderId="22" xfId="3" applyFont="1" applyFill="1" applyBorder="1" applyAlignment="1" applyProtection="1">
      <alignment horizontal="right"/>
    </xf>
    <xf numFmtId="0" fontId="63" fillId="6" borderId="39" xfId="3" applyFont="1" applyFill="1" applyBorder="1" applyAlignment="1" applyProtection="1"/>
    <xf numFmtId="2" fontId="49" fillId="5" borderId="34" xfId="1" applyNumberFormat="1" applyFont="1" applyFill="1" applyBorder="1" applyAlignment="1" applyProtection="1">
      <alignment horizontal="center"/>
    </xf>
    <xf numFmtId="2" fontId="49" fillId="3" borderId="34" xfId="1" applyNumberFormat="1" applyFont="1" applyFill="1" applyBorder="1" applyAlignment="1" applyProtection="1">
      <alignment horizontal="center"/>
    </xf>
    <xf numFmtId="0" fontId="49" fillId="3" borderId="26" xfId="3" applyFont="1" applyFill="1" applyBorder="1" applyAlignment="1" applyProtection="1">
      <alignment horizontal="left"/>
    </xf>
    <xf numFmtId="8" fontId="49" fillId="5" borderId="26" xfId="1" applyFont="1" applyFill="1" applyBorder="1" applyAlignment="1" applyProtection="1">
      <alignment horizontal="center"/>
    </xf>
    <xf numFmtId="2" fontId="49" fillId="5" borderId="43" xfId="1" applyNumberFormat="1" applyFont="1" applyFill="1" applyBorder="1" applyAlignment="1" applyProtection="1">
      <alignment horizontal="center"/>
    </xf>
    <xf numFmtId="2" fontId="47" fillId="4" borderId="48" xfId="1" applyNumberFormat="1" applyFont="1" applyFill="1" applyBorder="1" applyAlignment="1" applyProtection="1">
      <alignment horizontal="center"/>
    </xf>
    <xf numFmtId="0" fontId="49" fillId="3" borderId="47" xfId="3" applyFont="1" applyFill="1" applyBorder="1" applyAlignment="1" applyProtection="1">
      <alignment horizontal="left"/>
    </xf>
    <xf numFmtId="8" fontId="49" fillId="3" borderId="47" xfId="1" applyFont="1" applyFill="1" applyBorder="1" applyAlignment="1" applyProtection="1">
      <alignment horizontal="center"/>
    </xf>
    <xf numFmtId="8" fontId="49" fillId="5" borderId="47" xfId="1" applyFont="1" applyFill="1" applyBorder="1" applyAlignment="1" applyProtection="1">
      <alignment horizontal="center"/>
    </xf>
    <xf numFmtId="40" fontId="49" fillId="3" borderId="1" xfId="1" applyNumberFormat="1" applyFont="1" applyFill="1" applyBorder="1" applyAlignment="1" applyProtection="1">
      <alignment horizontal="center"/>
    </xf>
    <xf numFmtId="2" fontId="46" fillId="3" borderId="1" xfId="3" applyNumberFormat="1" applyFont="1" applyFill="1" applyBorder="1" applyAlignment="1" applyProtection="1">
      <alignment horizontal="center"/>
    </xf>
    <xf numFmtId="0" fontId="0" fillId="0" borderId="0" xfId="0" applyBorder="1" applyProtection="1">
      <protection locked="0"/>
    </xf>
    <xf numFmtId="2" fontId="0" fillId="0" borderId="0" xfId="0" applyNumberFormat="1" applyBorder="1"/>
    <xf numFmtId="8" fontId="0" fillId="0" borderId="1" xfId="0" applyNumberFormat="1" applyBorder="1"/>
    <xf numFmtId="0" fontId="0" fillId="0" borderId="1" xfId="0" applyBorder="1" applyProtection="1">
      <protection locked="0"/>
    </xf>
    <xf numFmtId="1" fontId="40" fillId="0" borderId="28" xfId="0" applyNumberFormat="1" applyFont="1" applyBorder="1" applyAlignment="1">
      <alignment horizontal="left"/>
    </xf>
    <xf numFmtId="2" fontId="32" fillId="3" borderId="1" xfId="0" applyNumberFormat="1" applyFont="1" applyFill="1" applyBorder="1" applyAlignment="1">
      <alignment horizontal="center"/>
    </xf>
    <xf numFmtId="2" fontId="0" fillId="3" borderId="1" xfId="0" applyNumberFormat="1" applyFill="1" applyBorder="1"/>
    <xf numFmtId="0" fontId="0" fillId="8" borderId="1" xfId="0" applyFill="1" applyBorder="1"/>
    <xf numFmtId="0" fontId="0" fillId="8" borderId="1" xfId="0" applyFill="1" applyBorder="1" applyAlignment="1">
      <alignment horizontal="right"/>
    </xf>
    <xf numFmtId="8" fontId="27" fillId="8" borderId="1" xfId="0" applyNumberFormat="1" applyFont="1" applyFill="1" applyBorder="1"/>
    <xf numFmtId="0" fontId="37" fillId="3" borderId="0" xfId="0" applyFont="1" applyFill="1" applyBorder="1" applyAlignment="1">
      <alignment horizontal="center" wrapText="1"/>
    </xf>
    <xf numFmtId="8" fontId="0" fillId="0" borderId="9" xfId="0" applyNumberFormat="1" applyBorder="1" applyAlignment="1"/>
    <xf numFmtId="2" fontId="0" fillId="0" borderId="22" xfId="0" applyNumberFormat="1" applyBorder="1"/>
    <xf numFmtId="0" fontId="37" fillId="0" borderId="0" xfId="0" applyFont="1" applyFill="1" applyBorder="1" applyAlignment="1">
      <alignment horizontal="center"/>
    </xf>
    <xf numFmtId="8" fontId="0" fillId="0" borderId="0" xfId="0" applyNumberFormat="1" applyFill="1" applyBorder="1" applyAlignment="1"/>
    <xf numFmtId="8" fontId="0" fillId="0" borderId="0" xfId="0" applyNumberFormat="1" applyFill="1" applyBorder="1"/>
    <xf numFmtId="0" fontId="0" fillId="0" borderId="0" xfId="0" applyFill="1" applyBorder="1" applyProtection="1">
      <protection locked="0"/>
    </xf>
    <xf numFmtId="2" fontId="0" fillId="0" borderId="0" xfId="0" applyNumberFormat="1" applyFill="1" applyBorder="1"/>
    <xf numFmtId="0" fontId="0" fillId="0" borderId="0" xfId="0" applyFill="1" applyBorder="1"/>
    <xf numFmtId="1" fontId="46" fillId="3" borderId="26" xfId="3" applyNumberFormat="1" applyFont="1" applyFill="1" applyBorder="1" applyAlignment="1" applyProtection="1">
      <alignment horizontal="center"/>
    </xf>
    <xf numFmtId="0" fontId="46" fillId="3" borderId="76" xfId="3" applyFont="1" applyFill="1" applyBorder="1" applyAlignment="1" applyProtection="1">
      <alignment horizontal="left"/>
    </xf>
    <xf numFmtId="0" fontId="46" fillId="3" borderId="0" xfId="3" applyFont="1" applyFill="1" applyBorder="1" applyAlignment="1" applyProtection="1">
      <alignment horizontal="center"/>
    </xf>
    <xf numFmtId="8" fontId="49" fillId="3" borderId="0" xfId="1" applyFont="1" applyFill="1" applyBorder="1" applyAlignment="1" applyProtection="1">
      <alignment horizontal="center"/>
    </xf>
    <xf numFmtId="1" fontId="49" fillId="5" borderId="26" xfId="1" applyNumberFormat="1" applyFont="1" applyFill="1" applyBorder="1" applyAlignment="1" applyProtection="1">
      <alignment horizontal="right"/>
    </xf>
    <xf numFmtId="1" fontId="49" fillId="3" borderId="0" xfId="1" applyNumberFormat="1" applyFont="1" applyFill="1" applyBorder="1" applyAlignment="1" applyProtection="1">
      <alignment horizontal="right"/>
    </xf>
    <xf numFmtId="8" fontId="49" fillId="5" borderId="26" xfId="1" applyFont="1" applyFill="1" applyBorder="1" applyAlignment="1" applyProtection="1">
      <alignment horizontal="right"/>
    </xf>
    <xf numFmtId="8" fontId="49" fillId="5" borderId="1" xfId="1" applyFont="1" applyFill="1" applyBorder="1" applyAlignment="1" applyProtection="1">
      <alignment horizontal="right"/>
    </xf>
    <xf numFmtId="8" fontId="49" fillId="3" borderId="0" xfId="1" applyFont="1" applyFill="1" applyBorder="1" applyAlignment="1" applyProtection="1">
      <alignment horizontal="right"/>
    </xf>
    <xf numFmtId="8" fontId="49" fillId="5" borderId="95" xfId="1" applyFont="1" applyFill="1" applyBorder="1" applyAlignment="1" applyProtection="1">
      <alignment horizontal="right"/>
    </xf>
    <xf numFmtId="8" fontId="49" fillId="3" borderId="95" xfId="1" applyFont="1" applyFill="1" applyBorder="1" applyAlignment="1" applyProtection="1">
      <alignment horizontal="center"/>
    </xf>
    <xf numFmtId="1" fontId="49" fillId="3" borderId="95" xfId="1" applyNumberFormat="1" applyFont="1" applyFill="1" applyBorder="1" applyAlignment="1" applyProtection="1">
      <alignment horizontal="right"/>
    </xf>
    <xf numFmtId="0" fontId="46" fillId="3" borderId="0" xfId="3" applyFont="1" applyFill="1" applyBorder="1" applyAlignment="1" applyProtection="1">
      <alignment horizontal="left"/>
    </xf>
    <xf numFmtId="0" fontId="43" fillId="3" borderId="0" xfId="2" applyFill="1"/>
    <xf numFmtId="1" fontId="49" fillId="5" borderId="22" xfId="1" applyNumberFormat="1" applyFont="1" applyFill="1" applyBorder="1" applyAlignment="1" applyProtection="1">
      <alignment horizontal="right"/>
    </xf>
    <xf numFmtId="0" fontId="49" fillId="3" borderId="76" xfId="3" applyFont="1" applyFill="1" applyBorder="1" applyAlignment="1" applyProtection="1">
      <alignment horizontal="left"/>
    </xf>
    <xf numFmtId="8" fontId="49" fillId="3" borderId="95" xfId="1" applyFont="1" applyFill="1" applyBorder="1" applyAlignment="1" applyProtection="1">
      <alignment horizontal="right"/>
    </xf>
    <xf numFmtId="8" fontId="49" fillId="5" borderId="0" xfId="1" applyFont="1" applyFill="1" applyBorder="1" applyAlignment="1" applyProtection="1">
      <alignment horizontal="center"/>
    </xf>
    <xf numFmtId="38" fontId="49" fillId="5" borderId="0" xfId="1" applyNumberFormat="1" applyFont="1" applyFill="1" applyBorder="1" applyAlignment="1" applyProtection="1">
      <alignment horizontal="center"/>
    </xf>
    <xf numFmtId="8" fontId="49" fillId="0" borderId="0" xfId="1" applyFont="1" applyFill="1" applyBorder="1" applyAlignment="1" applyProtection="1">
      <alignment horizontal="center"/>
    </xf>
    <xf numFmtId="8" fontId="49" fillId="0" borderId="0" xfId="1" applyFont="1" applyFill="1" applyBorder="1" applyAlignment="1" applyProtection="1">
      <alignment horizontal="right"/>
    </xf>
    <xf numFmtId="1" fontId="49" fillId="0" borderId="0" xfId="1" applyNumberFormat="1" applyFont="1" applyFill="1" applyBorder="1" applyAlignment="1" applyProtection="1">
      <alignment horizontal="right"/>
    </xf>
    <xf numFmtId="0" fontId="43" fillId="0" borderId="0" xfId="2" applyFill="1" applyBorder="1"/>
    <xf numFmtId="0" fontId="0" fillId="3" borderId="26" xfId="0" applyFill="1" applyBorder="1"/>
    <xf numFmtId="0" fontId="27" fillId="0" borderId="0" xfId="0" applyFont="1" applyFill="1" applyBorder="1"/>
    <xf numFmtId="0" fontId="0" fillId="3" borderId="21" xfId="0" applyFill="1" applyBorder="1"/>
    <xf numFmtId="0" fontId="0" fillId="0" borderId="1" xfId="0" applyBorder="1"/>
    <xf numFmtId="0" fontId="65" fillId="6" borderId="39" xfId="3" applyFont="1" applyFill="1" applyBorder="1" applyAlignment="1" applyProtection="1">
      <alignment horizontal="centerContinuous"/>
    </xf>
    <xf numFmtId="0" fontId="58" fillId="0" borderId="0" xfId="0" applyFont="1" applyAlignment="1">
      <alignment horizontal="right"/>
    </xf>
    <xf numFmtId="1" fontId="49" fillId="5" borderId="22" xfId="1" applyNumberFormat="1" applyFont="1" applyFill="1" applyBorder="1" applyAlignment="1" applyProtection="1">
      <alignment horizontal="right"/>
      <protection locked="0"/>
    </xf>
    <xf numFmtId="0" fontId="0" fillId="0" borderId="1" xfId="0" applyFill="1" applyBorder="1" applyProtection="1">
      <protection locked="0"/>
    </xf>
    <xf numFmtId="0" fontId="27" fillId="0" borderId="0" xfId="0" applyFont="1"/>
    <xf numFmtId="0" fontId="27" fillId="0" borderId="1" xfId="0" applyFont="1" applyBorder="1"/>
    <xf numFmtId="0" fontId="29" fillId="0" borderId="81" xfId="0" quotePrefix="1" applyFont="1" applyBorder="1"/>
    <xf numFmtId="0" fontId="29" fillId="0" borderId="80" xfId="0" applyFont="1" applyBorder="1"/>
    <xf numFmtId="0" fontId="29" fillId="0" borderId="12" xfId="0" applyFont="1" applyBorder="1" applyAlignment="1">
      <alignment horizontal="left"/>
    </xf>
    <xf numFmtId="0" fontId="35" fillId="0" borderId="12" xfId="0" applyFont="1" applyBorder="1"/>
    <xf numFmtId="0" fontId="29" fillId="0" borderId="97" xfId="0" applyFont="1" applyBorder="1"/>
    <xf numFmtId="6" fontId="29" fillId="10" borderId="1" xfId="0" applyNumberFormat="1" applyFont="1" applyFill="1" applyBorder="1" applyAlignment="1" applyProtection="1">
      <alignment horizontal="left"/>
    </xf>
    <xf numFmtId="6" fontId="29" fillId="0" borderId="1" xfId="0" applyNumberFormat="1" applyFont="1" applyBorder="1" applyAlignment="1" applyProtection="1">
      <alignment horizontal="left"/>
    </xf>
    <xf numFmtId="0" fontId="0" fillId="0" borderId="0" xfId="0" applyBorder="1" applyAlignment="1">
      <alignment horizontal="center"/>
    </xf>
    <xf numFmtId="0" fontId="29" fillId="0" borderId="7" xfId="0" applyFont="1" applyBorder="1" applyAlignment="1"/>
    <xf numFmtId="0" fontId="0" fillId="0" borderId="7" xfId="0" applyBorder="1"/>
    <xf numFmtId="0" fontId="0" fillId="0" borderId="93" xfId="0" applyBorder="1"/>
    <xf numFmtId="0" fontId="0" fillId="0" borderId="14" xfId="0" applyBorder="1"/>
    <xf numFmtId="164" fontId="29" fillId="5" borderId="81" xfId="0" applyNumberFormat="1" applyFont="1" applyFill="1" applyBorder="1"/>
    <xf numFmtId="6" fontId="29" fillId="5" borderId="31" xfId="1" applyNumberFormat="1" applyFont="1" applyFill="1" applyBorder="1" applyAlignment="1">
      <alignment horizontal="right"/>
    </xf>
    <xf numFmtId="0" fontId="29" fillId="0" borderId="98" xfId="0" applyFont="1" applyBorder="1" applyAlignment="1"/>
    <xf numFmtId="10" fontId="29" fillId="10" borderId="94" xfId="0" applyNumberFormat="1" applyFont="1" applyFill="1" applyBorder="1" applyProtection="1"/>
    <xf numFmtId="0" fontId="37" fillId="0" borderId="81" xfId="0" applyFont="1" applyBorder="1" applyAlignment="1">
      <alignment horizontal="left"/>
    </xf>
    <xf numFmtId="8" fontId="66" fillId="0" borderId="0" xfId="1" applyNumberFormat="1" applyFont="1" applyFill="1" applyBorder="1"/>
    <xf numFmtId="8" fontId="66" fillId="0" borderId="88" xfId="1" applyNumberFormat="1" applyFont="1" applyFill="1" applyBorder="1"/>
    <xf numFmtId="8" fontId="46" fillId="2" borderId="1" xfId="1" applyFont="1" applyFill="1" applyBorder="1" applyAlignment="1" applyProtection="1">
      <alignment horizontal="center"/>
      <protection locked="0"/>
    </xf>
    <xf numFmtId="8" fontId="46" fillId="2" borderId="23" xfId="1" applyFont="1" applyFill="1" applyBorder="1" applyAlignment="1" applyProtection="1">
      <alignment horizontal="center"/>
      <protection locked="0"/>
    </xf>
    <xf numFmtId="8" fontId="46" fillId="2" borderId="9" xfId="1" applyFont="1" applyFill="1" applyBorder="1" applyAlignment="1" applyProtection="1">
      <alignment horizontal="center"/>
      <protection locked="0"/>
    </xf>
    <xf numFmtId="164" fontId="67" fillId="0" borderId="0" xfId="0" applyNumberFormat="1" applyFont="1" applyBorder="1"/>
    <xf numFmtId="6" fontId="29" fillId="5" borderId="84" xfId="1" applyNumberFormat="1" applyFont="1" applyFill="1" applyBorder="1" applyAlignment="1">
      <alignment horizontal="right"/>
    </xf>
    <xf numFmtId="8" fontId="49" fillId="3" borderId="0" xfId="1" applyFont="1" applyFill="1" applyBorder="1" applyAlignment="1" applyProtection="1">
      <alignment horizontal="center"/>
      <protection locked="0"/>
    </xf>
    <xf numFmtId="1" fontId="49" fillId="5" borderId="39" xfId="1" applyNumberFormat="1" applyFont="1" applyFill="1" applyBorder="1" applyAlignment="1" applyProtection="1">
      <alignment horizontal="right"/>
      <protection locked="0"/>
    </xf>
    <xf numFmtId="2" fontId="46" fillId="5" borderId="34" xfId="1" applyNumberFormat="1" applyFont="1" applyFill="1" applyBorder="1" applyAlignment="1" applyProtection="1">
      <alignment horizontal="center"/>
    </xf>
    <xf numFmtId="40" fontId="49" fillId="5" borderId="1" xfId="1" applyNumberFormat="1" applyFont="1" applyFill="1" applyBorder="1" applyAlignment="1" applyProtection="1">
      <alignment horizontal="center"/>
    </xf>
    <xf numFmtId="0" fontId="69" fillId="0" borderId="92" xfId="0" applyFont="1" applyBorder="1" applyAlignment="1">
      <alignment horizontal="left"/>
    </xf>
    <xf numFmtId="0" fontId="69" fillId="0" borderId="89" xfId="0" applyFont="1" applyBorder="1" applyAlignment="1">
      <alignment horizontal="left"/>
    </xf>
    <xf numFmtId="0" fontId="69" fillId="0" borderId="92" xfId="0" applyFont="1" applyBorder="1"/>
    <xf numFmtId="0" fontId="70" fillId="0" borderId="92" xfId="0" applyFont="1" applyBorder="1" applyAlignment="1" applyProtection="1">
      <alignment horizontal="left"/>
      <protection locked="0"/>
    </xf>
    <xf numFmtId="0" fontId="70" fillId="0" borderId="89" xfId="0" applyFont="1" applyBorder="1" applyProtection="1">
      <protection locked="0"/>
    </xf>
    <xf numFmtId="0" fontId="70" fillId="0" borderId="92" xfId="0" applyFont="1" applyBorder="1" applyProtection="1">
      <protection locked="0"/>
    </xf>
    <xf numFmtId="0" fontId="71" fillId="0" borderId="28" xfId="0" applyFont="1" applyBorder="1" applyProtection="1">
      <protection locked="0"/>
    </xf>
    <xf numFmtId="0" fontId="71" fillId="0" borderId="24" xfId="0" applyFont="1" applyBorder="1" applyProtection="1">
      <protection locked="0"/>
    </xf>
    <xf numFmtId="3" fontId="71" fillId="0" borderId="28" xfId="0" applyNumberFormat="1" applyFont="1" applyBorder="1" applyProtection="1">
      <protection locked="0"/>
    </xf>
    <xf numFmtId="8" fontId="0" fillId="0" borderId="1" xfId="1" applyFont="1" applyBorder="1" applyProtection="1"/>
    <xf numFmtId="0" fontId="34" fillId="0" borderId="92" xfId="0" applyFont="1" applyBorder="1" applyProtection="1">
      <protection locked="0"/>
    </xf>
    <xf numFmtId="0" fontId="0" fillId="9" borderId="75" xfId="0" applyFill="1" applyBorder="1"/>
    <xf numFmtId="0" fontId="0" fillId="9" borderId="88" xfId="0" applyFill="1" applyBorder="1"/>
    <xf numFmtId="0" fontId="0" fillId="9" borderId="82" xfId="0" applyFill="1" applyBorder="1"/>
    <xf numFmtId="0" fontId="0" fillId="9" borderId="76" xfId="0" applyFill="1" applyBorder="1"/>
    <xf numFmtId="0" fontId="0" fillId="9" borderId="0" xfId="0" applyFill="1" applyBorder="1"/>
    <xf numFmtId="0" fontId="0" fillId="9" borderId="0" xfId="0" applyFill="1" applyBorder="1" applyAlignment="1">
      <alignment horizontal="right"/>
    </xf>
    <xf numFmtId="0" fontId="0" fillId="9" borderId="77" xfId="0" applyFill="1" applyBorder="1"/>
    <xf numFmtId="0" fontId="0" fillId="9" borderId="78" xfId="0" applyFill="1" applyBorder="1"/>
    <xf numFmtId="0" fontId="0" fillId="9" borderId="95" xfId="0" applyFill="1" applyBorder="1"/>
    <xf numFmtId="0" fontId="0" fillId="9" borderId="79" xfId="0" applyFill="1" applyBorder="1"/>
    <xf numFmtId="172" fontId="71" fillId="0" borderId="28" xfId="0" applyNumberFormat="1" applyFont="1" applyBorder="1" applyProtection="1">
      <protection locked="0"/>
    </xf>
    <xf numFmtId="8" fontId="27" fillId="0" borderId="0" xfId="0" applyNumberFormat="1" applyFont="1" applyFill="1" applyBorder="1"/>
    <xf numFmtId="0" fontId="0" fillId="0" borderId="0" xfId="0" applyFill="1"/>
    <xf numFmtId="0" fontId="0" fillId="0" borderId="31" xfId="0" applyBorder="1" applyAlignment="1" applyProtection="1">
      <alignment horizontal="center"/>
      <protection locked="0"/>
    </xf>
    <xf numFmtId="0" fontId="0" fillId="0" borderId="24" xfId="0" applyBorder="1" applyAlignment="1" applyProtection="1">
      <alignment horizontal="center"/>
      <protection locked="0"/>
    </xf>
    <xf numFmtId="172" fontId="71" fillId="0" borderId="28" xfId="0" applyNumberFormat="1" applyFont="1" applyBorder="1"/>
    <xf numFmtId="0" fontId="32" fillId="9" borderId="0" xfId="0" applyFont="1" applyFill="1" applyAlignment="1">
      <alignment horizontal="left"/>
    </xf>
    <xf numFmtId="0" fontId="0" fillId="9" borderId="0" xfId="0" applyFill="1"/>
    <xf numFmtId="0" fontId="32" fillId="9" borderId="9" xfId="0" applyFont="1" applyFill="1" applyBorder="1" applyAlignment="1">
      <alignment horizontal="center"/>
    </xf>
    <xf numFmtId="0" fontId="0" fillId="8" borderId="0" xfId="0" applyFill="1"/>
    <xf numFmtId="0" fontId="0" fillId="0" borderId="15" xfId="0" applyBorder="1"/>
    <xf numFmtId="0" fontId="0" fillId="9" borderId="0" xfId="0" applyFill="1" applyBorder="1" applyProtection="1">
      <protection locked="0"/>
    </xf>
    <xf numFmtId="0" fontId="29" fillId="11" borderId="75" xfId="0" applyFont="1" applyFill="1" applyBorder="1" applyProtection="1">
      <protection locked="0"/>
    </xf>
    <xf numFmtId="0" fontId="29" fillId="11" borderId="82" xfId="0" applyFont="1" applyFill="1" applyBorder="1" applyProtection="1">
      <protection locked="0"/>
    </xf>
    <xf numFmtId="0" fontId="35" fillId="11" borderId="76" xfId="0" applyFont="1" applyFill="1" applyBorder="1" applyAlignment="1" applyProtection="1">
      <alignment horizontal="right"/>
      <protection locked="0"/>
    </xf>
    <xf numFmtId="0" fontId="29" fillId="11" borderId="77" xfId="0" applyFont="1" applyFill="1" applyBorder="1" applyProtection="1">
      <protection locked="0"/>
    </xf>
    <xf numFmtId="0" fontId="29" fillId="11" borderId="78" xfId="0" applyFont="1" applyFill="1" applyBorder="1" applyProtection="1">
      <protection locked="0"/>
    </xf>
    <xf numFmtId="0" fontId="29" fillId="11" borderId="79" xfId="0" applyFont="1" applyFill="1" applyBorder="1" applyProtection="1">
      <protection locked="0"/>
    </xf>
    <xf numFmtId="0" fontId="29" fillId="0" borderId="100" xfId="0" applyFont="1" applyBorder="1" applyProtection="1">
      <protection locked="0"/>
    </xf>
    <xf numFmtId="164" fontId="29" fillId="5" borderId="84" xfId="0" applyNumberFormat="1" applyFont="1" applyFill="1" applyBorder="1" applyAlignment="1">
      <alignment horizontal="right"/>
    </xf>
    <xf numFmtId="164" fontId="29" fillId="5" borderId="99" xfId="0" applyNumberFormat="1" applyFont="1" applyFill="1" applyBorder="1" applyAlignment="1">
      <alignment horizontal="right"/>
    </xf>
    <xf numFmtId="164" fontId="29" fillId="5" borderId="11" xfId="0" applyNumberFormat="1" applyFont="1" applyFill="1" applyBorder="1"/>
    <xf numFmtId="172" fontId="29" fillId="3" borderId="83" xfId="0" quotePrefix="1" applyNumberFormat="1" applyFont="1" applyFill="1" applyBorder="1" applyAlignment="1">
      <alignment horizontal="center"/>
    </xf>
    <xf numFmtId="164" fontId="29" fillId="2" borderId="1" xfId="0" applyNumberFormat="1" applyFont="1" applyFill="1" applyBorder="1"/>
    <xf numFmtId="2" fontId="49" fillId="3" borderId="47" xfId="1" applyNumberFormat="1" applyFont="1" applyFill="1" applyBorder="1" applyAlignment="1" applyProtection="1">
      <alignment horizontal="center"/>
    </xf>
    <xf numFmtId="0" fontId="35" fillId="0" borderId="0" xfId="0" applyFont="1" applyFill="1" applyBorder="1"/>
    <xf numFmtId="0" fontId="29" fillId="0" borderId="0" xfId="0" applyFont="1" applyFill="1" applyBorder="1" applyAlignment="1">
      <alignment horizontal="center"/>
    </xf>
    <xf numFmtId="0" fontId="46" fillId="3" borderId="101" xfId="3" applyFont="1" applyFill="1" applyBorder="1" applyAlignment="1" applyProtection="1">
      <alignment horizontal="center"/>
    </xf>
    <xf numFmtId="1" fontId="46" fillId="3" borderId="1" xfId="3" applyNumberFormat="1" applyFont="1" applyFill="1" applyBorder="1" applyAlignment="1" applyProtection="1">
      <alignment horizontal="center"/>
    </xf>
    <xf numFmtId="8" fontId="49" fillId="3" borderId="1" xfId="3" applyNumberFormat="1" applyFont="1" applyFill="1" applyBorder="1" applyAlignment="1" applyProtection="1">
      <alignment horizontal="center"/>
    </xf>
    <xf numFmtId="0" fontId="49" fillId="3" borderId="25" xfId="3" applyFont="1" applyFill="1" applyBorder="1" applyAlignment="1" applyProtection="1">
      <alignment horizontal="center"/>
    </xf>
    <xf numFmtId="2" fontId="46" fillId="3" borderId="47" xfId="3" applyNumberFormat="1" applyFont="1" applyFill="1" applyBorder="1" applyAlignment="1" applyProtection="1">
      <alignment horizontal="center"/>
    </xf>
    <xf numFmtId="170" fontId="46" fillId="3" borderId="102" xfId="3" applyNumberFormat="1" applyFont="1" applyFill="1" applyBorder="1" applyAlignment="1" applyProtection="1">
      <alignment horizontal="center"/>
    </xf>
    <xf numFmtId="173" fontId="29" fillId="3" borderId="83" xfId="0" quotePrefix="1" applyNumberFormat="1" applyFont="1" applyFill="1" applyBorder="1" applyAlignment="1">
      <alignment horizontal="center"/>
    </xf>
    <xf numFmtId="6" fontId="29" fillId="5" borderId="81" xfId="1" applyNumberFormat="1" applyFont="1" applyFill="1" applyBorder="1" applyProtection="1"/>
    <xf numFmtId="170" fontId="29" fillId="5" borderId="1" xfId="0" applyNumberFormat="1" applyFont="1" applyFill="1" applyBorder="1" applyProtection="1"/>
    <xf numFmtId="164" fontId="29" fillId="5" borderId="1" xfId="0" applyNumberFormat="1" applyFont="1" applyFill="1" applyBorder="1" applyProtection="1"/>
    <xf numFmtId="164" fontId="29" fillId="2" borderId="1" xfId="0" applyNumberFormat="1" applyFont="1" applyFill="1" applyBorder="1" applyProtection="1"/>
    <xf numFmtId="1" fontId="0" fillId="0" borderId="0" xfId="0" applyNumberFormat="1"/>
    <xf numFmtId="1" fontId="29" fillId="2" borderId="1" xfId="0" applyNumberFormat="1" applyFont="1" applyFill="1" applyBorder="1"/>
    <xf numFmtId="1" fontId="29" fillId="0" borderId="2" xfId="0" applyNumberFormat="1" applyFont="1" applyBorder="1"/>
    <xf numFmtId="1" fontId="29" fillId="0" borderId="4" xfId="0" applyNumberFormat="1" applyFont="1" applyBorder="1"/>
    <xf numFmtId="1" fontId="29" fillId="2" borderId="1" xfId="0" applyNumberFormat="1" applyFont="1" applyFill="1" applyBorder="1" applyAlignment="1" applyProtection="1">
      <alignment horizontal="center"/>
      <protection locked="0"/>
    </xf>
    <xf numFmtId="1" fontId="29" fillId="0" borderId="24" xfId="0" applyNumberFormat="1" applyFont="1" applyBorder="1" applyAlignment="1">
      <alignment horizontal="left"/>
    </xf>
    <xf numFmtId="1" fontId="29" fillId="0" borderId="97" xfId="0" applyNumberFormat="1" applyFont="1" applyBorder="1"/>
    <xf numFmtId="0" fontId="0" fillId="0" borderId="1" xfId="0" applyBorder="1" applyProtection="1"/>
    <xf numFmtId="8" fontId="0" fillId="0" borderId="1" xfId="0" applyNumberFormat="1" applyBorder="1" applyAlignment="1"/>
    <xf numFmtId="0" fontId="29" fillId="0" borderId="87" xfId="0" applyFont="1" applyBorder="1"/>
    <xf numFmtId="0" fontId="29" fillId="0" borderId="21" xfId="0" applyFont="1" applyBorder="1"/>
    <xf numFmtId="0" fontId="29" fillId="0" borderId="108" xfId="0" applyFont="1" applyBorder="1"/>
    <xf numFmtId="0" fontId="31" fillId="0" borderId="109" xfId="0" applyFont="1" applyBorder="1" applyAlignment="1">
      <alignment horizontal="left"/>
    </xf>
    <xf numFmtId="164" fontId="29" fillId="5" borderId="3" xfId="0" applyNumberFormat="1" applyFont="1" applyFill="1" applyBorder="1" applyAlignment="1">
      <alignment horizontal="right"/>
    </xf>
    <xf numFmtId="0" fontId="29" fillId="0" borderId="110" xfId="0" applyFont="1" applyBorder="1"/>
    <xf numFmtId="164" fontId="29" fillId="5" borderId="108" xfId="0" applyNumberFormat="1" applyFont="1" applyFill="1" applyBorder="1"/>
    <xf numFmtId="0" fontId="29" fillId="0" borderId="94" xfId="0" applyFont="1" applyBorder="1"/>
    <xf numFmtId="0" fontId="29" fillId="0" borderId="94" xfId="0" applyFont="1" applyBorder="1" applyAlignment="1">
      <alignment horizontal="center"/>
    </xf>
    <xf numFmtId="0" fontId="46" fillId="3" borderId="1" xfId="1" applyNumberFormat="1" applyFont="1" applyFill="1" applyBorder="1" applyAlignment="1" applyProtection="1">
      <alignment horizontal="center"/>
    </xf>
    <xf numFmtId="6" fontId="29" fillId="5" borderId="2" xfId="0" applyNumberFormat="1" applyFont="1" applyFill="1" applyBorder="1"/>
    <xf numFmtId="0" fontId="29" fillId="0" borderId="1" xfId="0" applyFont="1" applyBorder="1" applyProtection="1"/>
    <xf numFmtId="164" fontId="29" fillId="0" borderId="1" xfId="0" applyNumberFormat="1" applyFont="1" applyBorder="1" applyAlignment="1" applyProtection="1">
      <alignment horizontal="right"/>
    </xf>
    <xf numFmtId="0" fontId="29" fillId="0" borderId="1" xfId="0" applyNumberFormat="1" applyFont="1" applyBorder="1" applyAlignment="1">
      <alignment horizontal="right"/>
    </xf>
    <xf numFmtId="6" fontId="29" fillId="3" borderId="81" xfId="0" applyNumberFormat="1" applyFont="1" applyFill="1" applyBorder="1" applyAlignment="1">
      <alignment horizontal="right"/>
    </xf>
    <xf numFmtId="6" fontId="29" fillId="3" borderId="1" xfId="0" applyNumberFormat="1" applyFont="1" applyFill="1" applyBorder="1" applyAlignment="1">
      <alignment horizontal="right"/>
    </xf>
    <xf numFmtId="6" fontId="29" fillId="3" borderId="25" xfId="0" applyNumberFormat="1" applyFont="1" applyFill="1" applyBorder="1" applyAlignment="1">
      <alignment horizontal="right"/>
    </xf>
    <xf numFmtId="2" fontId="29" fillId="2" borderId="84" xfId="1" applyNumberFormat="1" applyFont="1" applyFill="1" applyBorder="1" applyAlignment="1">
      <alignment horizontal="right"/>
    </xf>
    <xf numFmtId="2" fontId="29" fillId="5" borderId="84" xfId="1" applyNumberFormat="1" applyFont="1" applyFill="1" applyBorder="1" applyAlignment="1" applyProtection="1">
      <alignment horizontal="right"/>
      <protection locked="0"/>
    </xf>
    <xf numFmtId="6" fontId="0" fillId="9" borderId="0" xfId="0" applyNumberFormat="1" applyFill="1" applyBorder="1" applyProtection="1">
      <protection locked="0"/>
    </xf>
    <xf numFmtId="0" fontId="29" fillId="0" borderId="31" xfId="0" quotePrefix="1" applyFont="1" applyBorder="1"/>
    <xf numFmtId="0" fontId="29" fillId="0" borderId="105" xfId="0" quotePrefix="1" applyFont="1" applyBorder="1"/>
    <xf numFmtId="0" fontId="29" fillId="0" borderId="32" xfId="0" quotePrefix="1" applyFont="1" applyBorder="1"/>
    <xf numFmtId="0" fontId="31" fillId="0" borderId="111" xfId="0" applyFont="1" applyBorder="1"/>
    <xf numFmtId="2" fontId="29" fillId="3" borderId="81" xfId="0" applyNumberFormat="1" applyFont="1" applyFill="1" applyBorder="1" applyAlignment="1">
      <alignment horizontal="right"/>
    </xf>
    <xf numFmtId="0" fontId="26" fillId="0" borderId="0" xfId="5"/>
    <xf numFmtId="0" fontId="26" fillId="0" borderId="0" xfId="5" applyAlignment="1">
      <alignment horizontal="center"/>
    </xf>
    <xf numFmtId="0" fontId="73" fillId="0" borderId="0" xfId="5" applyFont="1"/>
    <xf numFmtId="174" fontId="26" fillId="0" borderId="0" xfId="6" applyNumberFormat="1" applyFont="1"/>
    <xf numFmtId="0" fontId="73" fillId="0" borderId="8" xfId="5" applyFont="1" applyBorder="1"/>
    <xf numFmtId="174" fontId="26" fillId="0" borderId="5" xfId="6" applyNumberFormat="1" applyFont="1" applyBorder="1"/>
    <xf numFmtId="174" fontId="26" fillId="0" borderId="16" xfId="6" applyNumberFormat="1" applyFont="1" applyBorder="1"/>
    <xf numFmtId="0" fontId="73" fillId="0" borderId="7" xfId="5" applyFont="1" applyBorder="1"/>
    <xf numFmtId="174" fontId="26" fillId="0" borderId="0" xfId="6" applyNumberFormat="1" applyFont="1" applyBorder="1"/>
    <xf numFmtId="174" fontId="26" fillId="0" borderId="15" xfId="6" applyNumberFormat="1" applyFont="1" applyBorder="1"/>
    <xf numFmtId="174" fontId="72" fillId="0" borderId="0" xfId="6" applyNumberFormat="1" applyFont="1" applyBorder="1" applyAlignment="1">
      <alignment horizontal="right"/>
    </xf>
    <xf numFmtId="174" fontId="72" fillId="0" borderId="15" xfId="6" applyNumberFormat="1" applyFont="1" applyBorder="1"/>
    <xf numFmtId="175" fontId="72" fillId="0" borderId="87" xfId="7" applyNumberFormat="1" applyFont="1" applyBorder="1" applyAlignment="1">
      <alignment horizontal="center"/>
    </xf>
    <xf numFmtId="0" fontId="72" fillId="0" borderId="0" xfId="5" applyFont="1" applyAlignment="1">
      <alignment wrapText="1"/>
    </xf>
    <xf numFmtId="0" fontId="72" fillId="0" borderId="0" xfId="5" applyFont="1" applyAlignment="1">
      <alignment horizontal="center"/>
    </xf>
    <xf numFmtId="0" fontId="72" fillId="0" borderId="0" xfId="5" applyFont="1"/>
    <xf numFmtId="0" fontId="72" fillId="0" borderId="83" xfId="5" applyFont="1" applyBorder="1" applyAlignment="1">
      <alignment horizontal="center"/>
    </xf>
    <xf numFmtId="174" fontId="72" fillId="0" borderId="1" xfId="6" applyNumberFormat="1" applyFont="1" applyBorder="1" applyAlignment="1">
      <alignment horizontal="center"/>
    </xf>
    <xf numFmtId="0" fontId="72" fillId="0" borderId="1" xfId="5" applyFont="1" applyBorder="1" applyAlignment="1">
      <alignment horizontal="center"/>
    </xf>
    <xf numFmtId="164" fontId="72" fillId="0" borderId="1" xfId="5" applyNumberFormat="1" applyFont="1" applyBorder="1" applyAlignment="1">
      <alignment horizontal="center"/>
    </xf>
    <xf numFmtId="164" fontId="72" fillId="0" borderId="1" xfId="5" applyNumberFormat="1" applyFont="1" applyBorder="1" applyAlignment="1">
      <alignment horizontal="center" wrapText="1"/>
    </xf>
    <xf numFmtId="0" fontId="72" fillId="0" borderId="84" xfId="5" applyFont="1" applyBorder="1" applyAlignment="1">
      <alignment horizontal="center" wrapText="1"/>
    </xf>
    <xf numFmtId="1" fontId="26" fillId="0" borderId="83" xfId="5" applyNumberFormat="1" applyBorder="1" applyAlignment="1">
      <alignment horizontal="center"/>
    </xf>
    <xf numFmtId="174" fontId="26" fillId="0" borderId="1" xfId="6" applyNumberFormat="1" applyFont="1" applyBorder="1"/>
    <xf numFmtId="174" fontId="26" fillId="0" borderId="84" xfId="6" applyNumberFormat="1" applyFont="1" applyBorder="1"/>
    <xf numFmtId="0" fontId="26" fillId="0" borderId="83" xfId="5" applyBorder="1" applyAlignment="1">
      <alignment horizontal="center"/>
    </xf>
    <xf numFmtId="4" fontId="26" fillId="0" borderId="0" xfId="5" applyNumberFormat="1"/>
    <xf numFmtId="3" fontId="26" fillId="0" borderId="83" xfId="5" applyNumberFormat="1" applyBorder="1" applyAlignment="1">
      <alignment horizontal="center"/>
    </xf>
    <xf numFmtId="3" fontId="26" fillId="0" borderId="116" xfId="5" applyNumberFormat="1" applyBorder="1" applyAlignment="1">
      <alignment horizontal="center"/>
    </xf>
    <xf numFmtId="174" fontId="26" fillId="0" borderId="21" xfId="6" applyNumberFormat="1" applyFont="1" applyBorder="1"/>
    <xf numFmtId="174" fontId="26" fillId="0" borderId="94" xfId="6" applyNumberFormat="1" applyFont="1" applyBorder="1"/>
    <xf numFmtId="174" fontId="74" fillId="0" borderId="94" xfId="6" applyNumberFormat="1" applyFont="1" applyBorder="1"/>
    <xf numFmtId="174" fontId="74" fillId="0" borderId="99" xfId="6" applyNumberFormat="1" applyFont="1" applyBorder="1"/>
    <xf numFmtId="174" fontId="74" fillId="0" borderId="0" xfId="6" applyNumberFormat="1" applyFont="1"/>
    <xf numFmtId="49" fontId="72" fillId="0" borderId="0" xfId="5" applyNumberFormat="1" applyFont="1" applyAlignment="1">
      <alignment horizontal="center"/>
    </xf>
    <xf numFmtId="49" fontId="26" fillId="0" borderId="0" xfId="5" applyNumberFormat="1" applyFont="1" applyAlignment="1">
      <alignment horizontal="center"/>
    </xf>
    <xf numFmtId="0" fontId="26" fillId="0" borderId="0" xfId="5" applyFont="1"/>
    <xf numFmtId="0" fontId="25" fillId="0" borderId="0" xfId="5" applyFont="1" applyAlignment="1">
      <alignment horizontal="center"/>
    </xf>
    <xf numFmtId="0" fontId="25" fillId="0" borderId="0" xfId="5" applyFont="1"/>
    <xf numFmtId="0" fontId="24" fillId="0" borderId="0" xfId="5" applyFont="1"/>
    <xf numFmtId="0" fontId="24" fillId="0" borderId="0" xfId="5" applyFont="1" applyAlignment="1">
      <alignment horizontal="center"/>
    </xf>
    <xf numFmtId="4" fontId="26" fillId="0" borderId="1" xfId="6" applyNumberFormat="1" applyFont="1" applyBorder="1"/>
    <xf numFmtId="4" fontId="26" fillId="0" borderId="21" xfId="6" applyNumberFormat="1" applyFont="1" applyBorder="1"/>
    <xf numFmtId="4" fontId="26" fillId="0" borderId="94" xfId="6" applyNumberFormat="1" applyFont="1" applyBorder="1"/>
    <xf numFmtId="1" fontId="26" fillId="0" borderId="117" xfId="5" applyNumberFormat="1" applyBorder="1"/>
    <xf numFmtId="0" fontId="64" fillId="2" borderId="86" xfId="3" applyFont="1" applyFill="1" applyBorder="1" applyAlignment="1" applyProtection="1">
      <protection locked="0"/>
    </xf>
    <xf numFmtId="0" fontId="23" fillId="0" borderId="0" xfId="8"/>
    <xf numFmtId="0" fontId="23" fillId="0" borderId="0" xfId="8" applyAlignment="1">
      <alignment textRotation="75"/>
    </xf>
    <xf numFmtId="0" fontId="21" fillId="0" borderId="0" xfId="8" applyFont="1"/>
    <xf numFmtId="6" fontId="23" fillId="0" borderId="0" xfId="8" applyNumberFormat="1"/>
    <xf numFmtId="164" fontId="0" fillId="0" borderId="0" xfId="0" applyNumberFormat="1"/>
    <xf numFmtId="0" fontId="17" fillId="0" borderId="0" xfId="8" applyFont="1"/>
    <xf numFmtId="8" fontId="23" fillId="0" borderId="0" xfId="8" applyNumberFormat="1"/>
    <xf numFmtId="1" fontId="23" fillId="0" borderId="0" xfId="8" applyNumberFormat="1"/>
    <xf numFmtId="38" fontId="23" fillId="0" borderId="0" xfId="8" applyNumberFormat="1"/>
    <xf numFmtId="174" fontId="23" fillId="0" borderId="0" xfId="8" applyNumberFormat="1"/>
    <xf numFmtId="164" fontId="23" fillId="0" borderId="0" xfId="8" applyNumberFormat="1"/>
    <xf numFmtId="37" fontId="23" fillId="0" borderId="0" xfId="8" applyNumberFormat="1"/>
    <xf numFmtId="0" fontId="23" fillId="0" borderId="66" xfId="8" applyBorder="1"/>
    <xf numFmtId="0" fontId="23" fillId="0" borderId="107" xfId="8" applyBorder="1"/>
    <xf numFmtId="37" fontId="21" fillId="0" borderId="0" xfId="8" applyNumberFormat="1" applyFont="1" applyBorder="1" applyAlignment="1">
      <alignment horizontal="center"/>
    </xf>
    <xf numFmtId="0" fontId="23" fillId="0" borderId="0" xfId="8" applyBorder="1"/>
    <xf numFmtId="0" fontId="23" fillId="0" borderId="120" xfId="8" applyBorder="1"/>
    <xf numFmtId="38" fontId="21" fillId="0" borderId="24" xfId="8" applyNumberFormat="1" applyFont="1" applyFill="1" applyBorder="1" applyAlignment="1">
      <alignment horizontal="center"/>
    </xf>
    <xf numFmtId="0" fontId="18" fillId="0" borderId="120" xfId="8" quotePrefix="1" applyFont="1" applyBorder="1" applyAlignment="1">
      <alignment horizontal="center" textRotation="90" wrapText="1"/>
    </xf>
    <xf numFmtId="44" fontId="23" fillId="0" borderId="0" xfId="8" applyNumberFormat="1"/>
    <xf numFmtId="174" fontId="21" fillId="0" borderId="0" xfId="8" applyNumberFormat="1" applyFont="1" applyBorder="1"/>
    <xf numFmtId="0" fontId="21" fillId="0" borderId="0" xfId="10" applyNumberFormat="1" applyFont="1" applyBorder="1" applyAlignment="1">
      <alignment horizontal="center" vertical="center"/>
    </xf>
    <xf numFmtId="0" fontId="21" fillId="0" borderId="0" xfId="8" applyNumberFormat="1" applyFont="1" applyBorder="1" applyAlignment="1">
      <alignment horizontal="center"/>
    </xf>
    <xf numFmtId="164" fontId="21" fillId="0" borderId="0" xfId="8" applyNumberFormat="1" applyFont="1" applyBorder="1" applyAlignment="1">
      <alignment horizontal="center"/>
    </xf>
    <xf numFmtId="0" fontId="21" fillId="0" borderId="0" xfId="8" applyNumberFormat="1" applyFont="1" applyBorder="1"/>
    <xf numFmtId="8" fontId="23" fillId="0" borderId="0" xfId="8" applyNumberFormat="1" applyBorder="1" applyAlignment="1">
      <alignment horizontal="center"/>
    </xf>
    <xf numFmtId="0" fontId="17" fillId="0" borderId="0" xfId="8" quotePrefix="1" applyFont="1" applyFill="1" applyBorder="1" applyAlignment="1">
      <alignment horizontal="center" textRotation="90" wrapText="1"/>
    </xf>
    <xf numFmtId="164" fontId="23" fillId="0" borderId="0" xfId="8" applyNumberFormat="1" applyBorder="1"/>
    <xf numFmtId="0" fontId="29" fillId="3" borderId="25" xfId="0" applyFont="1" applyFill="1" applyBorder="1" applyAlignment="1">
      <alignment horizontal="center" vertical="center"/>
    </xf>
    <xf numFmtId="6" fontId="29" fillId="0" borderId="84" xfId="1" applyNumberFormat="1" applyFont="1" applyBorder="1"/>
    <xf numFmtId="1" fontId="50" fillId="0" borderId="19" xfId="0" applyNumberFormat="1" applyFont="1" applyBorder="1" applyAlignment="1" applyProtection="1">
      <protection locked="0"/>
    </xf>
    <xf numFmtId="1" fontId="0" fillId="12" borderId="1" xfId="0" applyNumberFormat="1" applyFill="1" applyBorder="1"/>
    <xf numFmtId="164" fontId="0" fillId="0" borderId="1" xfId="0" applyNumberFormat="1" applyFill="1" applyBorder="1" applyProtection="1">
      <protection locked="0"/>
    </xf>
    <xf numFmtId="14" fontId="58" fillId="0" borderId="0" xfId="0" applyNumberFormat="1" applyFont="1" applyAlignment="1">
      <alignment horizontal="right"/>
    </xf>
    <xf numFmtId="3" fontId="0" fillId="0" borderId="1" xfId="0" applyNumberFormat="1" applyBorder="1" applyProtection="1">
      <protection locked="0"/>
    </xf>
    <xf numFmtId="3" fontId="0" fillId="0" borderId="0" xfId="0" applyNumberFormat="1"/>
    <xf numFmtId="3" fontId="0" fillId="12" borderId="1" xfId="0" applyNumberFormat="1" applyFill="1" applyBorder="1"/>
    <xf numFmtId="4" fontId="0" fillId="12" borderId="1" xfId="0" applyNumberFormat="1" applyFill="1" applyBorder="1"/>
    <xf numFmtId="0" fontId="78" fillId="0" borderId="0" xfId="0" applyFont="1" applyFill="1" applyBorder="1"/>
    <xf numFmtId="164" fontId="0" fillId="12" borderId="1" xfId="0" applyNumberFormat="1" applyFill="1" applyBorder="1"/>
    <xf numFmtId="0" fontId="21" fillId="0" borderId="119" xfId="8" applyFont="1" applyFill="1" applyBorder="1" applyAlignment="1">
      <alignment horizontal="center"/>
    </xf>
    <xf numFmtId="0" fontId="21" fillId="0" borderId="121" xfId="8" applyFont="1" applyFill="1" applyBorder="1" applyAlignment="1">
      <alignment horizontal="center"/>
    </xf>
    <xf numFmtId="174" fontId="76" fillId="0" borderId="1" xfId="9" applyNumberFormat="1" applyFont="1" applyFill="1" applyBorder="1" applyAlignment="1">
      <alignment horizontal="center"/>
    </xf>
    <xf numFmtId="44" fontId="23" fillId="0" borderId="0" xfId="8" applyNumberFormat="1" applyFill="1"/>
    <xf numFmtId="0" fontId="23" fillId="0" borderId="0" xfId="8" applyFill="1"/>
    <xf numFmtId="0" fontId="23" fillId="0" borderId="19" xfId="8" applyBorder="1" applyAlignment="1">
      <alignment horizontal="center"/>
    </xf>
    <xf numFmtId="0" fontId="22" fillId="0" borderId="19" xfId="8" applyFont="1" applyBorder="1" applyAlignment="1">
      <alignment horizontal="center"/>
    </xf>
    <xf numFmtId="0" fontId="17" fillId="0" borderId="122" xfId="8" applyFont="1" applyBorder="1" applyAlignment="1">
      <alignment horizontal="center" wrapText="1"/>
    </xf>
    <xf numFmtId="0" fontId="23" fillId="0" borderId="123" xfId="8" applyBorder="1" applyAlignment="1">
      <alignment horizontal="center" wrapText="1"/>
    </xf>
    <xf numFmtId="0" fontId="17" fillId="0" borderId="19" xfId="8" applyFont="1" applyBorder="1" applyAlignment="1">
      <alignment horizontal="center" wrapText="1"/>
    </xf>
    <xf numFmtId="0" fontId="17" fillId="0" borderId="124" xfId="8" applyFont="1" applyBorder="1" applyAlignment="1">
      <alignment horizontal="center" wrapText="1"/>
    </xf>
    <xf numFmtId="0" fontId="20" fillId="0" borderId="122" xfId="8" applyFont="1" applyBorder="1" applyAlignment="1">
      <alignment horizontal="center" wrapText="1"/>
    </xf>
    <xf numFmtId="0" fontId="22" fillId="0" borderId="19" xfId="8" applyFont="1" applyBorder="1" applyAlignment="1">
      <alignment horizontal="center" wrapText="1"/>
    </xf>
    <xf numFmtId="0" fontId="17" fillId="0" borderId="123" xfId="8" applyFont="1" applyBorder="1" applyAlignment="1">
      <alignment horizontal="center" wrapText="1"/>
    </xf>
    <xf numFmtId="0" fontId="23" fillId="0" borderId="19" xfId="8" applyBorder="1" applyAlignment="1">
      <alignment horizontal="center" wrapText="1"/>
    </xf>
    <xf numFmtId="0" fontId="16" fillId="0" borderId="19" xfId="8" applyFont="1" applyBorder="1" applyAlignment="1">
      <alignment horizontal="center" wrapText="1"/>
    </xf>
    <xf numFmtId="0" fontId="21" fillId="0" borderId="126" xfId="8" applyFont="1" applyFill="1" applyBorder="1" applyAlignment="1">
      <alignment horizontal="center"/>
    </xf>
    <xf numFmtId="0" fontId="21" fillId="0" borderId="127" xfId="8" applyFont="1" applyFill="1" applyBorder="1" applyAlignment="1">
      <alignment horizontal="center"/>
    </xf>
    <xf numFmtId="174" fontId="76" fillId="0" borderId="94" xfId="9" applyNumberFormat="1" applyFont="1" applyFill="1" applyBorder="1" applyAlignment="1">
      <alignment horizontal="center"/>
    </xf>
    <xf numFmtId="38" fontId="21" fillId="0" borderId="128" xfId="8" applyNumberFormat="1" applyFont="1" applyFill="1" applyBorder="1" applyAlignment="1">
      <alignment horizontal="center"/>
    </xf>
    <xf numFmtId="0" fontId="41" fillId="0" borderId="0" xfId="4" applyFont="1"/>
    <xf numFmtId="0" fontId="41" fillId="0" borderId="0" xfId="4" applyFont="1" applyBorder="1"/>
    <xf numFmtId="0" fontId="37" fillId="3" borderId="0" xfId="4" applyFont="1" applyFill="1"/>
    <xf numFmtId="0" fontId="41" fillId="0" borderId="0" xfId="4" applyFont="1" applyProtection="1">
      <protection locked="0"/>
    </xf>
    <xf numFmtId="0" fontId="41" fillId="0" borderId="0" xfId="4" quotePrefix="1" applyFont="1" applyProtection="1">
      <protection locked="0"/>
    </xf>
    <xf numFmtId="165" fontId="43" fillId="0" borderId="0" xfId="4" applyNumberFormat="1" applyBorder="1"/>
    <xf numFmtId="165" fontId="43" fillId="0" borderId="0" xfId="4" applyNumberFormat="1"/>
    <xf numFmtId="6" fontId="29" fillId="0" borderId="0" xfId="1" applyNumberFormat="1" applyFont="1" applyFill="1" applyBorder="1"/>
    <xf numFmtId="164" fontId="29" fillId="0" borderId="0" xfId="0" applyNumberFormat="1" applyFont="1" applyFill="1" applyBorder="1"/>
    <xf numFmtId="6" fontId="29" fillId="0" borderId="0" xfId="0" applyNumberFormat="1" applyFont="1" applyFill="1" applyBorder="1"/>
    <xf numFmtId="173" fontId="29" fillId="0" borderId="0" xfId="0" quotePrefix="1" applyNumberFormat="1" applyFont="1" applyFill="1" applyBorder="1" applyAlignment="1">
      <alignment horizontal="center"/>
    </xf>
    <xf numFmtId="172" fontId="29" fillId="0" borderId="0" xfId="0" quotePrefix="1" applyNumberFormat="1" applyFont="1" applyFill="1" applyBorder="1" applyAlignment="1">
      <alignment horizontal="center"/>
    </xf>
    <xf numFmtId="0" fontId="29" fillId="0" borderId="0" xfId="0" quotePrefix="1" applyFont="1" applyFill="1" applyBorder="1" applyAlignment="1">
      <alignment horizontal="center"/>
    </xf>
    <xf numFmtId="0" fontId="29" fillId="0" borderId="129" xfId="0" applyFont="1" applyBorder="1"/>
    <xf numFmtId="8" fontId="29" fillId="0" borderId="84" xfId="0" applyNumberFormat="1" applyFont="1" applyBorder="1"/>
    <xf numFmtId="8" fontId="29" fillId="13" borderId="84" xfId="0" applyNumberFormat="1" applyFont="1" applyFill="1" applyBorder="1"/>
    <xf numFmtId="0" fontId="0" fillId="0" borderId="100" xfId="0" applyBorder="1"/>
    <xf numFmtId="0" fontId="79" fillId="0" borderId="0" xfId="0" applyFont="1" applyBorder="1" applyAlignment="1">
      <alignment horizontal="center"/>
    </xf>
    <xf numFmtId="0" fontId="79" fillId="0" borderId="0" xfId="0" applyFont="1" applyFill="1" applyBorder="1" applyAlignment="1">
      <alignment horizontal="center"/>
    </xf>
    <xf numFmtId="0" fontId="79" fillId="0" borderId="0" xfId="0" applyFont="1" applyFill="1" applyBorder="1" applyAlignment="1" applyProtection="1">
      <alignment horizontal="center"/>
      <protection locked="0"/>
    </xf>
    <xf numFmtId="37" fontId="21" fillId="0" borderId="0" xfId="8" applyNumberFormat="1" applyFont="1" applyBorder="1"/>
    <xf numFmtId="165" fontId="0" fillId="0" borderId="0" xfId="0" applyNumberFormat="1"/>
    <xf numFmtId="165" fontId="23" fillId="0" borderId="0" xfId="8" applyNumberFormat="1"/>
    <xf numFmtId="0" fontId="23" fillId="0" borderId="0" xfId="8" applyAlignment="1">
      <alignment horizontal="center" textRotation="75"/>
    </xf>
    <xf numFmtId="0" fontId="37" fillId="0" borderId="28" xfId="4" applyFont="1" applyBorder="1" applyAlignment="1"/>
    <xf numFmtId="0" fontId="37" fillId="0" borderId="0" xfId="4" applyFont="1" applyBorder="1" applyAlignment="1"/>
    <xf numFmtId="38" fontId="46" fillId="0" borderId="1" xfId="1" applyNumberFormat="1" applyFont="1" applyFill="1" applyBorder="1" applyAlignment="1" applyProtection="1">
      <alignment horizontal="center"/>
    </xf>
    <xf numFmtId="38" fontId="46" fillId="15" borderId="26" xfId="1" applyNumberFormat="1" applyFont="1" applyFill="1" applyBorder="1" applyAlignment="1" applyProtection="1">
      <alignment horizontal="center"/>
    </xf>
    <xf numFmtId="38" fontId="46" fillId="15" borderId="26" xfId="1" applyNumberFormat="1" applyFont="1" applyFill="1" applyBorder="1" applyAlignment="1" applyProtection="1">
      <alignment horizontal="center" vertical="center" wrapText="1"/>
    </xf>
    <xf numFmtId="0" fontId="43" fillId="15" borderId="1" xfId="4" applyFill="1" applyBorder="1" applyAlignment="1">
      <alignment horizontal="center"/>
    </xf>
    <xf numFmtId="0" fontId="0" fillId="12" borderId="1" xfId="0" applyFill="1" applyBorder="1" applyAlignment="1"/>
    <xf numFmtId="0" fontId="46" fillId="0" borderId="105" xfId="3" applyFont="1" applyFill="1" applyBorder="1" applyAlignment="1" applyProtection="1">
      <alignment horizontal="center"/>
      <protection locked="0"/>
    </xf>
    <xf numFmtId="0" fontId="46" fillId="2" borderId="47" xfId="3" applyFont="1" applyFill="1" applyBorder="1" applyAlignment="1" applyProtection="1">
      <alignment horizontal="center"/>
      <protection locked="0"/>
    </xf>
    <xf numFmtId="0" fontId="46" fillId="3" borderId="102" xfId="3" applyFont="1" applyFill="1" applyBorder="1" applyAlignment="1" applyProtection="1">
      <alignment horizontal="center"/>
    </xf>
    <xf numFmtId="0" fontId="29" fillId="0" borderId="7" xfId="0" applyFont="1" applyBorder="1" applyAlignment="1">
      <alignment horizontal="right"/>
    </xf>
    <xf numFmtId="164" fontId="29" fillId="0" borderId="7" xfId="0" applyNumberFormat="1" applyFont="1" applyBorder="1" applyAlignment="1">
      <alignment horizontal="right"/>
    </xf>
    <xf numFmtId="0" fontId="46" fillId="3" borderId="1" xfId="3" applyNumberFormat="1" applyFont="1" applyFill="1" applyBorder="1" applyAlignment="1" applyProtection="1">
      <alignment horizontal="center"/>
    </xf>
    <xf numFmtId="0" fontId="11" fillId="0" borderId="19" xfId="8" applyFont="1" applyBorder="1" applyAlignment="1">
      <alignment horizontal="center" wrapText="1"/>
    </xf>
    <xf numFmtId="0" fontId="11" fillId="0" borderId="120" xfId="8" quotePrefix="1" applyFont="1" applyFill="1" applyBorder="1" applyAlignment="1">
      <alignment horizontal="center" textRotation="90" wrapText="1"/>
    </xf>
    <xf numFmtId="0" fontId="23" fillId="0" borderId="130" xfId="8" applyFill="1" applyBorder="1" applyAlignment="1">
      <alignment horizontal="center" textRotation="75" wrapText="1"/>
    </xf>
    <xf numFmtId="0" fontId="11" fillId="0" borderId="131" xfId="8" applyFont="1" applyBorder="1" applyAlignment="1">
      <alignment horizontal="center" wrapText="1"/>
    </xf>
    <xf numFmtId="6" fontId="29" fillId="5" borderId="98" xfId="1" applyNumberFormat="1" applyFont="1" applyFill="1" applyBorder="1"/>
    <xf numFmtId="6" fontId="29" fillId="5" borderId="1" xfId="1" applyNumberFormat="1" applyFont="1" applyFill="1" applyBorder="1"/>
    <xf numFmtId="1" fontId="50" fillId="2" borderId="19" xfId="0" applyNumberFormat="1" applyFont="1" applyFill="1" applyBorder="1" applyAlignment="1" applyProtection="1">
      <alignment horizontal="left"/>
      <protection locked="0"/>
    </xf>
    <xf numFmtId="0" fontId="0" fillId="0" borderId="0" xfId="0" applyFill="1" applyBorder="1" applyProtection="1"/>
    <xf numFmtId="0" fontId="27" fillId="0" borderId="0" xfId="0" applyFont="1" applyFill="1" applyBorder="1" applyProtection="1">
      <protection locked="0"/>
    </xf>
    <xf numFmtId="38" fontId="46" fillId="3" borderId="47" xfId="3" applyNumberFormat="1" applyFont="1" applyFill="1" applyBorder="1" applyAlignment="1" applyProtection="1">
      <alignment horizontal="center"/>
    </xf>
    <xf numFmtId="2" fontId="43" fillId="0" borderId="0" xfId="4" applyNumberFormat="1" applyBorder="1"/>
    <xf numFmtId="0" fontId="10" fillId="0" borderId="0" xfId="8" applyFont="1"/>
    <xf numFmtId="2" fontId="23" fillId="0" borderId="0" xfId="8" applyNumberFormat="1"/>
    <xf numFmtId="0" fontId="10" fillId="0" borderId="0" xfId="8" applyFont="1" applyBorder="1"/>
    <xf numFmtId="175" fontId="23" fillId="0" borderId="0" xfId="8" applyNumberFormat="1"/>
    <xf numFmtId="1" fontId="23" fillId="0" borderId="0" xfId="8" applyNumberFormat="1" applyBorder="1"/>
    <xf numFmtId="164" fontId="23" fillId="0" borderId="1" xfId="8" applyNumberFormat="1" applyBorder="1"/>
    <xf numFmtId="1" fontId="23" fillId="0" borderId="1" xfId="8" applyNumberFormat="1" applyBorder="1"/>
    <xf numFmtId="164" fontId="23" fillId="0" borderId="9" xfId="8" applyNumberFormat="1" applyBorder="1"/>
    <xf numFmtId="3" fontId="23" fillId="0" borderId="9" xfId="8" applyNumberFormat="1" applyBorder="1"/>
    <xf numFmtId="0" fontId="23" fillId="0" borderId="95" xfId="8" applyBorder="1"/>
    <xf numFmtId="0" fontId="17" fillId="0" borderId="95" xfId="8" applyFont="1" applyBorder="1"/>
    <xf numFmtId="0" fontId="10" fillId="0" borderId="95" xfId="8" applyFont="1" applyBorder="1"/>
    <xf numFmtId="0" fontId="9" fillId="0" borderId="95" xfId="8" applyFont="1" applyBorder="1"/>
    <xf numFmtId="0" fontId="8" fillId="0" borderId="95" xfId="8" applyFont="1" applyBorder="1"/>
    <xf numFmtId="8" fontId="8" fillId="0" borderId="95" xfId="8" applyNumberFormat="1" applyFont="1" applyBorder="1"/>
    <xf numFmtId="6" fontId="23" fillId="0" borderId="29" xfId="8" applyNumberFormat="1" applyBorder="1"/>
    <xf numFmtId="6" fontId="23" fillId="0" borderId="25" xfId="8" applyNumberFormat="1" applyBorder="1"/>
    <xf numFmtId="8" fontId="23" fillId="0" borderId="25" xfId="8" applyNumberFormat="1" applyBorder="1"/>
    <xf numFmtId="0" fontId="21" fillId="14" borderId="33" xfId="8" applyFont="1" applyFill="1" applyBorder="1" applyAlignment="1">
      <alignment horizontal="center"/>
    </xf>
    <xf numFmtId="0" fontId="12" fillId="0" borderId="34" xfId="8" applyFont="1" applyBorder="1" applyAlignment="1">
      <alignment horizontal="center"/>
    </xf>
    <xf numFmtId="0" fontId="19" fillId="14" borderId="34" xfId="8" applyFont="1" applyFill="1" applyBorder="1" applyAlignment="1">
      <alignment horizontal="center"/>
    </xf>
    <xf numFmtId="0" fontId="19" fillId="0" borderId="34" xfId="8" applyFont="1" applyBorder="1" applyAlignment="1">
      <alignment horizontal="center"/>
    </xf>
    <xf numFmtId="0" fontId="17" fillId="14" borderId="34" xfId="8" applyFont="1" applyFill="1" applyBorder="1" applyAlignment="1">
      <alignment horizontal="center"/>
    </xf>
    <xf numFmtId="0" fontId="17" fillId="0" borderId="34" xfId="8" applyFont="1" applyBorder="1" applyAlignment="1">
      <alignment horizontal="center"/>
    </xf>
    <xf numFmtId="0" fontId="21" fillId="0" borderId="34" xfId="8" applyFont="1" applyBorder="1" applyAlignment="1">
      <alignment horizontal="center"/>
    </xf>
    <xf numFmtId="0" fontId="21" fillId="14" borderId="34" xfId="8" applyFont="1" applyFill="1" applyBorder="1" applyAlignment="1">
      <alignment horizontal="center"/>
    </xf>
    <xf numFmtId="6" fontId="23" fillId="0" borderId="132" xfId="8" applyNumberFormat="1" applyBorder="1"/>
    <xf numFmtId="0" fontId="23" fillId="0" borderId="94" xfId="8" applyBorder="1"/>
    <xf numFmtId="1" fontId="19" fillId="0" borderId="9" xfId="8" applyNumberFormat="1" applyFont="1" applyBorder="1"/>
    <xf numFmtId="1" fontId="23" fillId="0" borderId="9" xfId="8" applyNumberFormat="1" applyBorder="1"/>
    <xf numFmtId="1" fontId="19" fillId="0" borderId="1" xfId="8" applyNumberFormat="1" applyFont="1" applyBorder="1"/>
    <xf numFmtId="1" fontId="23" fillId="0" borderId="94" xfId="8" applyNumberFormat="1" applyBorder="1"/>
    <xf numFmtId="1" fontId="19" fillId="0" borderId="94" xfId="8" applyNumberFormat="1" applyFont="1" applyBorder="1"/>
    <xf numFmtId="164" fontId="23" fillId="0" borderId="94" xfId="8" applyNumberFormat="1" applyBorder="1"/>
    <xf numFmtId="6" fontId="23" fillId="0" borderId="0" xfId="8" applyNumberFormat="1" applyBorder="1"/>
    <xf numFmtId="0" fontId="7" fillId="0" borderId="124" xfId="8" applyFont="1" applyBorder="1" applyAlignment="1">
      <alignment horizontal="center" wrapText="1"/>
    </xf>
    <xf numFmtId="8" fontId="8" fillId="0" borderId="0" xfId="8" applyNumberFormat="1" applyFont="1" applyBorder="1"/>
    <xf numFmtId="0" fontId="7" fillId="14" borderId="34" xfId="8" applyFont="1" applyFill="1" applyBorder="1" applyAlignment="1">
      <alignment horizontal="center"/>
    </xf>
    <xf numFmtId="164" fontId="43" fillId="0" borderId="0" xfId="4" applyNumberFormat="1"/>
    <xf numFmtId="164" fontId="0" fillId="12" borderId="1" xfId="0" applyNumberFormat="1" applyFill="1" applyBorder="1" applyAlignment="1"/>
    <xf numFmtId="0" fontId="21" fillId="0" borderId="9" xfId="8" applyFont="1" applyFill="1" applyBorder="1" applyAlignment="1" applyProtection="1">
      <alignment horizontal="center"/>
    </xf>
    <xf numFmtId="174" fontId="21" fillId="0" borderId="25" xfId="8" applyNumberFormat="1" applyFont="1" applyFill="1" applyBorder="1" applyAlignment="1" applyProtection="1">
      <alignment horizontal="center"/>
    </xf>
    <xf numFmtId="0" fontId="21" fillId="0" borderId="1" xfId="8" applyFont="1" applyFill="1" applyBorder="1" applyAlignment="1" applyProtection="1">
      <alignment horizontal="center"/>
    </xf>
    <xf numFmtId="174" fontId="21" fillId="0" borderId="30" xfId="8" applyNumberFormat="1" applyFont="1" applyFill="1" applyBorder="1" applyAlignment="1" applyProtection="1">
      <alignment horizontal="center"/>
    </xf>
    <xf numFmtId="0" fontId="21" fillId="0" borderId="94" xfId="8" applyFont="1" applyFill="1" applyBorder="1" applyAlignment="1" applyProtection="1">
      <alignment horizontal="center"/>
    </xf>
    <xf numFmtId="174" fontId="21" fillId="0" borderId="0" xfId="8" applyNumberFormat="1" applyFont="1" applyProtection="1"/>
    <xf numFmtId="37" fontId="21" fillId="0" borderId="0" xfId="8" applyNumberFormat="1" applyFont="1" applyAlignment="1" applyProtection="1">
      <alignment horizontal="center"/>
    </xf>
    <xf numFmtId="37" fontId="21" fillId="0" borderId="0" xfId="8" applyNumberFormat="1" applyFont="1" applyProtection="1"/>
    <xf numFmtId="0" fontId="21" fillId="0" borderId="31" xfId="8" applyFont="1" applyFill="1" applyBorder="1" applyAlignment="1" applyProtection="1">
      <alignment horizontal="center"/>
      <protection locked="0"/>
    </xf>
    <xf numFmtId="174" fontId="76" fillId="0" borderId="118" xfId="9" applyNumberFormat="1" applyFont="1" applyFill="1" applyBorder="1" applyAlignment="1" applyProtection="1">
      <alignment horizontal="center"/>
      <protection locked="0"/>
    </xf>
    <xf numFmtId="174" fontId="76" fillId="0" borderId="25" xfId="9" applyNumberFormat="1" applyFont="1" applyFill="1" applyBorder="1" applyAlignment="1" applyProtection="1">
      <alignment horizontal="center"/>
      <protection locked="0"/>
    </xf>
    <xf numFmtId="0" fontId="21" fillId="16" borderId="121" xfId="8" applyFont="1" applyFill="1" applyBorder="1" applyAlignment="1" applyProtection="1">
      <alignment horizontal="center"/>
      <protection locked="0"/>
    </xf>
    <xf numFmtId="0" fontId="21" fillId="0" borderId="118" xfId="8" applyFont="1" applyFill="1" applyBorder="1" applyAlignment="1" applyProtection="1">
      <alignment horizontal="center"/>
      <protection locked="0"/>
    </xf>
    <xf numFmtId="0" fontId="21" fillId="0" borderId="119" xfId="8" applyFont="1" applyFill="1" applyBorder="1" applyAlignment="1" applyProtection="1">
      <alignment horizontal="center"/>
      <protection locked="0"/>
    </xf>
    <xf numFmtId="38" fontId="21" fillId="0" borderId="25" xfId="8" applyNumberFormat="1" applyFont="1" applyFill="1" applyBorder="1" applyAlignment="1" applyProtection="1">
      <alignment horizontal="center"/>
      <protection locked="0"/>
    </xf>
    <xf numFmtId="6" fontId="21" fillId="0" borderId="1" xfId="8" applyNumberFormat="1" applyFont="1" applyFill="1" applyBorder="1" applyAlignment="1" applyProtection="1">
      <alignment horizontal="center"/>
      <protection locked="0"/>
    </xf>
    <xf numFmtId="0" fontId="18" fillId="0" borderId="118" xfId="8" applyFont="1" applyFill="1" applyBorder="1" applyAlignment="1" applyProtection="1">
      <alignment horizontal="center"/>
      <protection locked="0"/>
    </xf>
    <xf numFmtId="0" fontId="15" fillId="0" borderId="118" xfId="8" applyFont="1" applyFill="1" applyBorder="1" applyAlignment="1" applyProtection="1">
      <alignment horizontal="center"/>
      <protection locked="0"/>
    </xf>
    <xf numFmtId="0" fontId="19" fillId="0" borderId="118" xfId="8" applyFont="1" applyFill="1" applyBorder="1" applyAlignment="1" applyProtection="1">
      <alignment horizontal="center"/>
      <protection locked="0"/>
    </xf>
    <xf numFmtId="0" fontId="14" fillId="0" borderId="118" xfId="8" applyFont="1" applyFill="1" applyBorder="1" applyAlignment="1" applyProtection="1">
      <alignment horizontal="center"/>
      <protection locked="0"/>
    </xf>
    <xf numFmtId="0" fontId="7" fillId="0" borderId="118" xfId="8" applyFont="1" applyFill="1" applyBorder="1" applyAlignment="1" applyProtection="1">
      <alignment horizontal="center"/>
      <protection locked="0"/>
    </xf>
    <xf numFmtId="174" fontId="76" fillId="0" borderId="1" xfId="9" applyNumberFormat="1" applyFont="1" applyFill="1" applyBorder="1" applyAlignment="1" applyProtection="1">
      <alignment horizontal="center"/>
    </xf>
    <xf numFmtId="0" fontId="21" fillId="0" borderId="119" xfId="8" applyFont="1" applyFill="1" applyBorder="1" applyAlignment="1" applyProtection="1">
      <alignment horizontal="center"/>
    </xf>
    <xf numFmtId="0" fontId="15" fillId="0" borderId="1" xfId="8" applyFont="1" applyFill="1" applyBorder="1" applyProtection="1">
      <protection locked="0"/>
    </xf>
    <xf numFmtId="0" fontId="18" fillId="0" borderId="1" xfId="8" applyFont="1" applyFill="1" applyBorder="1" applyProtection="1">
      <protection locked="0"/>
    </xf>
    <xf numFmtId="0" fontId="19" fillId="0" borderId="1" xfId="8" applyFont="1" applyFill="1" applyBorder="1" applyProtection="1">
      <protection locked="0"/>
    </xf>
    <xf numFmtId="0" fontId="23" fillId="0" borderId="1" xfId="8" applyFill="1" applyBorder="1" applyProtection="1">
      <protection locked="0"/>
    </xf>
    <xf numFmtId="0" fontId="14" fillId="0" borderId="1" xfId="8" applyFont="1" applyFill="1" applyBorder="1" applyProtection="1">
      <protection locked="0"/>
    </xf>
    <xf numFmtId="0" fontId="21" fillId="0" borderId="1" xfId="8" applyFont="1" applyFill="1" applyBorder="1" applyProtection="1">
      <protection locked="0"/>
    </xf>
    <xf numFmtId="0" fontId="13" fillId="0" borderId="1" xfId="8" applyFont="1" applyFill="1" applyBorder="1" applyProtection="1">
      <protection locked="0"/>
    </xf>
    <xf numFmtId="0" fontId="11" fillId="0" borderId="1" xfId="8" applyFont="1" applyFill="1" applyBorder="1" applyProtection="1">
      <protection locked="0"/>
    </xf>
    <xf numFmtId="1" fontId="29" fillId="2" borderId="1" xfId="0" applyNumberFormat="1" applyFont="1" applyFill="1" applyBorder="1" applyProtection="1">
      <protection locked="0"/>
    </xf>
    <xf numFmtId="3" fontId="0" fillId="0" borderId="1" xfId="0" applyNumberFormat="1" applyFill="1" applyBorder="1" applyProtection="1"/>
    <xf numFmtId="164" fontId="29" fillId="2" borderId="9" xfId="0" applyNumberFormat="1" applyFont="1" applyFill="1" applyBorder="1" applyAlignment="1" applyProtection="1">
      <alignment horizontal="right"/>
    </xf>
    <xf numFmtId="164" fontId="29" fillId="2" borderId="103" xfId="0" applyNumberFormat="1" applyFont="1" applyFill="1" applyBorder="1" applyProtection="1"/>
    <xf numFmtId="164" fontId="29" fillId="2" borderId="9" xfId="0" applyNumberFormat="1" applyFont="1" applyFill="1" applyBorder="1" applyProtection="1"/>
    <xf numFmtId="38" fontId="46" fillId="0" borderId="9" xfId="1" applyNumberFormat="1" applyFont="1" applyFill="1" applyBorder="1" applyAlignment="1" applyProtection="1">
      <alignment horizontal="center"/>
      <protection locked="0"/>
    </xf>
    <xf numFmtId="38" fontId="46" fillId="0" borderId="81" xfId="1" applyNumberFormat="1" applyFont="1" applyFill="1" applyBorder="1" applyAlignment="1" applyProtection="1">
      <alignment horizontal="center"/>
      <protection locked="0"/>
    </xf>
    <xf numFmtId="38" fontId="46" fillId="0" borderId="36" xfId="1" applyNumberFormat="1" applyFont="1" applyFill="1" applyBorder="1" applyAlignment="1" applyProtection="1">
      <alignment horizontal="center"/>
      <protection locked="0"/>
    </xf>
    <xf numFmtId="38" fontId="46" fillId="0" borderId="1" xfId="1" applyNumberFormat="1" applyFont="1" applyFill="1" applyBorder="1" applyAlignment="1" applyProtection="1">
      <alignment horizontal="center"/>
      <protection locked="0"/>
    </xf>
    <xf numFmtId="38" fontId="46" fillId="0" borderId="31" xfId="1" applyNumberFormat="1" applyFont="1" applyFill="1" applyBorder="1" applyAlignment="1" applyProtection="1">
      <alignment horizontal="center"/>
      <protection locked="0"/>
    </xf>
    <xf numFmtId="38" fontId="46" fillId="0" borderId="37" xfId="1" applyNumberFormat="1" applyFont="1" applyFill="1" applyBorder="1" applyAlignment="1" applyProtection="1">
      <alignment horizontal="center"/>
      <protection locked="0"/>
    </xf>
    <xf numFmtId="0" fontId="21" fillId="16" borderId="119" xfId="8" applyFont="1" applyFill="1" applyBorder="1" applyAlignment="1" applyProtection="1">
      <alignment horizontal="center"/>
    </xf>
    <xf numFmtId="0" fontId="21" fillId="16" borderId="127" xfId="8" applyFont="1" applyFill="1" applyBorder="1" applyAlignment="1" applyProtection="1">
      <alignment horizontal="center"/>
      <protection locked="0"/>
    </xf>
    <xf numFmtId="0" fontId="21" fillId="0" borderId="32" xfId="8" applyFont="1" applyFill="1" applyBorder="1" applyProtection="1">
      <protection locked="0"/>
    </xf>
    <xf numFmtId="0" fontId="17" fillId="0" borderId="1" xfId="8" applyFont="1" applyFill="1" applyBorder="1" applyProtection="1">
      <protection locked="0"/>
    </xf>
    <xf numFmtId="0" fontId="23" fillId="0" borderId="94" xfId="8" applyFill="1" applyBorder="1" applyProtection="1">
      <protection locked="0"/>
    </xf>
    <xf numFmtId="174" fontId="76" fillId="0" borderId="125" xfId="9" applyNumberFormat="1" applyFont="1" applyFill="1" applyBorder="1" applyAlignment="1" applyProtection="1">
      <alignment horizontal="center"/>
      <protection locked="0"/>
    </xf>
    <xf numFmtId="174" fontId="76" fillId="0" borderId="30" xfId="9" applyNumberFormat="1" applyFont="1" applyFill="1" applyBorder="1" applyAlignment="1" applyProtection="1">
      <alignment horizontal="center"/>
      <protection locked="0"/>
    </xf>
    <xf numFmtId="0" fontId="21" fillId="0" borderId="32" xfId="8" applyFont="1" applyFill="1" applyBorder="1" applyAlignment="1" applyProtection="1">
      <alignment horizontal="center"/>
      <protection locked="0"/>
    </xf>
    <xf numFmtId="0" fontId="21" fillId="0" borderId="125" xfId="8" applyFont="1" applyFill="1" applyBorder="1" applyAlignment="1" applyProtection="1">
      <alignment horizontal="center"/>
      <protection locked="0"/>
    </xf>
    <xf numFmtId="38" fontId="21" fillId="0" borderId="30" xfId="8" applyNumberFormat="1" applyFont="1" applyFill="1" applyBorder="1" applyAlignment="1" applyProtection="1">
      <alignment horizontal="center"/>
      <protection locked="0"/>
    </xf>
    <xf numFmtId="6" fontId="21" fillId="0" borderId="94" xfId="8" applyNumberFormat="1" applyFont="1" applyFill="1" applyBorder="1" applyAlignment="1" applyProtection="1">
      <alignment horizontal="center"/>
      <protection locked="0"/>
    </xf>
    <xf numFmtId="0" fontId="21" fillId="0" borderId="126" xfId="8" applyFont="1" applyFill="1" applyBorder="1" applyAlignment="1" applyProtection="1">
      <alignment horizontal="center"/>
      <protection locked="0"/>
    </xf>
    <xf numFmtId="0" fontId="21" fillId="16" borderId="126" xfId="8" applyFont="1" applyFill="1" applyBorder="1" applyAlignment="1" applyProtection="1">
      <alignment horizontal="center"/>
    </xf>
    <xf numFmtId="0" fontId="14" fillId="0" borderId="9" xfId="8" applyFont="1" applyFill="1" applyBorder="1" applyAlignment="1" applyProtection="1">
      <alignment horizontal="center"/>
      <protection locked="0"/>
    </xf>
    <xf numFmtId="0" fontId="8" fillId="0" borderId="9" xfId="8" applyFont="1" applyFill="1" applyBorder="1" applyAlignment="1" applyProtection="1">
      <alignment horizontal="center"/>
      <protection locked="0"/>
    </xf>
    <xf numFmtId="8" fontId="29" fillId="0" borderId="7" xfId="0" applyNumberFormat="1" applyFont="1" applyBorder="1" applyAlignment="1">
      <alignment horizontal="left"/>
    </xf>
    <xf numFmtId="0" fontId="6" fillId="0" borderId="0" xfId="5" applyFont="1"/>
    <xf numFmtId="0" fontId="21" fillId="0" borderId="94" xfId="8" applyFont="1" applyFill="1" applyBorder="1" applyProtection="1">
      <protection locked="0"/>
    </xf>
    <xf numFmtId="0" fontId="5" fillId="0" borderId="0" xfId="5" applyFont="1" applyAlignment="1">
      <alignment horizontal="center"/>
    </xf>
    <xf numFmtId="0" fontId="5" fillId="0" borderId="0" xfId="5" applyFont="1"/>
    <xf numFmtId="0" fontId="73" fillId="0" borderId="5" xfId="5" applyFont="1" applyBorder="1"/>
    <xf numFmtId="0" fontId="73" fillId="0" borderId="0" xfId="5" applyFont="1" applyBorder="1"/>
    <xf numFmtId="0" fontId="72" fillId="0" borderId="25" xfId="5" applyFont="1" applyBorder="1" applyAlignment="1">
      <alignment horizontal="center"/>
    </xf>
    <xf numFmtId="3" fontId="26" fillId="0" borderId="45" xfId="5" applyNumberFormat="1" applyBorder="1" applyAlignment="1">
      <alignment horizontal="center"/>
    </xf>
    <xf numFmtId="1" fontId="26" fillId="0" borderId="30" xfId="5" applyNumberFormat="1" applyBorder="1"/>
    <xf numFmtId="0" fontId="72" fillId="0" borderId="25" xfId="5" applyFont="1" applyBorder="1" applyAlignment="1">
      <alignment horizontal="center" wrapText="1"/>
    </xf>
    <xf numFmtId="1" fontId="26" fillId="0" borderId="17" xfId="5" applyNumberFormat="1" applyBorder="1" applyAlignment="1">
      <alignment horizontal="center"/>
    </xf>
    <xf numFmtId="3" fontId="26" fillId="0" borderId="17" xfId="5" applyNumberFormat="1" applyBorder="1" applyAlignment="1">
      <alignment horizontal="center"/>
    </xf>
    <xf numFmtId="3" fontId="26" fillId="0" borderId="134" xfId="5" applyNumberFormat="1" applyBorder="1" applyAlignment="1">
      <alignment horizontal="center"/>
    </xf>
    <xf numFmtId="8" fontId="26" fillId="0" borderId="1" xfId="1" applyFont="1" applyBorder="1" applyAlignment="1">
      <alignment horizontal="center"/>
    </xf>
    <xf numFmtId="8" fontId="26" fillId="0" borderId="1" xfId="1" applyFont="1" applyBorder="1"/>
    <xf numFmtId="8" fontId="26" fillId="0" borderId="25" xfId="1" applyFont="1" applyBorder="1" applyAlignment="1">
      <alignment horizontal="center"/>
    </xf>
    <xf numFmtId="8" fontId="26" fillId="0" borderId="45" xfId="1" applyFont="1" applyBorder="1" applyAlignment="1">
      <alignment horizontal="center"/>
    </xf>
    <xf numFmtId="0" fontId="4" fillId="0" borderId="0" xfId="5" applyFont="1" applyAlignment="1">
      <alignment horizontal="center"/>
    </xf>
    <xf numFmtId="0" fontId="77" fillId="0" borderId="0" xfId="0" applyFont="1" applyFill="1" applyBorder="1" applyAlignment="1">
      <alignment horizontal="center"/>
    </xf>
    <xf numFmtId="0" fontId="77" fillId="0" borderId="0" xfId="0" applyFont="1" applyAlignment="1">
      <alignment horizontal="center"/>
    </xf>
    <xf numFmtId="0" fontId="27" fillId="0" borderId="0" xfId="0" applyFont="1" applyAlignment="1">
      <alignment vertical="center"/>
    </xf>
    <xf numFmtId="0" fontId="27" fillId="0" borderId="0" xfId="0" applyFont="1" applyAlignment="1">
      <alignment vertical="top"/>
    </xf>
    <xf numFmtId="0" fontId="0" fillId="3" borderId="21" xfId="0" applyFill="1" applyBorder="1" applyAlignment="1">
      <alignment vertical="top"/>
    </xf>
    <xf numFmtId="0" fontId="0" fillId="0" borderId="1" xfId="0" applyFill="1" applyBorder="1"/>
    <xf numFmtId="8" fontId="0" fillId="0" borderId="77" xfId="1" applyNumberFormat="1" applyFont="1" applyBorder="1"/>
    <xf numFmtId="3" fontId="0" fillId="0" borderId="1" xfId="0" applyNumberFormat="1" applyFill="1" applyBorder="1"/>
    <xf numFmtId="0" fontId="82" fillId="0" borderId="1" xfId="0" applyFont="1" applyBorder="1"/>
    <xf numFmtId="0" fontId="0" fillId="12" borderId="1" xfId="0" applyFill="1" applyBorder="1" applyAlignment="1">
      <alignment vertical="top"/>
    </xf>
    <xf numFmtId="0" fontId="78" fillId="0" borderId="1" xfId="0" applyFont="1" applyFill="1" applyBorder="1"/>
    <xf numFmtId="3" fontId="0" fillId="0" borderId="1" xfId="0" applyNumberFormat="1" applyFill="1" applyBorder="1" applyProtection="1">
      <protection locked="0"/>
    </xf>
    <xf numFmtId="0" fontId="0" fillId="0" borderId="27" xfId="0" applyFill="1" applyBorder="1"/>
    <xf numFmtId="0" fontId="0" fillId="0" borderId="1" xfId="0" applyFont="1" applyFill="1" applyBorder="1"/>
    <xf numFmtId="2" fontId="0" fillId="0" borderId="1" xfId="0" applyNumberFormat="1" applyFill="1" applyBorder="1"/>
    <xf numFmtId="3" fontId="0" fillId="0" borderId="1" xfId="0" applyNumberFormat="1" applyFill="1" applyBorder="1" applyAlignment="1"/>
    <xf numFmtId="164" fontId="0" fillId="0" borderId="1" xfId="0" applyNumberFormat="1" applyFill="1" applyBorder="1" applyAlignment="1"/>
    <xf numFmtId="0" fontId="83" fillId="0" borderId="0" xfId="0" applyFont="1"/>
    <xf numFmtId="0" fontId="83" fillId="0" borderId="0" xfId="0" applyFont="1" applyFill="1" applyBorder="1" applyAlignment="1">
      <alignment horizontal="right"/>
    </xf>
    <xf numFmtId="164" fontId="23" fillId="0" borderId="5" xfId="8" applyNumberFormat="1" applyBorder="1"/>
    <xf numFmtId="164" fontId="23" fillId="0" borderId="81" xfId="8" applyNumberFormat="1" applyBorder="1"/>
    <xf numFmtId="164" fontId="23" fillId="0" borderId="31" xfId="8" applyNumberFormat="1" applyBorder="1"/>
    <xf numFmtId="0" fontId="3" fillId="0" borderId="31" xfId="8" applyFont="1" applyBorder="1"/>
    <xf numFmtId="0" fontId="23" fillId="0" borderId="31" xfId="8" applyBorder="1"/>
    <xf numFmtId="0" fontId="23" fillId="0" borderId="104" xfId="8" applyBorder="1"/>
    <xf numFmtId="0" fontId="23" fillId="0" borderId="101" xfId="8" applyBorder="1"/>
    <xf numFmtId="8" fontId="23" fillId="0" borderId="101" xfId="8" applyNumberFormat="1" applyBorder="1" applyAlignment="1">
      <alignment horizontal="center"/>
    </xf>
    <xf numFmtId="0" fontId="84" fillId="0" borderId="101" xfId="8" applyFont="1" applyBorder="1" applyAlignment="1">
      <alignment horizontal="center"/>
    </xf>
    <xf numFmtId="1" fontId="29" fillId="0" borderId="80" xfId="0" applyNumberFormat="1" applyFont="1" applyBorder="1"/>
    <xf numFmtId="165" fontId="84" fillId="0" borderId="101" xfId="8" applyNumberFormat="1" applyFont="1" applyBorder="1" applyAlignment="1">
      <alignment horizontal="center"/>
    </xf>
    <xf numFmtId="0" fontId="2" fillId="0" borderId="0" xfId="8" applyFont="1" applyBorder="1"/>
    <xf numFmtId="164" fontId="0" fillId="0" borderId="1" xfId="0" applyNumberFormat="1" applyBorder="1" applyAlignment="1" applyProtection="1">
      <alignment horizontal="right" vertical="top"/>
      <protection locked="0"/>
    </xf>
    <xf numFmtId="164" fontId="0" fillId="0" borderId="1" xfId="0" applyNumberFormat="1" applyFill="1" applyBorder="1" applyAlignment="1">
      <alignment horizontal="right" vertical="top"/>
    </xf>
    <xf numFmtId="164" fontId="0" fillId="0" borderId="1" xfId="0" applyNumberFormat="1" applyFill="1" applyBorder="1" applyAlignment="1" applyProtection="1">
      <alignment horizontal="right" vertical="top"/>
      <protection locked="0"/>
    </xf>
    <xf numFmtId="164" fontId="0" fillId="0" borderId="1" xfId="0" applyNumberFormat="1" applyBorder="1" applyAlignment="1">
      <alignment horizontal="right" vertical="top"/>
    </xf>
    <xf numFmtId="164" fontId="27" fillId="0" borderId="1" xfId="0" applyNumberFormat="1" applyFont="1" applyBorder="1" applyAlignment="1">
      <alignment horizontal="right" vertical="top"/>
    </xf>
    <xf numFmtId="164" fontId="0" fillId="0" borderId="21" xfId="0" applyNumberFormat="1" applyFill="1" applyBorder="1" applyAlignment="1">
      <alignment horizontal="right" vertical="top"/>
    </xf>
    <xf numFmtId="164" fontId="0" fillId="0" borderId="1" xfId="0" quotePrefix="1" applyNumberFormat="1" applyBorder="1" applyAlignment="1" applyProtection="1">
      <alignment horizontal="left" vertical="top"/>
      <protection locked="0"/>
    </xf>
    <xf numFmtId="0" fontId="0" fillId="0" borderId="0" xfId="0" applyAlignment="1">
      <alignment vertical="top"/>
    </xf>
    <xf numFmtId="0" fontId="1" fillId="0" borderId="1" xfId="8" applyFont="1" applyFill="1" applyBorder="1" applyProtection="1">
      <protection locked="0"/>
    </xf>
    <xf numFmtId="0" fontId="1" fillId="0" borderId="118" xfId="8" applyFont="1" applyFill="1" applyBorder="1" applyAlignment="1" applyProtection="1">
      <alignment horizontal="center"/>
      <protection locked="0"/>
    </xf>
    <xf numFmtId="0" fontId="11" fillId="17" borderId="120" xfId="8" quotePrefix="1" applyFont="1" applyFill="1" applyBorder="1" applyAlignment="1">
      <alignment horizontal="center" textRotation="90" wrapText="1"/>
    </xf>
    <xf numFmtId="0" fontId="17" fillId="17" borderId="124" xfId="8" applyFont="1" applyFill="1" applyBorder="1" applyAlignment="1">
      <alignment horizontal="center" wrapText="1"/>
    </xf>
    <xf numFmtId="0" fontId="21" fillId="17" borderId="121" xfId="8" applyFont="1" applyFill="1" applyBorder="1" applyAlignment="1" applyProtection="1">
      <alignment horizontal="center"/>
      <protection locked="0"/>
    </xf>
    <xf numFmtId="0" fontId="21" fillId="17" borderId="127" xfId="8" applyFont="1" applyFill="1" applyBorder="1" applyAlignment="1" applyProtection="1">
      <alignment horizontal="center"/>
      <protection locked="0"/>
    </xf>
    <xf numFmtId="0" fontId="21" fillId="17" borderId="0" xfId="10" applyNumberFormat="1" applyFont="1" applyFill="1" applyBorder="1" applyAlignment="1">
      <alignment horizontal="center" vertical="center"/>
    </xf>
    <xf numFmtId="0" fontId="23" fillId="17" borderId="0" xfId="8" applyFill="1" applyBorder="1"/>
    <xf numFmtId="0" fontId="8" fillId="17" borderId="95" xfId="8" applyFont="1" applyFill="1" applyBorder="1"/>
    <xf numFmtId="164" fontId="23" fillId="17" borderId="9" xfId="1" applyNumberFormat="1" applyFont="1" applyFill="1" applyBorder="1"/>
    <xf numFmtId="164" fontId="23" fillId="17" borderId="94" xfId="8" applyNumberFormat="1" applyFill="1" applyBorder="1"/>
    <xf numFmtId="6" fontId="23" fillId="17" borderId="0" xfId="8" applyNumberFormat="1" applyFill="1"/>
    <xf numFmtId="164" fontId="23" fillId="17" borderId="0" xfId="8" applyNumberFormat="1" applyFill="1" applyBorder="1"/>
    <xf numFmtId="0" fontId="23" fillId="17" borderId="120" xfId="8" applyFill="1" applyBorder="1"/>
    <xf numFmtId="0" fontId="23" fillId="17" borderId="19" xfId="8" applyFill="1" applyBorder="1" applyAlignment="1">
      <alignment horizontal="center" wrapText="1"/>
    </xf>
    <xf numFmtId="0" fontId="21" fillId="17" borderId="31" xfId="8" applyFont="1" applyFill="1" applyBorder="1" applyAlignment="1" applyProtection="1">
      <alignment horizontal="center"/>
    </xf>
    <xf numFmtId="0" fontId="21" fillId="17" borderId="31" xfId="8" applyFont="1" applyFill="1" applyBorder="1" applyAlignment="1">
      <alignment horizontal="center"/>
    </xf>
    <xf numFmtId="0" fontId="21" fillId="17" borderId="32" xfId="8" applyFont="1" applyFill="1" applyBorder="1" applyAlignment="1">
      <alignment horizontal="center"/>
    </xf>
    <xf numFmtId="37" fontId="21" fillId="17" borderId="0" xfId="8" applyNumberFormat="1" applyFont="1" applyFill="1" applyBorder="1" applyAlignment="1">
      <alignment horizontal="center"/>
    </xf>
    <xf numFmtId="0" fontId="10" fillId="17" borderId="95" xfId="8" applyFont="1" applyFill="1" applyBorder="1"/>
    <xf numFmtId="165" fontId="23" fillId="17" borderId="0" xfId="8" applyNumberFormat="1" applyFill="1" applyBorder="1"/>
    <xf numFmtId="1" fontId="23" fillId="17" borderId="0" xfId="8" applyNumberFormat="1" applyFill="1"/>
    <xf numFmtId="0" fontId="23" fillId="17" borderId="107" xfId="8" applyFill="1" applyBorder="1"/>
    <xf numFmtId="0" fontId="17" fillId="17" borderId="19" xfId="8" applyFont="1" applyFill="1" applyBorder="1" applyAlignment="1">
      <alignment horizontal="center" wrapText="1"/>
    </xf>
    <xf numFmtId="0" fontId="21" fillId="17" borderId="31" xfId="8" applyFont="1" applyFill="1" applyBorder="1" applyAlignment="1" applyProtection="1">
      <alignment horizontal="center"/>
      <protection locked="0"/>
    </xf>
    <xf numFmtId="0" fontId="21" fillId="17" borderId="32" xfId="8" applyFont="1" applyFill="1" applyBorder="1" applyAlignment="1" applyProtection="1">
      <alignment horizontal="center"/>
      <protection locked="0"/>
    </xf>
    <xf numFmtId="0" fontId="21" fillId="17" borderId="0" xfId="8" applyNumberFormat="1" applyFont="1" applyFill="1" applyBorder="1" applyAlignment="1">
      <alignment horizontal="center"/>
    </xf>
    <xf numFmtId="0" fontId="7" fillId="17" borderId="95" xfId="8" applyFont="1" applyFill="1" applyBorder="1"/>
    <xf numFmtId="164" fontId="23" fillId="17" borderId="9" xfId="8" applyNumberFormat="1" applyFill="1" applyBorder="1"/>
    <xf numFmtId="164" fontId="23" fillId="17" borderId="1" xfId="8" applyNumberFormat="1" applyFill="1" applyBorder="1"/>
    <xf numFmtId="0" fontId="23" fillId="17" borderId="0" xfId="8" applyFill="1"/>
    <xf numFmtId="0" fontId="32" fillId="9" borderId="81" xfId="0" applyFont="1" applyFill="1" applyBorder="1" applyAlignment="1">
      <alignment horizontal="center"/>
    </xf>
    <xf numFmtId="0" fontId="32" fillId="9" borderId="28" xfId="0" applyFont="1" applyFill="1" applyBorder="1" applyAlignment="1">
      <alignment horizontal="center"/>
    </xf>
    <xf numFmtId="0" fontId="32" fillId="9" borderId="29" xfId="0" applyFont="1" applyFill="1" applyBorder="1" applyAlignment="1">
      <alignment horizontal="center"/>
    </xf>
    <xf numFmtId="0" fontId="0" fillId="0" borderId="104" xfId="0" applyBorder="1" applyAlignment="1">
      <alignment horizontal="left" vertical="top" wrapText="1"/>
    </xf>
    <xf numFmtId="0" fontId="0" fillId="0" borderId="105" xfId="0" applyBorder="1" applyAlignment="1">
      <alignment horizontal="left" vertical="top" wrapText="1"/>
    </xf>
    <xf numFmtId="0" fontId="0" fillId="0" borderId="45" xfId="0" applyBorder="1" applyAlignment="1">
      <alignment horizontal="left" vertical="top" wrapText="1"/>
    </xf>
    <xf numFmtId="0" fontId="0" fillId="0" borderId="101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80" xfId="0" applyBorder="1" applyAlignment="1">
      <alignment horizontal="left" vertical="top" wrapText="1"/>
    </xf>
    <xf numFmtId="0" fontId="0" fillId="0" borderId="81" xfId="0" applyBorder="1" applyAlignment="1">
      <alignment horizontal="left" vertical="top" wrapText="1"/>
    </xf>
    <xf numFmtId="0" fontId="0" fillId="0" borderId="28" xfId="0" applyBorder="1" applyAlignment="1">
      <alignment horizontal="left" vertical="top" wrapText="1"/>
    </xf>
    <xf numFmtId="0" fontId="0" fillId="0" borderId="29" xfId="0" applyBorder="1" applyAlignment="1">
      <alignment horizontal="left" vertical="top" wrapText="1"/>
    </xf>
    <xf numFmtId="0" fontId="29" fillId="0" borderId="17" xfId="0" applyFont="1" applyBorder="1" applyAlignment="1">
      <alignment horizontal="left"/>
    </xf>
    <xf numFmtId="0" fontId="29" fillId="0" borderId="24" xfId="0" applyFont="1" applyBorder="1" applyAlignment="1">
      <alignment horizontal="left"/>
    </xf>
    <xf numFmtId="0" fontId="29" fillId="0" borderId="0" xfId="0" applyFont="1" applyBorder="1" applyAlignment="1">
      <alignment horizontal="left"/>
    </xf>
    <xf numFmtId="0" fontId="42" fillId="0" borderId="31" xfId="0" applyFont="1" applyFill="1" applyBorder="1" applyAlignment="1">
      <alignment horizontal="left"/>
    </xf>
    <xf numFmtId="0" fontId="42" fillId="0" borderId="24" xfId="0" applyFont="1" applyFill="1" applyBorder="1" applyAlignment="1">
      <alignment horizontal="left"/>
    </xf>
    <xf numFmtId="0" fontId="42" fillId="0" borderId="25" xfId="0" applyFont="1" applyFill="1" applyBorder="1" applyAlignment="1">
      <alignment horizontal="left"/>
    </xf>
    <xf numFmtId="0" fontId="59" fillId="0" borderId="1" xfId="0" applyFont="1" applyBorder="1" applyAlignment="1" applyProtection="1">
      <alignment horizontal="left"/>
    </xf>
    <xf numFmtId="0" fontId="59" fillId="0" borderId="94" xfId="0" applyFont="1" applyBorder="1" applyAlignment="1" applyProtection="1">
      <alignment horizontal="left"/>
    </xf>
    <xf numFmtId="0" fontId="29" fillId="2" borderId="31" xfId="0" applyFont="1" applyFill="1" applyBorder="1" applyAlignment="1" applyProtection="1">
      <alignment horizontal="center"/>
      <protection locked="0"/>
    </xf>
    <xf numFmtId="0" fontId="29" fillId="2" borderId="25" xfId="0" applyFont="1" applyFill="1" applyBorder="1" applyAlignment="1" applyProtection="1">
      <alignment horizontal="center"/>
      <protection locked="0"/>
    </xf>
    <xf numFmtId="0" fontId="29" fillId="2" borderId="24" xfId="0" applyFont="1" applyFill="1" applyBorder="1" applyAlignment="1" applyProtection="1">
      <alignment horizontal="center"/>
      <protection locked="0"/>
    </xf>
    <xf numFmtId="8" fontId="31" fillId="3" borderId="31" xfId="1" applyFont="1" applyFill="1" applyBorder="1" applyAlignment="1">
      <alignment horizontal="center"/>
    </xf>
    <xf numFmtId="8" fontId="31" fillId="3" borderId="24" xfId="1" applyFont="1" applyFill="1" applyBorder="1" applyAlignment="1">
      <alignment horizontal="center"/>
    </xf>
    <xf numFmtId="0" fontId="29" fillId="0" borderId="25" xfId="0" applyFont="1" applyBorder="1" applyAlignment="1">
      <alignment horizontal="left"/>
    </xf>
    <xf numFmtId="0" fontId="30" fillId="0" borderId="93" xfId="0" applyFont="1" applyBorder="1" applyAlignment="1" applyProtection="1">
      <alignment horizontal="right"/>
      <protection locked="0"/>
    </xf>
    <xf numFmtId="0" fontId="30" fillId="0" borderId="19" xfId="0" applyFont="1" applyBorder="1" applyAlignment="1" applyProtection="1">
      <alignment horizontal="right"/>
      <protection locked="0"/>
    </xf>
    <xf numFmtId="0" fontId="29" fillId="0" borderId="31" xfId="0" applyFont="1" applyBorder="1" applyAlignment="1">
      <alignment horizontal="left"/>
    </xf>
    <xf numFmtId="0" fontId="0" fillId="0" borderId="25" xfId="0" applyBorder="1" applyAlignment="1"/>
    <xf numFmtId="0" fontId="29" fillId="0" borderId="32" xfId="0" applyFont="1" applyBorder="1" applyAlignment="1">
      <alignment horizontal="left"/>
    </xf>
    <xf numFmtId="0" fontId="0" fillId="0" borderId="30" xfId="0" applyBorder="1" applyAlignment="1"/>
    <xf numFmtId="0" fontId="29" fillId="0" borderId="12" xfId="0" applyFont="1" applyBorder="1" applyAlignment="1"/>
    <xf numFmtId="0" fontId="0" fillId="0" borderId="114" xfId="0" applyBorder="1" applyAlignment="1"/>
    <xf numFmtId="164" fontId="29" fillId="2" borderId="1" xfId="0" applyNumberFormat="1" applyFont="1" applyFill="1" applyBorder="1" applyAlignment="1" applyProtection="1"/>
    <xf numFmtId="0" fontId="29" fillId="0" borderId="115" xfId="0" applyFont="1" applyBorder="1" applyAlignment="1">
      <alignment horizontal="left"/>
    </xf>
    <xf numFmtId="0" fontId="0" fillId="0" borderId="113" xfId="0" applyBorder="1" applyAlignment="1"/>
    <xf numFmtId="171" fontId="50" fillId="0" borderId="0" xfId="0" applyNumberFormat="1" applyFont="1" applyBorder="1" applyAlignment="1" applyProtection="1">
      <alignment horizontal="left"/>
      <protection locked="0"/>
    </xf>
    <xf numFmtId="171" fontId="50" fillId="0" borderId="15" xfId="0" applyNumberFormat="1" applyFont="1" applyBorder="1" applyAlignment="1">
      <alignment horizontal="left"/>
    </xf>
    <xf numFmtId="49" fontId="50" fillId="0" borderId="0" xfId="0" applyNumberFormat="1" applyFont="1" applyBorder="1" applyAlignment="1" applyProtection="1">
      <protection locked="0"/>
    </xf>
    <xf numFmtId="0" fontId="50" fillId="0" borderId="15" xfId="0" applyFont="1" applyBorder="1" applyAlignment="1"/>
    <xf numFmtId="0" fontId="50" fillId="9" borderId="5" xfId="0" applyFont="1" applyFill="1" applyBorder="1" applyAlignment="1" applyProtection="1">
      <protection locked="0"/>
    </xf>
    <xf numFmtId="0" fontId="50" fillId="9" borderId="16" xfId="0" applyFont="1" applyFill="1" applyBorder="1" applyAlignment="1" applyProtection="1">
      <protection locked="0"/>
    </xf>
    <xf numFmtId="0" fontId="29" fillId="0" borderId="0" xfId="0" applyFont="1" applyBorder="1" applyAlignment="1" applyProtection="1">
      <protection locked="0"/>
    </xf>
    <xf numFmtId="0" fontId="29" fillId="0" borderId="17" xfId="0" applyFont="1" applyBorder="1" applyAlignment="1"/>
    <xf numFmtId="0" fontId="29" fillId="0" borderId="32" xfId="0" applyFont="1" applyBorder="1" applyAlignment="1"/>
    <xf numFmtId="49" fontId="60" fillId="0" borderId="5" xfId="0" applyNumberFormat="1" applyFont="1" applyBorder="1" applyAlignment="1" applyProtection="1">
      <protection locked="0"/>
    </xf>
    <xf numFmtId="0" fontId="61" fillId="0" borderId="5" xfId="0" applyFont="1" applyBorder="1" applyAlignment="1" applyProtection="1">
      <protection locked="0"/>
    </xf>
    <xf numFmtId="0" fontId="29" fillId="0" borderId="0" xfId="0" applyFont="1" applyBorder="1" applyAlignment="1" applyProtection="1">
      <alignment horizontal="left"/>
      <protection locked="0"/>
    </xf>
    <xf numFmtId="0" fontId="50" fillId="0" borderId="0" xfId="0" applyFont="1" applyBorder="1" applyAlignment="1" applyProtection="1">
      <alignment horizontal="left"/>
      <protection locked="0"/>
    </xf>
    <xf numFmtId="0" fontId="50" fillId="0" borderId="0" xfId="0" applyFont="1" applyBorder="1" applyAlignment="1" applyProtection="1">
      <protection locked="0"/>
    </xf>
    <xf numFmtId="0" fontId="29" fillId="0" borderId="5" xfId="0" applyFont="1" applyBorder="1" applyAlignment="1" applyProtection="1">
      <protection locked="0"/>
    </xf>
    <xf numFmtId="0" fontId="29" fillId="0" borderId="112" xfId="0" applyFont="1" applyBorder="1" applyAlignment="1"/>
    <xf numFmtId="0" fontId="29" fillId="0" borderId="17" xfId="0" applyFont="1" applyBorder="1" applyAlignment="1">
      <alignment horizontal="left" vertical="top" wrapText="1"/>
    </xf>
    <xf numFmtId="0" fontId="23" fillId="0" borderId="0" xfId="8" applyAlignment="1">
      <alignment horizontal="center" textRotation="75"/>
    </xf>
    <xf numFmtId="0" fontId="22" fillId="0" borderId="120" xfId="8" quotePrefix="1" applyFont="1" applyFill="1" applyBorder="1" applyAlignment="1">
      <alignment horizontal="center" textRotation="75" wrapText="1"/>
    </xf>
    <xf numFmtId="0" fontId="23" fillId="0" borderId="66" xfId="8" applyFill="1" applyBorder="1" applyAlignment="1">
      <alignment horizontal="center" textRotation="75" wrapText="1"/>
    </xf>
    <xf numFmtId="0" fontId="17" fillId="0" borderId="120" xfId="8" quotePrefix="1" applyFont="1" applyFill="1" applyBorder="1" applyAlignment="1">
      <alignment horizontal="center" textRotation="75" wrapText="1"/>
    </xf>
    <xf numFmtId="0" fontId="23" fillId="0" borderId="120" xfId="8" applyFill="1" applyBorder="1" applyAlignment="1">
      <alignment horizontal="center" textRotation="75" wrapText="1"/>
    </xf>
    <xf numFmtId="0" fontId="22" fillId="0" borderId="107" xfId="8" quotePrefix="1" applyFont="1" applyFill="1" applyBorder="1" applyAlignment="1">
      <alignment horizontal="center" textRotation="75" wrapText="1"/>
    </xf>
    <xf numFmtId="0" fontId="20" fillId="0" borderId="120" xfId="8" quotePrefix="1" applyFont="1" applyFill="1" applyBorder="1" applyAlignment="1">
      <alignment horizontal="center" textRotation="75" wrapText="1"/>
    </xf>
    <xf numFmtId="0" fontId="0" fillId="0" borderId="120" xfId="0" applyFill="1" applyBorder="1" applyAlignment="1">
      <alignment horizontal="center" textRotation="75" wrapText="1"/>
    </xf>
    <xf numFmtId="164" fontId="23" fillId="0" borderId="9" xfId="8" applyNumberFormat="1" applyBorder="1" applyAlignment="1"/>
    <xf numFmtId="164" fontId="23" fillId="0" borderId="1" xfId="8" applyNumberFormat="1" applyBorder="1" applyAlignment="1"/>
    <xf numFmtId="164" fontId="23" fillId="0" borderId="31" xfId="8" applyNumberFormat="1" applyBorder="1" applyAlignment="1"/>
    <xf numFmtId="164" fontId="23" fillId="0" borderId="104" xfId="8" applyNumberFormat="1" applyBorder="1" applyAlignment="1"/>
    <xf numFmtId="0" fontId="0" fillId="0" borderId="45" xfId="0" applyBorder="1" applyAlignment="1"/>
    <xf numFmtId="6" fontId="23" fillId="0" borderId="5" xfId="8" applyNumberFormat="1" applyBorder="1" applyAlignment="1"/>
    <xf numFmtId="0" fontId="0" fillId="0" borderId="5" xfId="0" applyBorder="1" applyAlignment="1"/>
    <xf numFmtId="164" fontId="23" fillId="0" borderId="133" xfId="8" applyNumberFormat="1" applyBorder="1" applyAlignment="1"/>
    <xf numFmtId="0" fontId="0" fillId="0" borderId="135" xfId="0" applyBorder="1" applyAlignment="1"/>
    <xf numFmtId="0" fontId="0" fillId="0" borderId="24" xfId="0" applyBorder="1" applyAlignment="1"/>
    <xf numFmtId="164" fontId="23" fillId="0" borderId="32" xfId="8" applyNumberFormat="1" applyBorder="1" applyAlignment="1"/>
    <xf numFmtId="0" fontId="0" fillId="0" borderId="128" xfId="0" applyBorder="1" applyAlignment="1"/>
    <xf numFmtId="164" fontId="23" fillId="0" borderId="5" xfId="8" applyNumberFormat="1" applyBorder="1" applyAlignment="1"/>
    <xf numFmtId="164" fontId="23" fillId="0" borderId="133" xfId="8" applyNumberFormat="1" applyBorder="1" applyAlignment="1">
      <alignment horizontal="center"/>
    </xf>
    <xf numFmtId="0" fontId="0" fillId="0" borderId="85" xfId="0" applyBorder="1" applyAlignment="1">
      <alignment horizontal="center"/>
    </xf>
    <xf numFmtId="164" fontId="23" fillId="0" borderId="31" xfId="8" applyNumberFormat="1" applyBorder="1" applyAlignment="1">
      <alignment horizontal="center"/>
    </xf>
    <xf numFmtId="0" fontId="0" fillId="0" borderId="25" xfId="0" applyBorder="1" applyAlignment="1">
      <alignment horizontal="center"/>
    </xf>
    <xf numFmtId="164" fontId="23" fillId="0" borderId="32" xfId="8" applyNumberFormat="1" applyBorder="1" applyAlignment="1">
      <alignment horizontal="center"/>
    </xf>
    <xf numFmtId="0" fontId="0" fillId="0" borderId="30" xfId="0" applyBorder="1" applyAlignment="1">
      <alignment horizontal="center"/>
    </xf>
    <xf numFmtId="0" fontId="77" fillId="0" borderId="0" xfId="0" applyFont="1" applyAlignment="1">
      <alignment horizontal="center"/>
    </xf>
    <xf numFmtId="164" fontId="0" fillId="0" borderId="31" xfId="0" applyNumberFormat="1" applyFill="1" applyBorder="1" applyAlignment="1"/>
    <xf numFmtId="0" fontId="43" fillId="0" borderId="0" xfId="4" applyAlignment="1">
      <alignment horizontal="right"/>
    </xf>
    <xf numFmtId="0" fontId="44" fillId="6" borderId="39" xfId="3" applyFont="1" applyFill="1" applyBorder="1" applyAlignment="1" applyProtection="1">
      <alignment horizontal="center"/>
    </xf>
    <xf numFmtId="0" fontId="44" fillId="6" borderId="91" xfId="3" applyFont="1" applyFill="1" applyBorder="1" applyAlignment="1" applyProtection="1">
      <alignment horizontal="center"/>
    </xf>
    <xf numFmtId="0" fontId="44" fillId="6" borderId="90" xfId="3" applyFont="1" applyFill="1" applyBorder="1" applyAlignment="1" applyProtection="1">
      <alignment horizontal="center"/>
    </xf>
    <xf numFmtId="0" fontId="49" fillId="3" borderId="31" xfId="3" applyFont="1" applyFill="1" applyBorder="1" applyAlignment="1" applyProtection="1">
      <alignment horizontal="left" vertical="center"/>
    </xf>
    <xf numFmtId="0" fontId="49" fillId="3" borderId="24" xfId="3" applyFont="1" applyFill="1" applyBorder="1" applyAlignment="1" applyProtection="1">
      <alignment horizontal="left" vertical="center"/>
    </xf>
    <xf numFmtId="0" fontId="49" fillId="3" borderId="25" xfId="3" applyFont="1" applyFill="1" applyBorder="1" applyAlignment="1" applyProtection="1">
      <alignment horizontal="left" vertical="center"/>
    </xf>
    <xf numFmtId="0" fontId="37" fillId="0" borderId="0" xfId="4" applyFont="1" applyAlignment="1"/>
    <xf numFmtId="0" fontId="78" fillId="0" borderId="0" xfId="0" applyFont="1" applyAlignment="1"/>
    <xf numFmtId="0" fontId="46" fillId="3" borderId="31" xfId="3" applyFont="1" applyFill="1" applyBorder="1" applyAlignment="1" applyProtection="1">
      <alignment horizontal="left"/>
    </xf>
    <xf numFmtId="0" fontId="0" fillId="0" borderId="24" xfId="0" applyBorder="1" applyAlignment="1">
      <alignment horizontal="left"/>
    </xf>
    <xf numFmtId="0" fontId="41" fillId="12" borderId="1" xfId="4" applyFont="1" applyFill="1" applyBorder="1" applyAlignment="1"/>
    <xf numFmtId="0" fontId="0" fillId="12" borderId="1" xfId="0" applyFill="1" applyBorder="1" applyAlignment="1"/>
    <xf numFmtId="0" fontId="41" fillId="12" borderId="31" xfId="4" applyFont="1" applyFill="1" applyBorder="1" applyAlignment="1"/>
    <xf numFmtId="0" fontId="0" fillId="12" borderId="24" xfId="0" applyFill="1" applyBorder="1" applyAlignment="1"/>
    <xf numFmtId="0" fontId="0" fillId="12" borderId="25" xfId="0" applyFill="1" applyBorder="1" applyAlignment="1"/>
    <xf numFmtId="0" fontId="41" fillId="0" borderId="28" xfId="4" applyFont="1" applyBorder="1" applyAlignment="1"/>
    <xf numFmtId="0" fontId="0" fillId="0" borderId="28" xfId="0" applyBorder="1" applyAlignment="1"/>
    <xf numFmtId="0" fontId="0" fillId="0" borderId="29" xfId="0" applyBorder="1" applyAlignment="1"/>
    <xf numFmtId="0" fontId="41" fillId="12" borderId="24" xfId="4" applyFont="1" applyFill="1" applyBorder="1" applyAlignment="1"/>
    <xf numFmtId="0" fontId="41" fillId="12" borderId="25" xfId="4" applyFont="1" applyFill="1" applyBorder="1" applyAlignment="1"/>
    <xf numFmtId="0" fontId="49" fillId="3" borderId="78" xfId="3" applyFont="1" applyFill="1" applyBorder="1" applyAlignment="1" applyProtection="1">
      <alignment horizontal="left"/>
    </xf>
    <xf numFmtId="0" fontId="46" fillId="3" borderId="95" xfId="3" applyFont="1" applyFill="1" applyBorder="1" applyAlignment="1" applyProtection="1">
      <alignment horizontal="left"/>
    </xf>
    <xf numFmtId="0" fontId="49" fillId="0" borderId="0" xfId="3" applyFont="1" applyFill="1" applyBorder="1" applyAlignment="1" applyProtection="1">
      <alignment horizontal="left"/>
    </xf>
    <xf numFmtId="0" fontId="46" fillId="0" borderId="0" xfId="3" applyFont="1" applyFill="1" applyBorder="1" applyAlignment="1" applyProtection="1">
      <alignment horizontal="left"/>
    </xf>
    <xf numFmtId="0" fontId="0" fillId="0" borderId="31" xfId="0" applyBorder="1" applyAlignment="1" applyProtection="1">
      <alignment horizontal="center"/>
      <protection locked="0"/>
    </xf>
    <xf numFmtId="0" fontId="0" fillId="0" borderId="24" xfId="0" applyBorder="1" applyAlignment="1" applyProtection="1">
      <alignment horizontal="center"/>
      <protection locked="0"/>
    </xf>
    <xf numFmtId="0" fontId="32" fillId="0" borderId="21" xfId="0" applyFont="1" applyBorder="1" applyAlignment="1">
      <alignment horizontal="center" textRotation="90" wrapText="1"/>
    </xf>
    <xf numFmtId="0" fontId="32" fillId="0" borderId="27" xfId="0" applyFont="1" applyBorder="1" applyAlignment="1">
      <alignment horizontal="center" textRotation="90" wrapText="1"/>
    </xf>
    <xf numFmtId="0" fontId="32" fillId="0" borderId="96" xfId="0" applyFont="1" applyBorder="1" applyAlignment="1">
      <alignment horizontal="center" textRotation="90" wrapText="1"/>
    </xf>
    <xf numFmtId="0" fontId="37" fillId="3" borderId="82" xfId="0" applyFont="1" applyFill="1" applyBorder="1" applyAlignment="1">
      <alignment horizontal="center" wrapText="1"/>
    </xf>
    <xf numFmtId="0" fontId="37" fillId="3" borderId="77" xfId="0" applyFont="1" applyFill="1" applyBorder="1" applyAlignment="1">
      <alignment horizontal="center"/>
    </xf>
    <xf numFmtId="0" fontId="37" fillId="3" borderId="104" xfId="0" applyFont="1" applyFill="1" applyBorder="1" applyAlignment="1">
      <alignment horizontal="left"/>
    </xf>
    <xf numFmtId="0" fontId="37" fillId="3" borderId="105" xfId="0" applyFont="1" applyFill="1" applyBorder="1" applyAlignment="1">
      <alignment horizontal="left"/>
    </xf>
    <xf numFmtId="0" fontId="37" fillId="3" borderId="45" xfId="0" applyFont="1" applyFill="1" applyBorder="1" applyAlignment="1">
      <alignment horizontal="left"/>
    </xf>
    <xf numFmtId="0" fontId="37" fillId="3" borderId="81" xfId="0" applyFont="1" applyFill="1" applyBorder="1" applyAlignment="1">
      <alignment horizontal="left"/>
    </xf>
    <xf numFmtId="0" fontId="37" fillId="3" borderId="28" xfId="0" applyFont="1" applyFill="1" applyBorder="1" applyAlignment="1">
      <alignment horizontal="left"/>
    </xf>
    <xf numFmtId="0" fontId="37" fillId="3" borderId="29" xfId="0" applyFont="1" applyFill="1" applyBorder="1" applyAlignment="1">
      <alignment horizontal="left"/>
    </xf>
    <xf numFmtId="49" fontId="0" fillId="0" borderId="28" xfId="0" applyNumberFormat="1" applyBorder="1" applyAlignment="1">
      <alignment horizontal="left"/>
    </xf>
    <xf numFmtId="0" fontId="32" fillId="7" borderId="21" xfId="0" applyFont="1" applyFill="1" applyBorder="1" applyAlignment="1">
      <alignment horizontal="center" textRotation="90" wrapText="1"/>
    </xf>
    <xf numFmtId="0" fontId="32" fillId="7" borderId="27" xfId="0" applyFont="1" applyFill="1" applyBorder="1" applyAlignment="1">
      <alignment horizontal="center" textRotation="90" wrapText="1"/>
    </xf>
    <xf numFmtId="0" fontId="32" fillId="7" borderId="96" xfId="0" applyFont="1" applyFill="1" applyBorder="1" applyAlignment="1">
      <alignment horizontal="center" textRotation="90" wrapText="1"/>
    </xf>
    <xf numFmtId="0" fontId="41" fillId="9" borderId="31" xfId="0" applyFont="1" applyFill="1" applyBorder="1" applyAlignment="1" applyProtection="1">
      <alignment horizontal="left"/>
      <protection locked="0"/>
    </xf>
    <xf numFmtId="0" fontId="41" fillId="9" borderId="24" xfId="0" applyFont="1" applyFill="1" applyBorder="1" applyAlignment="1" applyProtection="1">
      <alignment horizontal="left"/>
      <protection locked="0"/>
    </xf>
    <xf numFmtId="0" fontId="41" fillId="9" borderId="25" xfId="0" applyFont="1" applyFill="1" applyBorder="1" applyAlignment="1" applyProtection="1">
      <alignment horizontal="left"/>
      <protection locked="0"/>
    </xf>
    <xf numFmtId="0" fontId="41" fillId="0" borderId="31" xfId="0" applyFont="1" applyBorder="1" applyAlignment="1" applyProtection="1">
      <alignment horizontal="center"/>
      <protection locked="0"/>
    </xf>
    <xf numFmtId="0" fontId="41" fillId="0" borderId="24" xfId="0" applyFont="1" applyBorder="1" applyAlignment="1" applyProtection="1">
      <alignment horizontal="center"/>
      <protection locked="0"/>
    </xf>
    <xf numFmtId="0" fontId="32" fillId="7" borderId="45" xfId="0" applyFont="1" applyFill="1" applyBorder="1" applyAlignment="1">
      <alignment horizontal="center" textRotation="90" wrapText="1"/>
    </xf>
    <xf numFmtId="0" fontId="32" fillId="7" borderId="80" xfId="0" applyFont="1" applyFill="1" applyBorder="1" applyAlignment="1">
      <alignment horizontal="center" textRotation="90" wrapText="1"/>
    </xf>
    <xf numFmtId="0" fontId="32" fillId="7" borderId="106" xfId="0" applyFont="1" applyFill="1" applyBorder="1" applyAlignment="1">
      <alignment horizontal="center" textRotation="90" wrapText="1"/>
    </xf>
    <xf numFmtId="0" fontId="51" fillId="0" borderId="66" xfId="0" applyFont="1" applyFill="1" applyBorder="1" applyAlignment="1">
      <alignment horizontal="center" vertical="center"/>
    </xf>
    <xf numFmtId="0" fontId="51" fillId="0" borderId="0" xfId="0" applyFont="1" applyFill="1" applyBorder="1" applyAlignment="1">
      <alignment horizontal="center" vertical="center"/>
    </xf>
    <xf numFmtId="0" fontId="51" fillId="0" borderId="107" xfId="0" applyFont="1" applyFill="1" applyBorder="1" applyAlignment="1">
      <alignment horizontal="center" vertical="center"/>
    </xf>
    <xf numFmtId="0" fontId="51" fillId="0" borderId="66" xfId="0" applyFont="1" applyFill="1" applyBorder="1" applyAlignment="1">
      <alignment horizontal="center" vertical="center" wrapText="1"/>
    </xf>
    <xf numFmtId="0" fontId="51" fillId="0" borderId="0" xfId="0" applyFont="1" applyFill="1" applyBorder="1" applyAlignment="1">
      <alignment horizontal="center" vertical="center" wrapText="1"/>
    </xf>
    <xf numFmtId="0" fontId="51" fillId="0" borderId="107" xfId="0" applyFont="1" applyFill="1" applyBorder="1" applyAlignment="1">
      <alignment horizontal="center" vertical="center" wrapText="1"/>
    </xf>
  </cellXfs>
  <cellStyles count="11">
    <cellStyle name="Comma" xfId="10" builtinId="3"/>
    <cellStyle name="Currency" xfId="1" builtinId="4"/>
    <cellStyle name="Currency 2" xfId="6" xr:uid="{00000000-0005-0000-0000-000002000000}"/>
    <cellStyle name="Currency 3" xfId="9" xr:uid="{00000000-0005-0000-0000-000003000000}"/>
    <cellStyle name="Normal" xfId="0" builtinId="0"/>
    <cellStyle name="Normal 2" xfId="5" xr:uid="{00000000-0005-0000-0000-000005000000}"/>
    <cellStyle name="Normal 3" xfId="8" xr:uid="{00000000-0005-0000-0000-000006000000}"/>
    <cellStyle name="Normal_BLKPIPE" xfId="2" xr:uid="{00000000-0005-0000-0000-000007000000}"/>
    <cellStyle name="Normal_Est 1-Home" xfId="3" xr:uid="{00000000-0005-0000-0000-000008000000}"/>
    <cellStyle name="Normal_PIPEWORK" xfId="4" xr:uid="{00000000-0005-0000-0000-000009000000}"/>
    <cellStyle name="Percent 2" xfId="7" xr:uid="{00000000-0005-0000-0000-00000A000000}"/>
  </cellStyles>
  <dxfs count="106"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</dxfs>
  <tableStyles count="0" defaultTableStyle="TableStyleMedium9" defaultPivotStyle="PivotStyleLight16"/>
  <colors>
    <mruColors>
      <color rgb="FFFFBA75"/>
      <color rgb="FFFFCC66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ctrlProps/ctrlProp1.xml><?xml version="1.0" encoding="utf-8"?>
<formControlPr xmlns="http://schemas.microsoft.com/office/spreadsheetml/2009/9/main" objectType="CheckBox" fmlaLink="$P$29" noThreeD="1"/>
</file>

<file path=xl/ctrlProps/ctrlProp2.xml><?xml version="1.0" encoding="utf-8"?>
<formControlPr xmlns="http://schemas.microsoft.com/office/spreadsheetml/2009/9/main" objectType="CheckBox" checked="Checked" fmlaLink="$AA$113" lockText="1" noThreeD="1"/>
</file>

<file path=xl/ctrlProps/ctrlProp3.xml><?xml version="1.0" encoding="utf-8"?>
<formControlPr xmlns="http://schemas.microsoft.com/office/spreadsheetml/2009/9/main" objectType="CheckBox" fmlaLink="$AA$114" lockText="1" noThreeD="1"/>
</file>

<file path=xl/ctrlProps/ctrlProp4.xml><?xml version="1.0" encoding="utf-8"?>
<formControlPr xmlns="http://schemas.microsoft.com/office/spreadsheetml/2009/9/main" objectType="CheckBox" fmlaLink="$AA$115" lockText="1" noThreeD="1"/>
</file>

<file path=xl/ctrlProps/ctrlProp5.xml><?xml version="1.0" encoding="utf-8"?>
<formControlPr xmlns="http://schemas.microsoft.com/office/spreadsheetml/2009/9/main" objectType="CheckBox" fmlaLink="$AA$116" lockText="1" noThreeD="1"/>
</file>

<file path=xl/ctrlProps/ctrlProp6.xml><?xml version="1.0" encoding="utf-8"?>
<formControlPr xmlns="http://schemas.microsoft.com/office/spreadsheetml/2009/9/main" objectType="CheckBox" fmlaLink="$AA$117" lockText="1" noThreeD="1"/>
</file>

<file path=xl/ctrlProps/ctrlProp7.xml><?xml version="1.0" encoding="utf-8"?>
<formControlPr xmlns="http://schemas.microsoft.com/office/spreadsheetml/2009/9/main" objectType="CheckBox" fmlaLink="$AA$118" lockText="1" noThreeD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CheckBox" fmlaLink="$J$34" noThreeD="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3.emf"/><Relationship Id="rId1" Type="http://schemas.openxmlformats.org/officeDocument/2006/relationships/image" Target="../media/image4.emf"/><Relationship Id="rId4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76200</xdr:rowOff>
    </xdr:from>
    <xdr:to>
      <xdr:col>3</xdr:col>
      <xdr:colOff>335280</xdr:colOff>
      <xdr:row>6</xdr:row>
      <xdr:rowOff>53340</xdr:rowOff>
    </xdr:to>
    <xdr:cxnSp macro="">
      <xdr:nvCxnSpPr>
        <xdr:cNvPr id="7974" name="AutoShape 3">
          <a:extLst>
            <a:ext uri="{FF2B5EF4-FFF2-40B4-BE49-F238E27FC236}">
              <a16:creationId xmlns:a16="http://schemas.microsoft.com/office/drawing/2014/main" id="{00000000-0008-0000-0000-0000261F0000}"/>
            </a:ext>
          </a:extLst>
        </xdr:cNvPr>
        <xdr:cNvCxnSpPr>
          <a:cxnSpLocks noChangeShapeType="1"/>
        </xdr:cNvCxnSpPr>
      </xdr:nvCxnSpPr>
      <xdr:spPr bwMode="auto">
        <a:xfrm>
          <a:off x="3360420" y="723900"/>
          <a:ext cx="944880" cy="297180"/>
        </a:xfrm>
        <a:prstGeom prst="bentConnector3">
          <a:avLst>
            <a:gd name="adj1" fmla="val 49495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381000</xdr:colOff>
      <xdr:row>3</xdr:row>
      <xdr:rowOff>137160</xdr:rowOff>
    </xdr:from>
    <xdr:to>
      <xdr:col>3</xdr:col>
      <xdr:colOff>480060</xdr:colOff>
      <xdr:row>9</xdr:row>
      <xdr:rowOff>0</xdr:rowOff>
    </xdr:to>
    <xdr:sp macro="" textlink="">
      <xdr:nvSpPr>
        <xdr:cNvPr id="7975" name="AutoShape 9">
          <a:extLst>
            <a:ext uri="{FF2B5EF4-FFF2-40B4-BE49-F238E27FC236}">
              <a16:creationId xmlns:a16="http://schemas.microsoft.com/office/drawing/2014/main" id="{00000000-0008-0000-0000-0000271F0000}"/>
            </a:ext>
          </a:extLst>
        </xdr:cNvPr>
        <xdr:cNvSpPr>
          <a:spLocks/>
        </xdr:cNvSpPr>
      </xdr:nvSpPr>
      <xdr:spPr bwMode="auto">
        <a:xfrm>
          <a:off x="4351020" y="617220"/>
          <a:ext cx="99060" cy="830580"/>
        </a:xfrm>
        <a:prstGeom prst="leftBrace">
          <a:avLst>
            <a:gd name="adj1" fmla="val 69872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30480</xdr:colOff>
      <xdr:row>34</xdr:row>
      <xdr:rowOff>106680</xdr:rowOff>
    </xdr:from>
    <xdr:to>
      <xdr:col>3</xdr:col>
      <xdr:colOff>365760</xdr:colOff>
      <xdr:row>36</xdr:row>
      <xdr:rowOff>83820</xdr:rowOff>
    </xdr:to>
    <xdr:cxnSp macro="">
      <xdr:nvCxnSpPr>
        <xdr:cNvPr id="7976" name="AutoShape 3">
          <a:extLst>
            <a:ext uri="{FF2B5EF4-FFF2-40B4-BE49-F238E27FC236}">
              <a16:creationId xmlns:a16="http://schemas.microsoft.com/office/drawing/2014/main" id="{00000000-0008-0000-0000-0000281F0000}"/>
            </a:ext>
          </a:extLst>
        </xdr:cNvPr>
        <xdr:cNvCxnSpPr>
          <a:cxnSpLocks noChangeShapeType="1"/>
        </xdr:cNvCxnSpPr>
      </xdr:nvCxnSpPr>
      <xdr:spPr bwMode="auto">
        <a:xfrm>
          <a:off x="3390900" y="5570220"/>
          <a:ext cx="944880" cy="297180"/>
        </a:xfrm>
        <a:prstGeom prst="bentConnector3">
          <a:avLst>
            <a:gd name="adj1" fmla="val 49495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381000</xdr:colOff>
      <xdr:row>33</xdr:row>
      <xdr:rowOff>137160</xdr:rowOff>
    </xdr:from>
    <xdr:to>
      <xdr:col>3</xdr:col>
      <xdr:colOff>480060</xdr:colOff>
      <xdr:row>39</xdr:row>
      <xdr:rowOff>0</xdr:rowOff>
    </xdr:to>
    <xdr:sp macro="" textlink="">
      <xdr:nvSpPr>
        <xdr:cNvPr id="7977" name="AutoShape 9">
          <a:extLst>
            <a:ext uri="{FF2B5EF4-FFF2-40B4-BE49-F238E27FC236}">
              <a16:creationId xmlns:a16="http://schemas.microsoft.com/office/drawing/2014/main" id="{00000000-0008-0000-0000-0000291F0000}"/>
            </a:ext>
          </a:extLst>
        </xdr:cNvPr>
        <xdr:cNvSpPr>
          <a:spLocks/>
        </xdr:cNvSpPr>
      </xdr:nvSpPr>
      <xdr:spPr bwMode="auto">
        <a:xfrm>
          <a:off x="4351020" y="5433060"/>
          <a:ext cx="99060" cy="830580"/>
        </a:xfrm>
        <a:prstGeom prst="leftBrace">
          <a:avLst>
            <a:gd name="adj1" fmla="val 69872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30480</xdr:colOff>
      <xdr:row>44</xdr:row>
      <xdr:rowOff>106680</xdr:rowOff>
    </xdr:from>
    <xdr:to>
      <xdr:col>3</xdr:col>
      <xdr:colOff>365760</xdr:colOff>
      <xdr:row>46</xdr:row>
      <xdr:rowOff>83820</xdr:rowOff>
    </xdr:to>
    <xdr:cxnSp macro="">
      <xdr:nvCxnSpPr>
        <xdr:cNvPr id="7978" name="AutoShape 3">
          <a:extLst>
            <a:ext uri="{FF2B5EF4-FFF2-40B4-BE49-F238E27FC236}">
              <a16:creationId xmlns:a16="http://schemas.microsoft.com/office/drawing/2014/main" id="{00000000-0008-0000-0000-00002A1F0000}"/>
            </a:ext>
          </a:extLst>
        </xdr:cNvPr>
        <xdr:cNvCxnSpPr>
          <a:cxnSpLocks noChangeShapeType="1"/>
        </xdr:cNvCxnSpPr>
      </xdr:nvCxnSpPr>
      <xdr:spPr bwMode="auto">
        <a:xfrm>
          <a:off x="3390900" y="7178040"/>
          <a:ext cx="944880" cy="297180"/>
        </a:xfrm>
        <a:prstGeom prst="bentConnector3">
          <a:avLst>
            <a:gd name="adj1" fmla="val 49495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381000</xdr:colOff>
      <xdr:row>43</xdr:row>
      <xdr:rowOff>137160</xdr:rowOff>
    </xdr:from>
    <xdr:to>
      <xdr:col>3</xdr:col>
      <xdr:colOff>480060</xdr:colOff>
      <xdr:row>49</xdr:row>
      <xdr:rowOff>0</xdr:rowOff>
    </xdr:to>
    <xdr:sp macro="" textlink="">
      <xdr:nvSpPr>
        <xdr:cNvPr id="7979" name="AutoShape 9">
          <a:extLst>
            <a:ext uri="{FF2B5EF4-FFF2-40B4-BE49-F238E27FC236}">
              <a16:creationId xmlns:a16="http://schemas.microsoft.com/office/drawing/2014/main" id="{00000000-0008-0000-0000-00002B1F0000}"/>
            </a:ext>
          </a:extLst>
        </xdr:cNvPr>
        <xdr:cNvSpPr>
          <a:spLocks/>
        </xdr:cNvSpPr>
      </xdr:nvSpPr>
      <xdr:spPr bwMode="auto">
        <a:xfrm>
          <a:off x="4351020" y="7040880"/>
          <a:ext cx="99060" cy="830580"/>
        </a:xfrm>
        <a:prstGeom prst="leftBrace">
          <a:avLst>
            <a:gd name="adj1" fmla="val 69872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7620</xdr:rowOff>
        </xdr:from>
        <xdr:to>
          <xdr:col>0</xdr:col>
          <xdr:colOff>2240280</xdr:colOff>
          <xdr:row>2</xdr:row>
          <xdr:rowOff>0</xdr:rowOff>
        </xdr:to>
        <xdr:sp macro="" textlink="">
          <xdr:nvSpPr>
            <xdr:cNvPr id="7169" name="cmdCloseAdmin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0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7620</xdr:rowOff>
        </xdr:from>
        <xdr:to>
          <xdr:col>3</xdr:col>
          <xdr:colOff>0</xdr:colOff>
          <xdr:row>2</xdr:row>
          <xdr:rowOff>0</xdr:rowOff>
        </xdr:to>
        <xdr:sp macro="" textlink="">
          <xdr:nvSpPr>
            <xdr:cNvPr id="7170" name="cmdUnlock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0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5</xdr:col>
          <xdr:colOff>236220</xdr:colOff>
          <xdr:row>2</xdr:row>
          <xdr:rowOff>0</xdr:rowOff>
        </xdr:to>
        <xdr:sp macro="" textlink="">
          <xdr:nvSpPr>
            <xdr:cNvPr id="7178" name="cmdUnProtectAll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00000000-0008-0000-00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0</xdr:row>
          <xdr:rowOff>0</xdr:rowOff>
        </xdr:from>
        <xdr:to>
          <xdr:col>8</xdr:col>
          <xdr:colOff>579120</xdr:colOff>
          <xdr:row>2</xdr:row>
          <xdr:rowOff>0</xdr:rowOff>
        </xdr:to>
        <xdr:sp macro="" textlink="">
          <xdr:nvSpPr>
            <xdr:cNvPr id="7179" name="cmdProtectAll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id="{00000000-0008-0000-0000-00000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64</xdr:row>
          <xdr:rowOff>0</xdr:rowOff>
        </xdr:from>
        <xdr:to>
          <xdr:col>4</xdr:col>
          <xdr:colOff>670560</xdr:colOff>
          <xdr:row>66</xdr:row>
          <xdr:rowOff>30480</xdr:rowOff>
        </xdr:to>
        <xdr:sp macro="" textlink="">
          <xdr:nvSpPr>
            <xdr:cNvPr id="6147" name="cmdOpenAdmin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68580</xdr:colOff>
          <xdr:row>42</xdr:row>
          <xdr:rowOff>137160</xdr:rowOff>
        </xdr:from>
        <xdr:to>
          <xdr:col>9</xdr:col>
          <xdr:colOff>289560</xdr:colOff>
          <xdr:row>44</xdr:row>
          <xdr:rowOff>30480</xdr:rowOff>
        </xdr:to>
        <xdr:sp macro="" textlink="">
          <xdr:nvSpPr>
            <xdr:cNvPr id="6333" name="Check Box 189" hidden="1">
              <a:extLst>
                <a:ext uri="{63B3BB69-23CF-44E3-9099-C40C66FF867C}">
                  <a14:compatExt spid="_x0000_s6333"/>
                </a:ext>
                <a:ext uri="{FF2B5EF4-FFF2-40B4-BE49-F238E27FC236}">
                  <a16:creationId xmlns:a16="http://schemas.microsoft.com/office/drawing/2014/main" id="{00000000-0008-0000-0100-0000B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YES</a:t>
              </a:r>
            </a:p>
          </xdr:txBody>
        </xdr:sp>
        <xdr:clientData fLock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45720</xdr:colOff>
          <xdr:row>112</xdr:row>
          <xdr:rowOff>22860</xdr:rowOff>
        </xdr:from>
        <xdr:to>
          <xdr:col>15</xdr:col>
          <xdr:colOff>274320</xdr:colOff>
          <xdr:row>112</xdr:row>
          <xdr:rowOff>175260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2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45720</xdr:colOff>
          <xdr:row>113</xdr:row>
          <xdr:rowOff>22860</xdr:rowOff>
        </xdr:from>
        <xdr:to>
          <xdr:col>15</xdr:col>
          <xdr:colOff>274320</xdr:colOff>
          <xdr:row>113</xdr:row>
          <xdr:rowOff>175260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2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45720</xdr:colOff>
          <xdr:row>114</xdr:row>
          <xdr:rowOff>22860</xdr:rowOff>
        </xdr:from>
        <xdr:to>
          <xdr:col>15</xdr:col>
          <xdr:colOff>274320</xdr:colOff>
          <xdr:row>114</xdr:row>
          <xdr:rowOff>175260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00000000-0008-0000-02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45720</xdr:colOff>
          <xdr:row>115</xdr:row>
          <xdr:rowOff>22860</xdr:rowOff>
        </xdr:from>
        <xdr:to>
          <xdr:col>15</xdr:col>
          <xdr:colOff>274320</xdr:colOff>
          <xdr:row>115</xdr:row>
          <xdr:rowOff>175260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2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45720</xdr:colOff>
          <xdr:row>116</xdr:row>
          <xdr:rowOff>22860</xdr:rowOff>
        </xdr:from>
        <xdr:to>
          <xdr:col>15</xdr:col>
          <xdr:colOff>274320</xdr:colOff>
          <xdr:row>116</xdr:row>
          <xdr:rowOff>175260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2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45720</xdr:colOff>
          <xdr:row>117</xdr:row>
          <xdr:rowOff>22860</xdr:rowOff>
        </xdr:from>
        <xdr:to>
          <xdr:col>15</xdr:col>
          <xdr:colOff>274320</xdr:colOff>
          <xdr:row>117</xdr:row>
          <xdr:rowOff>175260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2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48</xdr:row>
          <xdr:rowOff>7620</xdr:rowOff>
        </xdr:from>
        <xdr:to>
          <xdr:col>4</xdr:col>
          <xdr:colOff>838200</xdr:colOff>
          <xdr:row>48</xdr:row>
          <xdr:rowOff>198120</xdr:rowOff>
        </xdr:to>
        <xdr:sp macro="" textlink="">
          <xdr:nvSpPr>
            <xdr:cNvPr id="2315" name="BothLinesChk" hidden="1">
              <a:extLst>
                <a:ext uri="{63B3BB69-23CF-44E3-9099-C40C66FF867C}">
                  <a14:compatExt spid="_x0000_s2315"/>
                </a:ext>
                <a:ext uri="{FF2B5EF4-FFF2-40B4-BE49-F238E27FC236}">
                  <a16:creationId xmlns:a16="http://schemas.microsoft.com/office/drawing/2014/main" id="{00000000-0008-0000-0400-00000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</xdr:colOff>
      <xdr:row>59</xdr:row>
      <xdr:rowOff>91440</xdr:rowOff>
    </xdr:from>
    <xdr:to>
      <xdr:col>6</xdr:col>
      <xdr:colOff>647700</xdr:colOff>
      <xdr:row>59</xdr:row>
      <xdr:rowOff>91440</xdr:rowOff>
    </xdr:to>
    <xdr:sp macro="" textlink="">
      <xdr:nvSpPr>
        <xdr:cNvPr id="3757" name="Line 25">
          <a:extLst>
            <a:ext uri="{FF2B5EF4-FFF2-40B4-BE49-F238E27FC236}">
              <a16:creationId xmlns:a16="http://schemas.microsoft.com/office/drawing/2014/main" id="{00000000-0008-0000-0700-0000AD0E0000}"/>
            </a:ext>
          </a:extLst>
        </xdr:cNvPr>
        <xdr:cNvSpPr>
          <a:spLocks noChangeShapeType="1"/>
        </xdr:cNvSpPr>
      </xdr:nvSpPr>
      <xdr:spPr bwMode="auto">
        <a:xfrm>
          <a:off x="4572000" y="1015746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76200</xdr:colOff>
      <xdr:row>60</xdr:row>
      <xdr:rowOff>114300</xdr:rowOff>
    </xdr:from>
    <xdr:to>
      <xdr:col>6</xdr:col>
      <xdr:colOff>662940</xdr:colOff>
      <xdr:row>60</xdr:row>
      <xdr:rowOff>114300</xdr:rowOff>
    </xdr:to>
    <xdr:sp macro="" textlink="">
      <xdr:nvSpPr>
        <xdr:cNvPr id="3758" name="Line 26">
          <a:extLst>
            <a:ext uri="{FF2B5EF4-FFF2-40B4-BE49-F238E27FC236}">
              <a16:creationId xmlns:a16="http://schemas.microsoft.com/office/drawing/2014/main" id="{00000000-0008-0000-0700-0000AE0E0000}"/>
            </a:ext>
          </a:extLst>
        </xdr:cNvPr>
        <xdr:cNvSpPr>
          <a:spLocks noChangeShapeType="1"/>
        </xdr:cNvSpPr>
      </xdr:nvSpPr>
      <xdr:spPr bwMode="auto">
        <a:xfrm>
          <a:off x="4587240" y="1035558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76200</xdr:colOff>
      <xdr:row>61</xdr:row>
      <xdr:rowOff>99060</xdr:rowOff>
    </xdr:from>
    <xdr:to>
      <xdr:col>6</xdr:col>
      <xdr:colOff>662940</xdr:colOff>
      <xdr:row>61</xdr:row>
      <xdr:rowOff>99060</xdr:rowOff>
    </xdr:to>
    <xdr:sp macro="" textlink="">
      <xdr:nvSpPr>
        <xdr:cNvPr id="3759" name="Line 27">
          <a:extLst>
            <a:ext uri="{FF2B5EF4-FFF2-40B4-BE49-F238E27FC236}">
              <a16:creationId xmlns:a16="http://schemas.microsoft.com/office/drawing/2014/main" id="{00000000-0008-0000-0700-0000AF0E0000}"/>
            </a:ext>
          </a:extLst>
        </xdr:cNvPr>
        <xdr:cNvSpPr>
          <a:spLocks noChangeShapeType="1"/>
        </xdr:cNvSpPr>
      </xdr:nvSpPr>
      <xdr:spPr bwMode="auto">
        <a:xfrm>
          <a:off x="4587240" y="1051560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30480</xdr:colOff>
      <xdr:row>119</xdr:row>
      <xdr:rowOff>76200</xdr:rowOff>
    </xdr:from>
    <xdr:to>
      <xdr:col>10</xdr:col>
      <xdr:colOff>617220</xdr:colOff>
      <xdr:row>119</xdr:row>
      <xdr:rowOff>76200</xdr:rowOff>
    </xdr:to>
    <xdr:sp macro="" textlink="">
      <xdr:nvSpPr>
        <xdr:cNvPr id="3760" name="Line 28">
          <a:extLst>
            <a:ext uri="{FF2B5EF4-FFF2-40B4-BE49-F238E27FC236}">
              <a16:creationId xmlns:a16="http://schemas.microsoft.com/office/drawing/2014/main" id="{00000000-0008-0000-0700-0000B00E0000}"/>
            </a:ext>
          </a:extLst>
        </xdr:cNvPr>
        <xdr:cNvSpPr>
          <a:spLocks noChangeShapeType="1"/>
        </xdr:cNvSpPr>
      </xdr:nvSpPr>
      <xdr:spPr bwMode="auto">
        <a:xfrm>
          <a:off x="7452360" y="2023872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548640</xdr:colOff>
      <xdr:row>58</xdr:row>
      <xdr:rowOff>91440</xdr:rowOff>
    </xdr:from>
    <xdr:to>
      <xdr:col>7</xdr:col>
      <xdr:colOff>0</xdr:colOff>
      <xdr:row>59</xdr:row>
      <xdr:rowOff>7620</xdr:rowOff>
    </xdr:to>
    <xdr:sp macro="" textlink="">
      <xdr:nvSpPr>
        <xdr:cNvPr id="3761" name="Line 29">
          <a:extLst>
            <a:ext uri="{FF2B5EF4-FFF2-40B4-BE49-F238E27FC236}">
              <a16:creationId xmlns:a16="http://schemas.microsoft.com/office/drawing/2014/main" id="{00000000-0008-0000-0700-0000B10E0000}"/>
            </a:ext>
          </a:extLst>
        </xdr:cNvPr>
        <xdr:cNvSpPr>
          <a:spLocks noChangeShapeType="1"/>
        </xdr:cNvSpPr>
      </xdr:nvSpPr>
      <xdr:spPr bwMode="auto">
        <a:xfrm>
          <a:off x="2758440" y="9982200"/>
          <a:ext cx="2514600" cy="914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</xdr:colOff>
      <xdr:row>59</xdr:row>
      <xdr:rowOff>91440</xdr:rowOff>
    </xdr:from>
    <xdr:to>
      <xdr:col>6</xdr:col>
      <xdr:colOff>647700</xdr:colOff>
      <xdr:row>59</xdr:row>
      <xdr:rowOff>91440</xdr:rowOff>
    </xdr:to>
    <xdr:sp macro="" textlink="">
      <xdr:nvSpPr>
        <xdr:cNvPr id="32758" name="Line 2">
          <a:extLst>
            <a:ext uri="{FF2B5EF4-FFF2-40B4-BE49-F238E27FC236}">
              <a16:creationId xmlns:a16="http://schemas.microsoft.com/office/drawing/2014/main" id="{00000000-0008-0000-0800-0000F67F0000}"/>
            </a:ext>
          </a:extLst>
        </xdr:cNvPr>
        <xdr:cNvSpPr>
          <a:spLocks noChangeShapeType="1"/>
        </xdr:cNvSpPr>
      </xdr:nvSpPr>
      <xdr:spPr bwMode="auto">
        <a:xfrm>
          <a:off x="4572000" y="1015746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76200</xdr:colOff>
      <xdr:row>60</xdr:row>
      <xdr:rowOff>114300</xdr:rowOff>
    </xdr:from>
    <xdr:to>
      <xdr:col>6</xdr:col>
      <xdr:colOff>662940</xdr:colOff>
      <xdr:row>60</xdr:row>
      <xdr:rowOff>114300</xdr:rowOff>
    </xdr:to>
    <xdr:sp macro="" textlink="">
      <xdr:nvSpPr>
        <xdr:cNvPr id="32759" name="Line 3">
          <a:extLst>
            <a:ext uri="{FF2B5EF4-FFF2-40B4-BE49-F238E27FC236}">
              <a16:creationId xmlns:a16="http://schemas.microsoft.com/office/drawing/2014/main" id="{00000000-0008-0000-0800-0000F77F0000}"/>
            </a:ext>
          </a:extLst>
        </xdr:cNvPr>
        <xdr:cNvSpPr>
          <a:spLocks noChangeShapeType="1"/>
        </xdr:cNvSpPr>
      </xdr:nvSpPr>
      <xdr:spPr bwMode="auto">
        <a:xfrm>
          <a:off x="4587240" y="1035558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76200</xdr:colOff>
      <xdr:row>61</xdr:row>
      <xdr:rowOff>99060</xdr:rowOff>
    </xdr:from>
    <xdr:to>
      <xdr:col>6</xdr:col>
      <xdr:colOff>662940</xdr:colOff>
      <xdr:row>61</xdr:row>
      <xdr:rowOff>99060</xdr:rowOff>
    </xdr:to>
    <xdr:sp macro="" textlink="">
      <xdr:nvSpPr>
        <xdr:cNvPr id="32760" name="Line 4">
          <a:extLst>
            <a:ext uri="{FF2B5EF4-FFF2-40B4-BE49-F238E27FC236}">
              <a16:creationId xmlns:a16="http://schemas.microsoft.com/office/drawing/2014/main" id="{00000000-0008-0000-0800-0000F87F0000}"/>
            </a:ext>
          </a:extLst>
        </xdr:cNvPr>
        <xdr:cNvSpPr>
          <a:spLocks noChangeShapeType="1"/>
        </xdr:cNvSpPr>
      </xdr:nvSpPr>
      <xdr:spPr bwMode="auto">
        <a:xfrm>
          <a:off x="4587240" y="1051560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548640</xdr:colOff>
      <xdr:row>58</xdr:row>
      <xdr:rowOff>91440</xdr:rowOff>
    </xdr:from>
    <xdr:to>
      <xdr:col>7</xdr:col>
      <xdr:colOff>0</xdr:colOff>
      <xdr:row>59</xdr:row>
      <xdr:rowOff>7620</xdr:rowOff>
    </xdr:to>
    <xdr:sp macro="" textlink="">
      <xdr:nvSpPr>
        <xdr:cNvPr id="32761" name="Line 5">
          <a:extLst>
            <a:ext uri="{FF2B5EF4-FFF2-40B4-BE49-F238E27FC236}">
              <a16:creationId xmlns:a16="http://schemas.microsoft.com/office/drawing/2014/main" id="{00000000-0008-0000-0800-0000F97F0000}"/>
            </a:ext>
          </a:extLst>
        </xdr:cNvPr>
        <xdr:cNvSpPr>
          <a:spLocks noChangeShapeType="1"/>
        </xdr:cNvSpPr>
      </xdr:nvSpPr>
      <xdr:spPr bwMode="auto">
        <a:xfrm>
          <a:off x="2758440" y="9982200"/>
          <a:ext cx="2514600" cy="914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60960</xdr:colOff>
      <xdr:row>59</xdr:row>
      <xdr:rowOff>91440</xdr:rowOff>
    </xdr:from>
    <xdr:to>
      <xdr:col>22</xdr:col>
      <xdr:colOff>647700</xdr:colOff>
      <xdr:row>59</xdr:row>
      <xdr:rowOff>91440</xdr:rowOff>
    </xdr:to>
    <xdr:sp macro="" textlink="">
      <xdr:nvSpPr>
        <xdr:cNvPr id="32762" name="Line 10">
          <a:extLst>
            <a:ext uri="{FF2B5EF4-FFF2-40B4-BE49-F238E27FC236}">
              <a16:creationId xmlns:a16="http://schemas.microsoft.com/office/drawing/2014/main" id="{00000000-0008-0000-0800-0000FA7F0000}"/>
            </a:ext>
          </a:extLst>
        </xdr:cNvPr>
        <xdr:cNvSpPr>
          <a:spLocks noChangeShapeType="1"/>
        </xdr:cNvSpPr>
      </xdr:nvSpPr>
      <xdr:spPr bwMode="auto">
        <a:xfrm>
          <a:off x="15621000" y="1015746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76200</xdr:colOff>
      <xdr:row>60</xdr:row>
      <xdr:rowOff>114300</xdr:rowOff>
    </xdr:from>
    <xdr:to>
      <xdr:col>22</xdr:col>
      <xdr:colOff>662940</xdr:colOff>
      <xdr:row>60</xdr:row>
      <xdr:rowOff>114300</xdr:rowOff>
    </xdr:to>
    <xdr:sp macro="" textlink="">
      <xdr:nvSpPr>
        <xdr:cNvPr id="32763" name="Line 11">
          <a:extLst>
            <a:ext uri="{FF2B5EF4-FFF2-40B4-BE49-F238E27FC236}">
              <a16:creationId xmlns:a16="http://schemas.microsoft.com/office/drawing/2014/main" id="{00000000-0008-0000-0800-0000FB7F0000}"/>
            </a:ext>
          </a:extLst>
        </xdr:cNvPr>
        <xdr:cNvSpPr>
          <a:spLocks noChangeShapeType="1"/>
        </xdr:cNvSpPr>
      </xdr:nvSpPr>
      <xdr:spPr bwMode="auto">
        <a:xfrm>
          <a:off x="15636240" y="1035558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76200</xdr:colOff>
      <xdr:row>61</xdr:row>
      <xdr:rowOff>99060</xdr:rowOff>
    </xdr:from>
    <xdr:to>
      <xdr:col>22</xdr:col>
      <xdr:colOff>662940</xdr:colOff>
      <xdr:row>61</xdr:row>
      <xdr:rowOff>99060</xdr:rowOff>
    </xdr:to>
    <xdr:sp macro="" textlink="">
      <xdr:nvSpPr>
        <xdr:cNvPr id="32764" name="Line 12">
          <a:extLst>
            <a:ext uri="{FF2B5EF4-FFF2-40B4-BE49-F238E27FC236}">
              <a16:creationId xmlns:a16="http://schemas.microsoft.com/office/drawing/2014/main" id="{00000000-0008-0000-0800-0000FC7F0000}"/>
            </a:ext>
          </a:extLst>
        </xdr:cNvPr>
        <xdr:cNvSpPr>
          <a:spLocks noChangeShapeType="1"/>
        </xdr:cNvSpPr>
      </xdr:nvSpPr>
      <xdr:spPr bwMode="auto">
        <a:xfrm>
          <a:off x="15636240" y="1051560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548640</xdr:colOff>
      <xdr:row>58</xdr:row>
      <xdr:rowOff>91440</xdr:rowOff>
    </xdr:from>
    <xdr:to>
      <xdr:col>23</xdr:col>
      <xdr:colOff>0</xdr:colOff>
      <xdr:row>59</xdr:row>
      <xdr:rowOff>7620</xdr:rowOff>
    </xdr:to>
    <xdr:sp macro="" textlink="">
      <xdr:nvSpPr>
        <xdr:cNvPr id="32765" name="Line 13">
          <a:extLst>
            <a:ext uri="{FF2B5EF4-FFF2-40B4-BE49-F238E27FC236}">
              <a16:creationId xmlns:a16="http://schemas.microsoft.com/office/drawing/2014/main" id="{00000000-0008-0000-0800-0000FD7F0000}"/>
            </a:ext>
          </a:extLst>
        </xdr:cNvPr>
        <xdr:cNvSpPr>
          <a:spLocks noChangeShapeType="1"/>
        </xdr:cNvSpPr>
      </xdr:nvSpPr>
      <xdr:spPr bwMode="auto">
        <a:xfrm>
          <a:off x="14074140" y="9982200"/>
          <a:ext cx="2164080" cy="914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30</xdr:col>
      <xdr:colOff>60960</xdr:colOff>
      <xdr:row>59</xdr:row>
      <xdr:rowOff>91440</xdr:rowOff>
    </xdr:from>
    <xdr:to>
      <xdr:col>30</xdr:col>
      <xdr:colOff>647700</xdr:colOff>
      <xdr:row>59</xdr:row>
      <xdr:rowOff>91440</xdr:rowOff>
    </xdr:to>
    <xdr:sp macro="" textlink="">
      <xdr:nvSpPr>
        <xdr:cNvPr id="32766" name="Line 14">
          <a:extLst>
            <a:ext uri="{FF2B5EF4-FFF2-40B4-BE49-F238E27FC236}">
              <a16:creationId xmlns:a16="http://schemas.microsoft.com/office/drawing/2014/main" id="{00000000-0008-0000-0800-0000FE7F0000}"/>
            </a:ext>
          </a:extLst>
        </xdr:cNvPr>
        <xdr:cNvSpPr>
          <a:spLocks noChangeShapeType="1"/>
        </xdr:cNvSpPr>
      </xdr:nvSpPr>
      <xdr:spPr bwMode="auto">
        <a:xfrm>
          <a:off x="21046440" y="1015746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30</xdr:col>
      <xdr:colOff>76200</xdr:colOff>
      <xdr:row>60</xdr:row>
      <xdr:rowOff>114300</xdr:rowOff>
    </xdr:from>
    <xdr:to>
      <xdr:col>30</xdr:col>
      <xdr:colOff>662940</xdr:colOff>
      <xdr:row>60</xdr:row>
      <xdr:rowOff>114300</xdr:rowOff>
    </xdr:to>
    <xdr:sp macro="" textlink="">
      <xdr:nvSpPr>
        <xdr:cNvPr id="32767" name="Line 15">
          <a:extLst>
            <a:ext uri="{FF2B5EF4-FFF2-40B4-BE49-F238E27FC236}">
              <a16:creationId xmlns:a16="http://schemas.microsoft.com/office/drawing/2014/main" id="{00000000-0008-0000-0800-0000FF7F0000}"/>
            </a:ext>
          </a:extLst>
        </xdr:cNvPr>
        <xdr:cNvSpPr>
          <a:spLocks noChangeShapeType="1"/>
        </xdr:cNvSpPr>
      </xdr:nvSpPr>
      <xdr:spPr bwMode="auto">
        <a:xfrm>
          <a:off x="21061680" y="1035558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30</xdr:col>
      <xdr:colOff>76200</xdr:colOff>
      <xdr:row>61</xdr:row>
      <xdr:rowOff>99060</xdr:rowOff>
    </xdr:from>
    <xdr:to>
      <xdr:col>30</xdr:col>
      <xdr:colOff>662940</xdr:colOff>
      <xdr:row>61</xdr:row>
      <xdr:rowOff>99060</xdr:rowOff>
    </xdr:to>
    <xdr:sp macro="" textlink="">
      <xdr:nvSpPr>
        <xdr:cNvPr id="32768" name="Line 16">
          <a:extLst>
            <a:ext uri="{FF2B5EF4-FFF2-40B4-BE49-F238E27FC236}">
              <a16:creationId xmlns:a16="http://schemas.microsoft.com/office/drawing/2014/main" id="{00000000-0008-0000-0800-000000800000}"/>
            </a:ext>
          </a:extLst>
        </xdr:cNvPr>
        <xdr:cNvSpPr>
          <a:spLocks noChangeShapeType="1"/>
        </xdr:cNvSpPr>
      </xdr:nvSpPr>
      <xdr:spPr bwMode="auto">
        <a:xfrm>
          <a:off x="21061680" y="1051560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548640</xdr:colOff>
      <xdr:row>58</xdr:row>
      <xdr:rowOff>91440</xdr:rowOff>
    </xdr:from>
    <xdr:to>
      <xdr:col>31</xdr:col>
      <xdr:colOff>0</xdr:colOff>
      <xdr:row>59</xdr:row>
      <xdr:rowOff>7620</xdr:rowOff>
    </xdr:to>
    <xdr:sp macro="" textlink="">
      <xdr:nvSpPr>
        <xdr:cNvPr id="32769" name="Line 17">
          <a:extLst>
            <a:ext uri="{FF2B5EF4-FFF2-40B4-BE49-F238E27FC236}">
              <a16:creationId xmlns:a16="http://schemas.microsoft.com/office/drawing/2014/main" id="{00000000-0008-0000-0800-000001800000}"/>
            </a:ext>
          </a:extLst>
        </xdr:cNvPr>
        <xdr:cNvSpPr>
          <a:spLocks noChangeShapeType="1"/>
        </xdr:cNvSpPr>
      </xdr:nvSpPr>
      <xdr:spPr bwMode="auto">
        <a:xfrm>
          <a:off x="19499580" y="9982200"/>
          <a:ext cx="2164080" cy="914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60960</xdr:colOff>
      <xdr:row>59</xdr:row>
      <xdr:rowOff>91440</xdr:rowOff>
    </xdr:from>
    <xdr:to>
      <xdr:col>38</xdr:col>
      <xdr:colOff>647700</xdr:colOff>
      <xdr:row>59</xdr:row>
      <xdr:rowOff>91440</xdr:rowOff>
    </xdr:to>
    <xdr:sp macro="" textlink="">
      <xdr:nvSpPr>
        <xdr:cNvPr id="32770" name="Line 18">
          <a:extLst>
            <a:ext uri="{FF2B5EF4-FFF2-40B4-BE49-F238E27FC236}">
              <a16:creationId xmlns:a16="http://schemas.microsoft.com/office/drawing/2014/main" id="{00000000-0008-0000-0800-000002800000}"/>
            </a:ext>
          </a:extLst>
        </xdr:cNvPr>
        <xdr:cNvSpPr>
          <a:spLocks noChangeShapeType="1"/>
        </xdr:cNvSpPr>
      </xdr:nvSpPr>
      <xdr:spPr bwMode="auto">
        <a:xfrm>
          <a:off x="26471880" y="1015746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76200</xdr:colOff>
      <xdr:row>60</xdr:row>
      <xdr:rowOff>114300</xdr:rowOff>
    </xdr:from>
    <xdr:to>
      <xdr:col>38</xdr:col>
      <xdr:colOff>662940</xdr:colOff>
      <xdr:row>60</xdr:row>
      <xdr:rowOff>114300</xdr:rowOff>
    </xdr:to>
    <xdr:sp macro="" textlink="">
      <xdr:nvSpPr>
        <xdr:cNvPr id="32771" name="Line 19">
          <a:extLst>
            <a:ext uri="{FF2B5EF4-FFF2-40B4-BE49-F238E27FC236}">
              <a16:creationId xmlns:a16="http://schemas.microsoft.com/office/drawing/2014/main" id="{00000000-0008-0000-0800-000003800000}"/>
            </a:ext>
          </a:extLst>
        </xdr:cNvPr>
        <xdr:cNvSpPr>
          <a:spLocks noChangeShapeType="1"/>
        </xdr:cNvSpPr>
      </xdr:nvSpPr>
      <xdr:spPr bwMode="auto">
        <a:xfrm>
          <a:off x="26487120" y="1035558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76200</xdr:colOff>
      <xdr:row>61</xdr:row>
      <xdr:rowOff>99060</xdr:rowOff>
    </xdr:from>
    <xdr:to>
      <xdr:col>38</xdr:col>
      <xdr:colOff>662940</xdr:colOff>
      <xdr:row>61</xdr:row>
      <xdr:rowOff>99060</xdr:rowOff>
    </xdr:to>
    <xdr:sp macro="" textlink="">
      <xdr:nvSpPr>
        <xdr:cNvPr id="32772" name="Line 20">
          <a:extLst>
            <a:ext uri="{FF2B5EF4-FFF2-40B4-BE49-F238E27FC236}">
              <a16:creationId xmlns:a16="http://schemas.microsoft.com/office/drawing/2014/main" id="{00000000-0008-0000-0800-000004800000}"/>
            </a:ext>
          </a:extLst>
        </xdr:cNvPr>
        <xdr:cNvSpPr>
          <a:spLocks noChangeShapeType="1"/>
        </xdr:cNvSpPr>
      </xdr:nvSpPr>
      <xdr:spPr bwMode="auto">
        <a:xfrm>
          <a:off x="26487120" y="1051560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35</xdr:col>
      <xdr:colOff>548640</xdr:colOff>
      <xdr:row>58</xdr:row>
      <xdr:rowOff>91440</xdr:rowOff>
    </xdr:from>
    <xdr:to>
      <xdr:col>39</xdr:col>
      <xdr:colOff>0</xdr:colOff>
      <xdr:row>59</xdr:row>
      <xdr:rowOff>7620</xdr:rowOff>
    </xdr:to>
    <xdr:sp macro="" textlink="">
      <xdr:nvSpPr>
        <xdr:cNvPr id="32773" name="Line 21">
          <a:extLst>
            <a:ext uri="{FF2B5EF4-FFF2-40B4-BE49-F238E27FC236}">
              <a16:creationId xmlns:a16="http://schemas.microsoft.com/office/drawing/2014/main" id="{00000000-0008-0000-0800-000005800000}"/>
            </a:ext>
          </a:extLst>
        </xdr:cNvPr>
        <xdr:cNvSpPr>
          <a:spLocks noChangeShapeType="1"/>
        </xdr:cNvSpPr>
      </xdr:nvSpPr>
      <xdr:spPr bwMode="auto">
        <a:xfrm>
          <a:off x="24925020" y="9982200"/>
          <a:ext cx="2164080" cy="914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46</xdr:col>
      <xdr:colOff>60960</xdr:colOff>
      <xdr:row>59</xdr:row>
      <xdr:rowOff>91440</xdr:rowOff>
    </xdr:from>
    <xdr:to>
      <xdr:col>46</xdr:col>
      <xdr:colOff>647700</xdr:colOff>
      <xdr:row>59</xdr:row>
      <xdr:rowOff>91440</xdr:rowOff>
    </xdr:to>
    <xdr:sp macro="" textlink="">
      <xdr:nvSpPr>
        <xdr:cNvPr id="32774" name="Line 22">
          <a:extLst>
            <a:ext uri="{FF2B5EF4-FFF2-40B4-BE49-F238E27FC236}">
              <a16:creationId xmlns:a16="http://schemas.microsoft.com/office/drawing/2014/main" id="{00000000-0008-0000-0800-000006800000}"/>
            </a:ext>
          </a:extLst>
        </xdr:cNvPr>
        <xdr:cNvSpPr>
          <a:spLocks noChangeShapeType="1"/>
        </xdr:cNvSpPr>
      </xdr:nvSpPr>
      <xdr:spPr bwMode="auto">
        <a:xfrm>
          <a:off x="31897320" y="1015746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46</xdr:col>
      <xdr:colOff>76200</xdr:colOff>
      <xdr:row>60</xdr:row>
      <xdr:rowOff>114300</xdr:rowOff>
    </xdr:from>
    <xdr:to>
      <xdr:col>46</xdr:col>
      <xdr:colOff>662940</xdr:colOff>
      <xdr:row>60</xdr:row>
      <xdr:rowOff>114300</xdr:rowOff>
    </xdr:to>
    <xdr:sp macro="" textlink="">
      <xdr:nvSpPr>
        <xdr:cNvPr id="32775" name="Line 23">
          <a:extLst>
            <a:ext uri="{FF2B5EF4-FFF2-40B4-BE49-F238E27FC236}">
              <a16:creationId xmlns:a16="http://schemas.microsoft.com/office/drawing/2014/main" id="{00000000-0008-0000-0800-000007800000}"/>
            </a:ext>
          </a:extLst>
        </xdr:cNvPr>
        <xdr:cNvSpPr>
          <a:spLocks noChangeShapeType="1"/>
        </xdr:cNvSpPr>
      </xdr:nvSpPr>
      <xdr:spPr bwMode="auto">
        <a:xfrm>
          <a:off x="31912560" y="1035558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46</xdr:col>
      <xdr:colOff>76200</xdr:colOff>
      <xdr:row>61</xdr:row>
      <xdr:rowOff>99060</xdr:rowOff>
    </xdr:from>
    <xdr:to>
      <xdr:col>46</xdr:col>
      <xdr:colOff>662940</xdr:colOff>
      <xdr:row>61</xdr:row>
      <xdr:rowOff>99060</xdr:rowOff>
    </xdr:to>
    <xdr:sp macro="" textlink="">
      <xdr:nvSpPr>
        <xdr:cNvPr id="32776" name="Line 24">
          <a:extLst>
            <a:ext uri="{FF2B5EF4-FFF2-40B4-BE49-F238E27FC236}">
              <a16:creationId xmlns:a16="http://schemas.microsoft.com/office/drawing/2014/main" id="{00000000-0008-0000-0800-000008800000}"/>
            </a:ext>
          </a:extLst>
        </xdr:cNvPr>
        <xdr:cNvSpPr>
          <a:spLocks noChangeShapeType="1"/>
        </xdr:cNvSpPr>
      </xdr:nvSpPr>
      <xdr:spPr bwMode="auto">
        <a:xfrm>
          <a:off x="31912560" y="1051560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43</xdr:col>
      <xdr:colOff>548640</xdr:colOff>
      <xdr:row>58</xdr:row>
      <xdr:rowOff>91440</xdr:rowOff>
    </xdr:from>
    <xdr:to>
      <xdr:col>47</xdr:col>
      <xdr:colOff>0</xdr:colOff>
      <xdr:row>59</xdr:row>
      <xdr:rowOff>7620</xdr:rowOff>
    </xdr:to>
    <xdr:sp macro="" textlink="">
      <xdr:nvSpPr>
        <xdr:cNvPr id="32777" name="Line 25">
          <a:extLst>
            <a:ext uri="{FF2B5EF4-FFF2-40B4-BE49-F238E27FC236}">
              <a16:creationId xmlns:a16="http://schemas.microsoft.com/office/drawing/2014/main" id="{00000000-0008-0000-0800-000009800000}"/>
            </a:ext>
          </a:extLst>
        </xdr:cNvPr>
        <xdr:cNvSpPr>
          <a:spLocks noChangeShapeType="1"/>
        </xdr:cNvSpPr>
      </xdr:nvSpPr>
      <xdr:spPr bwMode="auto">
        <a:xfrm>
          <a:off x="30350460" y="9982200"/>
          <a:ext cx="2164080" cy="914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54</xdr:col>
      <xdr:colOff>60960</xdr:colOff>
      <xdr:row>59</xdr:row>
      <xdr:rowOff>91440</xdr:rowOff>
    </xdr:from>
    <xdr:to>
      <xdr:col>54</xdr:col>
      <xdr:colOff>647700</xdr:colOff>
      <xdr:row>59</xdr:row>
      <xdr:rowOff>91440</xdr:rowOff>
    </xdr:to>
    <xdr:sp macro="" textlink="">
      <xdr:nvSpPr>
        <xdr:cNvPr id="32778" name="Line 26">
          <a:extLst>
            <a:ext uri="{FF2B5EF4-FFF2-40B4-BE49-F238E27FC236}">
              <a16:creationId xmlns:a16="http://schemas.microsoft.com/office/drawing/2014/main" id="{00000000-0008-0000-0800-00000A800000}"/>
            </a:ext>
          </a:extLst>
        </xdr:cNvPr>
        <xdr:cNvSpPr>
          <a:spLocks noChangeShapeType="1"/>
        </xdr:cNvSpPr>
      </xdr:nvSpPr>
      <xdr:spPr bwMode="auto">
        <a:xfrm>
          <a:off x="37322760" y="1015746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54</xdr:col>
      <xdr:colOff>76200</xdr:colOff>
      <xdr:row>60</xdr:row>
      <xdr:rowOff>114300</xdr:rowOff>
    </xdr:from>
    <xdr:to>
      <xdr:col>54</xdr:col>
      <xdr:colOff>662940</xdr:colOff>
      <xdr:row>60</xdr:row>
      <xdr:rowOff>114300</xdr:rowOff>
    </xdr:to>
    <xdr:sp macro="" textlink="">
      <xdr:nvSpPr>
        <xdr:cNvPr id="32779" name="Line 27">
          <a:extLst>
            <a:ext uri="{FF2B5EF4-FFF2-40B4-BE49-F238E27FC236}">
              <a16:creationId xmlns:a16="http://schemas.microsoft.com/office/drawing/2014/main" id="{00000000-0008-0000-0800-00000B800000}"/>
            </a:ext>
          </a:extLst>
        </xdr:cNvPr>
        <xdr:cNvSpPr>
          <a:spLocks noChangeShapeType="1"/>
        </xdr:cNvSpPr>
      </xdr:nvSpPr>
      <xdr:spPr bwMode="auto">
        <a:xfrm>
          <a:off x="37338000" y="1035558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54</xdr:col>
      <xdr:colOff>76200</xdr:colOff>
      <xdr:row>61</xdr:row>
      <xdr:rowOff>99060</xdr:rowOff>
    </xdr:from>
    <xdr:to>
      <xdr:col>54</xdr:col>
      <xdr:colOff>662940</xdr:colOff>
      <xdr:row>61</xdr:row>
      <xdr:rowOff>99060</xdr:rowOff>
    </xdr:to>
    <xdr:sp macro="" textlink="">
      <xdr:nvSpPr>
        <xdr:cNvPr id="32780" name="Line 28">
          <a:extLst>
            <a:ext uri="{FF2B5EF4-FFF2-40B4-BE49-F238E27FC236}">
              <a16:creationId xmlns:a16="http://schemas.microsoft.com/office/drawing/2014/main" id="{00000000-0008-0000-0800-00000C800000}"/>
            </a:ext>
          </a:extLst>
        </xdr:cNvPr>
        <xdr:cNvSpPr>
          <a:spLocks noChangeShapeType="1"/>
        </xdr:cNvSpPr>
      </xdr:nvSpPr>
      <xdr:spPr bwMode="auto">
        <a:xfrm>
          <a:off x="37338000" y="1051560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51</xdr:col>
      <xdr:colOff>548640</xdr:colOff>
      <xdr:row>58</xdr:row>
      <xdr:rowOff>91440</xdr:rowOff>
    </xdr:from>
    <xdr:to>
      <xdr:col>55</xdr:col>
      <xdr:colOff>0</xdr:colOff>
      <xdr:row>59</xdr:row>
      <xdr:rowOff>7620</xdr:rowOff>
    </xdr:to>
    <xdr:sp macro="" textlink="">
      <xdr:nvSpPr>
        <xdr:cNvPr id="32781" name="Line 29">
          <a:extLst>
            <a:ext uri="{FF2B5EF4-FFF2-40B4-BE49-F238E27FC236}">
              <a16:creationId xmlns:a16="http://schemas.microsoft.com/office/drawing/2014/main" id="{00000000-0008-0000-0800-00000D800000}"/>
            </a:ext>
          </a:extLst>
        </xdr:cNvPr>
        <xdr:cNvSpPr>
          <a:spLocks noChangeShapeType="1"/>
        </xdr:cNvSpPr>
      </xdr:nvSpPr>
      <xdr:spPr bwMode="auto">
        <a:xfrm>
          <a:off x="35775900" y="9982200"/>
          <a:ext cx="2164080" cy="914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62</xdr:col>
      <xdr:colOff>60960</xdr:colOff>
      <xdr:row>59</xdr:row>
      <xdr:rowOff>91440</xdr:rowOff>
    </xdr:from>
    <xdr:to>
      <xdr:col>62</xdr:col>
      <xdr:colOff>647700</xdr:colOff>
      <xdr:row>59</xdr:row>
      <xdr:rowOff>91440</xdr:rowOff>
    </xdr:to>
    <xdr:sp macro="" textlink="">
      <xdr:nvSpPr>
        <xdr:cNvPr id="32782" name="Line 30">
          <a:extLst>
            <a:ext uri="{FF2B5EF4-FFF2-40B4-BE49-F238E27FC236}">
              <a16:creationId xmlns:a16="http://schemas.microsoft.com/office/drawing/2014/main" id="{00000000-0008-0000-0800-00000E800000}"/>
            </a:ext>
          </a:extLst>
        </xdr:cNvPr>
        <xdr:cNvSpPr>
          <a:spLocks noChangeShapeType="1"/>
        </xdr:cNvSpPr>
      </xdr:nvSpPr>
      <xdr:spPr bwMode="auto">
        <a:xfrm>
          <a:off x="42748200" y="1015746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62</xdr:col>
      <xdr:colOff>76200</xdr:colOff>
      <xdr:row>60</xdr:row>
      <xdr:rowOff>114300</xdr:rowOff>
    </xdr:from>
    <xdr:to>
      <xdr:col>62</xdr:col>
      <xdr:colOff>662940</xdr:colOff>
      <xdr:row>60</xdr:row>
      <xdr:rowOff>114300</xdr:rowOff>
    </xdr:to>
    <xdr:sp macro="" textlink="">
      <xdr:nvSpPr>
        <xdr:cNvPr id="32783" name="Line 31">
          <a:extLst>
            <a:ext uri="{FF2B5EF4-FFF2-40B4-BE49-F238E27FC236}">
              <a16:creationId xmlns:a16="http://schemas.microsoft.com/office/drawing/2014/main" id="{00000000-0008-0000-0800-00000F800000}"/>
            </a:ext>
          </a:extLst>
        </xdr:cNvPr>
        <xdr:cNvSpPr>
          <a:spLocks noChangeShapeType="1"/>
        </xdr:cNvSpPr>
      </xdr:nvSpPr>
      <xdr:spPr bwMode="auto">
        <a:xfrm>
          <a:off x="42763440" y="1035558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62</xdr:col>
      <xdr:colOff>76200</xdr:colOff>
      <xdr:row>61</xdr:row>
      <xdr:rowOff>99060</xdr:rowOff>
    </xdr:from>
    <xdr:to>
      <xdr:col>62</xdr:col>
      <xdr:colOff>662940</xdr:colOff>
      <xdr:row>61</xdr:row>
      <xdr:rowOff>99060</xdr:rowOff>
    </xdr:to>
    <xdr:sp macro="" textlink="">
      <xdr:nvSpPr>
        <xdr:cNvPr id="32784" name="Line 32">
          <a:extLst>
            <a:ext uri="{FF2B5EF4-FFF2-40B4-BE49-F238E27FC236}">
              <a16:creationId xmlns:a16="http://schemas.microsoft.com/office/drawing/2014/main" id="{00000000-0008-0000-0800-000010800000}"/>
            </a:ext>
          </a:extLst>
        </xdr:cNvPr>
        <xdr:cNvSpPr>
          <a:spLocks noChangeShapeType="1"/>
        </xdr:cNvSpPr>
      </xdr:nvSpPr>
      <xdr:spPr bwMode="auto">
        <a:xfrm>
          <a:off x="42763440" y="1051560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59</xdr:col>
      <xdr:colOff>548640</xdr:colOff>
      <xdr:row>58</xdr:row>
      <xdr:rowOff>91440</xdr:rowOff>
    </xdr:from>
    <xdr:to>
      <xdr:col>63</xdr:col>
      <xdr:colOff>0</xdr:colOff>
      <xdr:row>59</xdr:row>
      <xdr:rowOff>7620</xdr:rowOff>
    </xdr:to>
    <xdr:sp macro="" textlink="">
      <xdr:nvSpPr>
        <xdr:cNvPr id="32785" name="Line 33">
          <a:extLst>
            <a:ext uri="{FF2B5EF4-FFF2-40B4-BE49-F238E27FC236}">
              <a16:creationId xmlns:a16="http://schemas.microsoft.com/office/drawing/2014/main" id="{00000000-0008-0000-0800-000011800000}"/>
            </a:ext>
          </a:extLst>
        </xdr:cNvPr>
        <xdr:cNvSpPr>
          <a:spLocks noChangeShapeType="1"/>
        </xdr:cNvSpPr>
      </xdr:nvSpPr>
      <xdr:spPr bwMode="auto">
        <a:xfrm>
          <a:off x="41201340" y="9982200"/>
          <a:ext cx="2164080" cy="914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70</xdr:col>
      <xdr:colOff>60960</xdr:colOff>
      <xdr:row>59</xdr:row>
      <xdr:rowOff>91440</xdr:rowOff>
    </xdr:from>
    <xdr:to>
      <xdr:col>70</xdr:col>
      <xdr:colOff>647700</xdr:colOff>
      <xdr:row>59</xdr:row>
      <xdr:rowOff>91440</xdr:rowOff>
    </xdr:to>
    <xdr:sp macro="" textlink="">
      <xdr:nvSpPr>
        <xdr:cNvPr id="32786" name="Line 34">
          <a:extLst>
            <a:ext uri="{FF2B5EF4-FFF2-40B4-BE49-F238E27FC236}">
              <a16:creationId xmlns:a16="http://schemas.microsoft.com/office/drawing/2014/main" id="{00000000-0008-0000-0800-000012800000}"/>
            </a:ext>
          </a:extLst>
        </xdr:cNvPr>
        <xdr:cNvSpPr>
          <a:spLocks noChangeShapeType="1"/>
        </xdr:cNvSpPr>
      </xdr:nvSpPr>
      <xdr:spPr bwMode="auto">
        <a:xfrm>
          <a:off x="48173640" y="1015746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70</xdr:col>
      <xdr:colOff>76200</xdr:colOff>
      <xdr:row>60</xdr:row>
      <xdr:rowOff>114300</xdr:rowOff>
    </xdr:from>
    <xdr:to>
      <xdr:col>70</xdr:col>
      <xdr:colOff>662940</xdr:colOff>
      <xdr:row>60</xdr:row>
      <xdr:rowOff>114300</xdr:rowOff>
    </xdr:to>
    <xdr:sp macro="" textlink="">
      <xdr:nvSpPr>
        <xdr:cNvPr id="32787" name="Line 35">
          <a:extLst>
            <a:ext uri="{FF2B5EF4-FFF2-40B4-BE49-F238E27FC236}">
              <a16:creationId xmlns:a16="http://schemas.microsoft.com/office/drawing/2014/main" id="{00000000-0008-0000-0800-000013800000}"/>
            </a:ext>
          </a:extLst>
        </xdr:cNvPr>
        <xdr:cNvSpPr>
          <a:spLocks noChangeShapeType="1"/>
        </xdr:cNvSpPr>
      </xdr:nvSpPr>
      <xdr:spPr bwMode="auto">
        <a:xfrm>
          <a:off x="48188880" y="1035558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70</xdr:col>
      <xdr:colOff>76200</xdr:colOff>
      <xdr:row>61</xdr:row>
      <xdr:rowOff>99060</xdr:rowOff>
    </xdr:from>
    <xdr:to>
      <xdr:col>70</xdr:col>
      <xdr:colOff>662940</xdr:colOff>
      <xdr:row>61</xdr:row>
      <xdr:rowOff>99060</xdr:rowOff>
    </xdr:to>
    <xdr:sp macro="" textlink="">
      <xdr:nvSpPr>
        <xdr:cNvPr id="32788" name="Line 36">
          <a:extLst>
            <a:ext uri="{FF2B5EF4-FFF2-40B4-BE49-F238E27FC236}">
              <a16:creationId xmlns:a16="http://schemas.microsoft.com/office/drawing/2014/main" id="{00000000-0008-0000-0800-000014800000}"/>
            </a:ext>
          </a:extLst>
        </xdr:cNvPr>
        <xdr:cNvSpPr>
          <a:spLocks noChangeShapeType="1"/>
        </xdr:cNvSpPr>
      </xdr:nvSpPr>
      <xdr:spPr bwMode="auto">
        <a:xfrm>
          <a:off x="48188880" y="1051560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67</xdr:col>
      <xdr:colOff>548640</xdr:colOff>
      <xdr:row>58</xdr:row>
      <xdr:rowOff>91440</xdr:rowOff>
    </xdr:from>
    <xdr:to>
      <xdr:col>71</xdr:col>
      <xdr:colOff>0</xdr:colOff>
      <xdr:row>59</xdr:row>
      <xdr:rowOff>7620</xdr:rowOff>
    </xdr:to>
    <xdr:sp macro="" textlink="">
      <xdr:nvSpPr>
        <xdr:cNvPr id="32789" name="Line 37">
          <a:extLst>
            <a:ext uri="{FF2B5EF4-FFF2-40B4-BE49-F238E27FC236}">
              <a16:creationId xmlns:a16="http://schemas.microsoft.com/office/drawing/2014/main" id="{00000000-0008-0000-0800-000015800000}"/>
            </a:ext>
          </a:extLst>
        </xdr:cNvPr>
        <xdr:cNvSpPr>
          <a:spLocks noChangeShapeType="1"/>
        </xdr:cNvSpPr>
      </xdr:nvSpPr>
      <xdr:spPr bwMode="auto">
        <a:xfrm>
          <a:off x="46626780" y="9982200"/>
          <a:ext cx="2164080" cy="914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78</xdr:col>
      <xdr:colOff>60960</xdr:colOff>
      <xdr:row>59</xdr:row>
      <xdr:rowOff>91440</xdr:rowOff>
    </xdr:from>
    <xdr:to>
      <xdr:col>78</xdr:col>
      <xdr:colOff>647700</xdr:colOff>
      <xdr:row>59</xdr:row>
      <xdr:rowOff>91440</xdr:rowOff>
    </xdr:to>
    <xdr:sp macro="" textlink="">
      <xdr:nvSpPr>
        <xdr:cNvPr id="32790" name="Line 38">
          <a:extLst>
            <a:ext uri="{FF2B5EF4-FFF2-40B4-BE49-F238E27FC236}">
              <a16:creationId xmlns:a16="http://schemas.microsoft.com/office/drawing/2014/main" id="{00000000-0008-0000-0800-000016800000}"/>
            </a:ext>
          </a:extLst>
        </xdr:cNvPr>
        <xdr:cNvSpPr>
          <a:spLocks noChangeShapeType="1"/>
        </xdr:cNvSpPr>
      </xdr:nvSpPr>
      <xdr:spPr bwMode="auto">
        <a:xfrm>
          <a:off x="53599080" y="1015746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78</xdr:col>
      <xdr:colOff>76200</xdr:colOff>
      <xdr:row>60</xdr:row>
      <xdr:rowOff>114300</xdr:rowOff>
    </xdr:from>
    <xdr:to>
      <xdr:col>78</xdr:col>
      <xdr:colOff>662940</xdr:colOff>
      <xdr:row>60</xdr:row>
      <xdr:rowOff>114300</xdr:rowOff>
    </xdr:to>
    <xdr:sp macro="" textlink="">
      <xdr:nvSpPr>
        <xdr:cNvPr id="32791" name="Line 39">
          <a:extLst>
            <a:ext uri="{FF2B5EF4-FFF2-40B4-BE49-F238E27FC236}">
              <a16:creationId xmlns:a16="http://schemas.microsoft.com/office/drawing/2014/main" id="{00000000-0008-0000-0800-000017800000}"/>
            </a:ext>
          </a:extLst>
        </xdr:cNvPr>
        <xdr:cNvSpPr>
          <a:spLocks noChangeShapeType="1"/>
        </xdr:cNvSpPr>
      </xdr:nvSpPr>
      <xdr:spPr bwMode="auto">
        <a:xfrm>
          <a:off x="53614320" y="1035558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78</xdr:col>
      <xdr:colOff>76200</xdr:colOff>
      <xdr:row>61</xdr:row>
      <xdr:rowOff>99060</xdr:rowOff>
    </xdr:from>
    <xdr:to>
      <xdr:col>78</xdr:col>
      <xdr:colOff>662940</xdr:colOff>
      <xdr:row>61</xdr:row>
      <xdr:rowOff>99060</xdr:rowOff>
    </xdr:to>
    <xdr:sp macro="" textlink="">
      <xdr:nvSpPr>
        <xdr:cNvPr id="32792" name="Line 40">
          <a:extLst>
            <a:ext uri="{FF2B5EF4-FFF2-40B4-BE49-F238E27FC236}">
              <a16:creationId xmlns:a16="http://schemas.microsoft.com/office/drawing/2014/main" id="{00000000-0008-0000-0800-000018800000}"/>
            </a:ext>
          </a:extLst>
        </xdr:cNvPr>
        <xdr:cNvSpPr>
          <a:spLocks noChangeShapeType="1"/>
        </xdr:cNvSpPr>
      </xdr:nvSpPr>
      <xdr:spPr bwMode="auto">
        <a:xfrm>
          <a:off x="53614320" y="1051560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75</xdr:col>
      <xdr:colOff>548640</xdr:colOff>
      <xdr:row>58</xdr:row>
      <xdr:rowOff>91440</xdr:rowOff>
    </xdr:from>
    <xdr:to>
      <xdr:col>79</xdr:col>
      <xdr:colOff>0</xdr:colOff>
      <xdr:row>59</xdr:row>
      <xdr:rowOff>7620</xdr:rowOff>
    </xdr:to>
    <xdr:sp macro="" textlink="">
      <xdr:nvSpPr>
        <xdr:cNvPr id="32793" name="Line 41">
          <a:extLst>
            <a:ext uri="{FF2B5EF4-FFF2-40B4-BE49-F238E27FC236}">
              <a16:creationId xmlns:a16="http://schemas.microsoft.com/office/drawing/2014/main" id="{00000000-0008-0000-0800-000019800000}"/>
            </a:ext>
          </a:extLst>
        </xdr:cNvPr>
        <xdr:cNvSpPr>
          <a:spLocks noChangeShapeType="1"/>
        </xdr:cNvSpPr>
      </xdr:nvSpPr>
      <xdr:spPr bwMode="auto">
        <a:xfrm>
          <a:off x="52052220" y="9982200"/>
          <a:ext cx="2164080" cy="914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86</xdr:col>
      <xdr:colOff>60960</xdr:colOff>
      <xdr:row>59</xdr:row>
      <xdr:rowOff>91440</xdr:rowOff>
    </xdr:from>
    <xdr:to>
      <xdr:col>86</xdr:col>
      <xdr:colOff>647700</xdr:colOff>
      <xdr:row>59</xdr:row>
      <xdr:rowOff>91440</xdr:rowOff>
    </xdr:to>
    <xdr:sp macro="" textlink="">
      <xdr:nvSpPr>
        <xdr:cNvPr id="32794" name="Line 42">
          <a:extLst>
            <a:ext uri="{FF2B5EF4-FFF2-40B4-BE49-F238E27FC236}">
              <a16:creationId xmlns:a16="http://schemas.microsoft.com/office/drawing/2014/main" id="{00000000-0008-0000-0800-00001A800000}"/>
            </a:ext>
          </a:extLst>
        </xdr:cNvPr>
        <xdr:cNvSpPr>
          <a:spLocks noChangeShapeType="1"/>
        </xdr:cNvSpPr>
      </xdr:nvSpPr>
      <xdr:spPr bwMode="auto">
        <a:xfrm>
          <a:off x="59024520" y="1015746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86</xdr:col>
      <xdr:colOff>76200</xdr:colOff>
      <xdr:row>60</xdr:row>
      <xdr:rowOff>114300</xdr:rowOff>
    </xdr:from>
    <xdr:to>
      <xdr:col>86</xdr:col>
      <xdr:colOff>662940</xdr:colOff>
      <xdr:row>60</xdr:row>
      <xdr:rowOff>114300</xdr:rowOff>
    </xdr:to>
    <xdr:sp macro="" textlink="">
      <xdr:nvSpPr>
        <xdr:cNvPr id="32795" name="Line 43">
          <a:extLst>
            <a:ext uri="{FF2B5EF4-FFF2-40B4-BE49-F238E27FC236}">
              <a16:creationId xmlns:a16="http://schemas.microsoft.com/office/drawing/2014/main" id="{00000000-0008-0000-0800-00001B800000}"/>
            </a:ext>
          </a:extLst>
        </xdr:cNvPr>
        <xdr:cNvSpPr>
          <a:spLocks noChangeShapeType="1"/>
        </xdr:cNvSpPr>
      </xdr:nvSpPr>
      <xdr:spPr bwMode="auto">
        <a:xfrm>
          <a:off x="59039760" y="1035558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86</xdr:col>
      <xdr:colOff>76200</xdr:colOff>
      <xdr:row>61</xdr:row>
      <xdr:rowOff>99060</xdr:rowOff>
    </xdr:from>
    <xdr:to>
      <xdr:col>86</xdr:col>
      <xdr:colOff>662940</xdr:colOff>
      <xdr:row>61</xdr:row>
      <xdr:rowOff>99060</xdr:rowOff>
    </xdr:to>
    <xdr:sp macro="" textlink="">
      <xdr:nvSpPr>
        <xdr:cNvPr id="32796" name="Line 44">
          <a:extLst>
            <a:ext uri="{FF2B5EF4-FFF2-40B4-BE49-F238E27FC236}">
              <a16:creationId xmlns:a16="http://schemas.microsoft.com/office/drawing/2014/main" id="{00000000-0008-0000-0800-00001C800000}"/>
            </a:ext>
          </a:extLst>
        </xdr:cNvPr>
        <xdr:cNvSpPr>
          <a:spLocks noChangeShapeType="1"/>
        </xdr:cNvSpPr>
      </xdr:nvSpPr>
      <xdr:spPr bwMode="auto">
        <a:xfrm>
          <a:off x="59039760" y="1051560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83</xdr:col>
      <xdr:colOff>548640</xdr:colOff>
      <xdr:row>58</xdr:row>
      <xdr:rowOff>91440</xdr:rowOff>
    </xdr:from>
    <xdr:to>
      <xdr:col>87</xdr:col>
      <xdr:colOff>0</xdr:colOff>
      <xdr:row>59</xdr:row>
      <xdr:rowOff>7620</xdr:rowOff>
    </xdr:to>
    <xdr:sp macro="" textlink="">
      <xdr:nvSpPr>
        <xdr:cNvPr id="32797" name="Line 45">
          <a:extLst>
            <a:ext uri="{FF2B5EF4-FFF2-40B4-BE49-F238E27FC236}">
              <a16:creationId xmlns:a16="http://schemas.microsoft.com/office/drawing/2014/main" id="{00000000-0008-0000-0800-00001D800000}"/>
            </a:ext>
          </a:extLst>
        </xdr:cNvPr>
        <xdr:cNvSpPr>
          <a:spLocks noChangeShapeType="1"/>
        </xdr:cNvSpPr>
      </xdr:nvSpPr>
      <xdr:spPr bwMode="auto">
        <a:xfrm>
          <a:off x="57477660" y="9982200"/>
          <a:ext cx="2164080" cy="914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94</xdr:col>
      <xdr:colOff>60960</xdr:colOff>
      <xdr:row>59</xdr:row>
      <xdr:rowOff>91440</xdr:rowOff>
    </xdr:from>
    <xdr:to>
      <xdr:col>94</xdr:col>
      <xdr:colOff>647700</xdr:colOff>
      <xdr:row>59</xdr:row>
      <xdr:rowOff>91440</xdr:rowOff>
    </xdr:to>
    <xdr:sp macro="" textlink="">
      <xdr:nvSpPr>
        <xdr:cNvPr id="32798" name="Line 46">
          <a:extLst>
            <a:ext uri="{FF2B5EF4-FFF2-40B4-BE49-F238E27FC236}">
              <a16:creationId xmlns:a16="http://schemas.microsoft.com/office/drawing/2014/main" id="{00000000-0008-0000-0800-00001E800000}"/>
            </a:ext>
          </a:extLst>
        </xdr:cNvPr>
        <xdr:cNvSpPr>
          <a:spLocks noChangeShapeType="1"/>
        </xdr:cNvSpPr>
      </xdr:nvSpPr>
      <xdr:spPr bwMode="auto">
        <a:xfrm>
          <a:off x="64449960" y="1015746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94</xdr:col>
      <xdr:colOff>76200</xdr:colOff>
      <xdr:row>60</xdr:row>
      <xdr:rowOff>114300</xdr:rowOff>
    </xdr:from>
    <xdr:to>
      <xdr:col>94</xdr:col>
      <xdr:colOff>662940</xdr:colOff>
      <xdr:row>60</xdr:row>
      <xdr:rowOff>114300</xdr:rowOff>
    </xdr:to>
    <xdr:sp macro="" textlink="">
      <xdr:nvSpPr>
        <xdr:cNvPr id="32799" name="Line 47">
          <a:extLst>
            <a:ext uri="{FF2B5EF4-FFF2-40B4-BE49-F238E27FC236}">
              <a16:creationId xmlns:a16="http://schemas.microsoft.com/office/drawing/2014/main" id="{00000000-0008-0000-0800-00001F800000}"/>
            </a:ext>
          </a:extLst>
        </xdr:cNvPr>
        <xdr:cNvSpPr>
          <a:spLocks noChangeShapeType="1"/>
        </xdr:cNvSpPr>
      </xdr:nvSpPr>
      <xdr:spPr bwMode="auto">
        <a:xfrm>
          <a:off x="64465200" y="1035558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94</xdr:col>
      <xdr:colOff>76200</xdr:colOff>
      <xdr:row>61</xdr:row>
      <xdr:rowOff>99060</xdr:rowOff>
    </xdr:from>
    <xdr:to>
      <xdr:col>94</xdr:col>
      <xdr:colOff>662940</xdr:colOff>
      <xdr:row>61</xdr:row>
      <xdr:rowOff>99060</xdr:rowOff>
    </xdr:to>
    <xdr:sp macro="" textlink="">
      <xdr:nvSpPr>
        <xdr:cNvPr id="32800" name="Line 48">
          <a:extLst>
            <a:ext uri="{FF2B5EF4-FFF2-40B4-BE49-F238E27FC236}">
              <a16:creationId xmlns:a16="http://schemas.microsoft.com/office/drawing/2014/main" id="{00000000-0008-0000-0800-000020800000}"/>
            </a:ext>
          </a:extLst>
        </xdr:cNvPr>
        <xdr:cNvSpPr>
          <a:spLocks noChangeShapeType="1"/>
        </xdr:cNvSpPr>
      </xdr:nvSpPr>
      <xdr:spPr bwMode="auto">
        <a:xfrm>
          <a:off x="64465200" y="1051560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91</xdr:col>
      <xdr:colOff>548640</xdr:colOff>
      <xdr:row>58</xdr:row>
      <xdr:rowOff>91440</xdr:rowOff>
    </xdr:from>
    <xdr:to>
      <xdr:col>95</xdr:col>
      <xdr:colOff>0</xdr:colOff>
      <xdr:row>59</xdr:row>
      <xdr:rowOff>7620</xdr:rowOff>
    </xdr:to>
    <xdr:sp macro="" textlink="">
      <xdr:nvSpPr>
        <xdr:cNvPr id="32801" name="Line 49">
          <a:extLst>
            <a:ext uri="{FF2B5EF4-FFF2-40B4-BE49-F238E27FC236}">
              <a16:creationId xmlns:a16="http://schemas.microsoft.com/office/drawing/2014/main" id="{00000000-0008-0000-0800-000021800000}"/>
            </a:ext>
          </a:extLst>
        </xdr:cNvPr>
        <xdr:cNvSpPr>
          <a:spLocks noChangeShapeType="1"/>
        </xdr:cNvSpPr>
      </xdr:nvSpPr>
      <xdr:spPr bwMode="auto">
        <a:xfrm>
          <a:off x="62903100" y="9982200"/>
          <a:ext cx="2164080" cy="914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102</xdr:col>
      <xdr:colOff>60960</xdr:colOff>
      <xdr:row>59</xdr:row>
      <xdr:rowOff>91440</xdr:rowOff>
    </xdr:from>
    <xdr:to>
      <xdr:col>102</xdr:col>
      <xdr:colOff>647700</xdr:colOff>
      <xdr:row>59</xdr:row>
      <xdr:rowOff>91440</xdr:rowOff>
    </xdr:to>
    <xdr:sp macro="" textlink="">
      <xdr:nvSpPr>
        <xdr:cNvPr id="32802" name="Line 50">
          <a:extLst>
            <a:ext uri="{FF2B5EF4-FFF2-40B4-BE49-F238E27FC236}">
              <a16:creationId xmlns:a16="http://schemas.microsoft.com/office/drawing/2014/main" id="{00000000-0008-0000-0800-000022800000}"/>
            </a:ext>
          </a:extLst>
        </xdr:cNvPr>
        <xdr:cNvSpPr>
          <a:spLocks noChangeShapeType="1"/>
        </xdr:cNvSpPr>
      </xdr:nvSpPr>
      <xdr:spPr bwMode="auto">
        <a:xfrm>
          <a:off x="69875400" y="1015746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102</xdr:col>
      <xdr:colOff>76200</xdr:colOff>
      <xdr:row>60</xdr:row>
      <xdr:rowOff>114300</xdr:rowOff>
    </xdr:from>
    <xdr:to>
      <xdr:col>102</xdr:col>
      <xdr:colOff>662940</xdr:colOff>
      <xdr:row>60</xdr:row>
      <xdr:rowOff>114300</xdr:rowOff>
    </xdr:to>
    <xdr:sp macro="" textlink="">
      <xdr:nvSpPr>
        <xdr:cNvPr id="32803" name="Line 51">
          <a:extLst>
            <a:ext uri="{FF2B5EF4-FFF2-40B4-BE49-F238E27FC236}">
              <a16:creationId xmlns:a16="http://schemas.microsoft.com/office/drawing/2014/main" id="{00000000-0008-0000-0800-000023800000}"/>
            </a:ext>
          </a:extLst>
        </xdr:cNvPr>
        <xdr:cNvSpPr>
          <a:spLocks noChangeShapeType="1"/>
        </xdr:cNvSpPr>
      </xdr:nvSpPr>
      <xdr:spPr bwMode="auto">
        <a:xfrm>
          <a:off x="69890640" y="1035558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102</xdr:col>
      <xdr:colOff>76200</xdr:colOff>
      <xdr:row>61</xdr:row>
      <xdr:rowOff>99060</xdr:rowOff>
    </xdr:from>
    <xdr:to>
      <xdr:col>102</xdr:col>
      <xdr:colOff>662940</xdr:colOff>
      <xdr:row>61</xdr:row>
      <xdr:rowOff>99060</xdr:rowOff>
    </xdr:to>
    <xdr:sp macro="" textlink="">
      <xdr:nvSpPr>
        <xdr:cNvPr id="32804" name="Line 52">
          <a:extLst>
            <a:ext uri="{FF2B5EF4-FFF2-40B4-BE49-F238E27FC236}">
              <a16:creationId xmlns:a16="http://schemas.microsoft.com/office/drawing/2014/main" id="{00000000-0008-0000-0800-000024800000}"/>
            </a:ext>
          </a:extLst>
        </xdr:cNvPr>
        <xdr:cNvSpPr>
          <a:spLocks noChangeShapeType="1"/>
        </xdr:cNvSpPr>
      </xdr:nvSpPr>
      <xdr:spPr bwMode="auto">
        <a:xfrm>
          <a:off x="69890640" y="1051560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99</xdr:col>
      <xdr:colOff>548640</xdr:colOff>
      <xdr:row>58</xdr:row>
      <xdr:rowOff>91440</xdr:rowOff>
    </xdr:from>
    <xdr:to>
      <xdr:col>103</xdr:col>
      <xdr:colOff>0</xdr:colOff>
      <xdr:row>59</xdr:row>
      <xdr:rowOff>7620</xdr:rowOff>
    </xdr:to>
    <xdr:sp macro="" textlink="">
      <xdr:nvSpPr>
        <xdr:cNvPr id="32805" name="Line 53">
          <a:extLst>
            <a:ext uri="{FF2B5EF4-FFF2-40B4-BE49-F238E27FC236}">
              <a16:creationId xmlns:a16="http://schemas.microsoft.com/office/drawing/2014/main" id="{00000000-0008-0000-0800-000025800000}"/>
            </a:ext>
          </a:extLst>
        </xdr:cNvPr>
        <xdr:cNvSpPr>
          <a:spLocks noChangeShapeType="1"/>
        </xdr:cNvSpPr>
      </xdr:nvSpPr>
      <xdr:spPr bwMode="auto">
        <a:xfrm>
          <a:off x="68328540" y="9982200"/>
          <a:ext cx="2164080" cy="914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110</xdr:col>
      <xdr:colOff>60960</xdr:colOff>
      <xdr:row>59</xdr:row>
      <xdr:rowOff>91440</xdr:rowOff>
    </xdr:from>
    <xdr:to>
      <xdr:col>110</xdr:col>
      <xdr:colOff>647700</xdr:colOff>
      <xdr:row>59</xdr:row>
      <xdr:rowOff>91440</xdr:rowOff>
    </xdr:to>
    <xdr:sp macro="" textlink="">
      <xdr:nvSpPr>
        <xdr:cNvPr id="32806" name="Line 54">
          <a:extLst>
            <a:ext uri="{FF2B5EF4-FFF2-40B4-BE49-F238E27FC236}">
              <a16:creationId xmlns:a16="http://schemas.microsoft.com/office/drawing/2014/main" id="{00000000-0008-0000-0800-000026800000}"/>
            </a:ext>
          </a:extLst>
        </xdr:cNvPr>
        <xdr:cNvSpPr>
          <a:spLocks noChangeShapeType="1"/>
        </xdr:cNvSpPr>
      </xdr:nvSpPr>
      <xdr:spPr bwMode="auto">
        <a:xfrm>
          <a:off x="75300840" y="1015746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110</xdr:col>
      <xdr:colOff>76200</xdr:colOff>
      <xdr:row>60</xdr:row>
      <xdr:rowOff>114300</xdr:rowOff>
    </xdr:from>
    <xdr:to>
      <xdr:col>110</xdr:col>
      <xdr:colOff>662940</xdr:colOff>
      <xdr:row>60</xdr:row>
      <xdr:rowOff>114300</xdr:rowOff>
    </xdr:to>
    <xdr:sp macro="" textlink="">
      <xdr:nvSpPr>
        <xdr:cNvPr id="32807" name="Line 55">
          <a:extLst>
            <a:ext uri="{FF2B5EF4-FFF2-40B4-BE49-F238E27FC236}">
              <a16:creationId xmlns:a16="http://schemas.microsoft.com/office/drawing/2014/main" id="{00000000-0008-0000-0800-000027800000}"/>
            </a:ext>
          </a:extLst>
        </xdr:cNvPr>
        <xdr:cNvSpPr>
          <a:spLocks noChangeShapeType="1"/>
        </xdr:cNvSpPr>
      </xdr:nvSpPr>
      <xdr:spPr bwMode="auto">
        <a:xfrm>
          <a:off x="75316080" y="1035558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110</xdr:col>
      <xdr:colOff>76200</xdr:colOff>
      <xdr:row>61</xdr:row>
      <xdr:rowOff>99060</xdr:rowOff>
    </xdr:from>
    <xdr:to>
      <xdr:col>110</xdr:col>
      <xdr:colOff>662940</xdr:colOff>
      <xdr:row>61</xdr:row>
      <xdr:rowOff>99060</xdr:rowOff>
    </xdr:to>
    <xdr:sp macro="" textlink="">
      <xdr:nvSpPr>
        <xdr:cNvPr id="32808" name="Line 56">
          <a:extLst>
            <a:ext uri="{FF2B5EF4-FFF2-40B4-BE49-F238E27FC236}">
              <a16:creationId xmlns:a16="http://schemas.microsoft.com/office/drawing/2014/main" id="{00000000-0008-0000-0800-000028800000}"/>
            </a:ext>
          </a:extLst>
        </xdr:cNvPr>
        <xdr:cNvSpPr>
          <a:spLocks noChangeShapeType="1"/>
        </xdr:cNvSpPr>
      </xdr:nvSpPr>
      <xdr:spPr bwMode="auto">
        <a:xfrm>
          <a:off x="75316080" y="1051560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107</xdr:col>
      <xdr:colOff>548640</xdr:colOff>
      <xdr:row>58</xdr:row>
      <xdr:rowOff>91440</xdr:rowOff>
    </xdr:from>
    <xdr:to>
      <xdr:col>111</xdr:col>
      <xdr:colOff>0</xdr:colOff>
      <xdr:row>59</xdr:row>
      <xdr:rowOff>7620</xdr:rowOff>
    </xdr:to>
    <xdr:sp macro="" textlink="">
      <xdr:nvSpPr>
        <xdr:cNvPr id="32809" name="Line 57">
          <a:extLst>
            <a:ext uri="{FF2B5EF4-FFF2-40B4-BE49-F238E27FC236}">
              <a16:creationId xmlns:a16="http://schemas.microsoft.com/office/drawing/2014/main" id="{00000000-0008-0000-0800-000029800000}"/>
            </a:ext>
          </a:extLst>
        </xdr:cNvPr>
        <xdr:cNvSpPr>
          <a:spLocks noChangeShapeType="1"/>
        </xdr:cNvSpPr>
      </xdr:nvSpPr>
      <xdr:spPr bwMode="auto">
        <a:xfrm>
          <a:off x="73753980" y="9982200"/>
          <a:ext cx="2164080" cy="914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118</xdr:col>
      <xdr:colOff>60960</xdr:colOff>
      <xdr:row>59</xdr:row>
      <xdr:rowOff>91440</xdr:rowOff>
    </xdr:from>
    <xdr:to>
      <xdr:col>118</xdr:col>
      <xdr:colOff>647700</xdr:colOff>
      <xdr:row>59</xdr:row>
      <xdr:rowOff>91440</xdr:rowOff>
    </xdr:to>
    <xdr:sp macro="" textlink="">
      <xdr:nvSpPr>
        <xdr:cNvPr id="32810" name="Line 58">
          <a:extLst>
            <a:ext uri="{FF2B5EF4-FFF2-40B4-BE49-F238E27FC236}">
              <a16:creationId xmlns:a16="http://schemas.microsoft.com/office/drawing/2014/main" id="{00000000-0008-0000-0800-00002A800000}"/>
            </a:ext>
          </a:extLst>
        </xdr:cNvPr>
        <xdr:cNvSpPr>
          <a:spLocks noChangeShapeType="1"/>
        </xdr:cNvSpPr>
      </xdr:nvSpPr>
      <xdr:spPr bwMode="auto">
        <a:xfrm>
          <a:off x="80726280" y="1015746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118</xdr:col>
      <xdr:colOff>76200</xdr:colOff>
      <xdr:row>60</xdr:row>
      <xdr:rowOff>114300</xdr:rowOff>
    </xdr:from>
    <xdr:to>
      <xdr:col>118</xdr:col>
      <xdr:colOff>662940</xdr:colOff>
      <xdr:row>60</xdr:row>
      <xdr:rowOff>114300</xdr:rowOff>
    </xdr:to>
    <xdr:sp macro="" textlink="">
      <xdr:nvSpPr>
        <xdr:cNvPr id="32811" name="Line 59">
          <a:extLst>
            <a:ext uri="{FF2B5EF4-FFF2-40B4-BE49-F238E27FC236}">
              <a16:creationId xmlns:a16="http://schemas.microsoft.com/office/drawing/2014/main" id="{00000000-0008-0000-0800-00002B800000}"/>
            </a:ext>
          </a:extLst>
        </xdr:cNvPr>
        <xdr:cNvSpPr>
          <a:spLocks noChangeShapeType="1"/>
        </xdr:cNvSpPr>
      </xdr:nvSpPr>
      <xdr:spPr bwMode="auto">
        <a:xfrm>
          <a:off x="80741520" y="1035558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118</xdr:col>
      <xdr:colOff>76200</xdr:colOff>
      <xdr:row>61</xdr:row>
      <xdr:rowOff>99060</xdr:rowOff>
    </xdr:from>
    <xdr:to>
      <xdr:col>118</xdr:col>
      <xdr:colOff>662940</xdr:colOff>
      <xdr:row>61</xdr:row>
      <xdr:rowOff>99060</xdr:rowOff>
    </xdr:to>
    <xdr:sp macro="" textlink="">
      <xdr:nvSpPr>
        <xdr:cNvPr id="32812" name="Line 60">
          <a:extLst>
            <a:ext uri="{FF2B5EF4-FFF2-40B4-BE49-F238E27FC236}">
              <a16:creationId xmlns:a16="http://schemas.microsoft.com/office/drawing/2014/main" id="{00000000-0008-0000-0800-00002C800000}"/>
            </a:ext>
          </a:extLst>
        </xdr:cNvPr>
        <xdr:cNvSpPr>
          <a:spLocks noChangeShapeType="1"/>
        </xdr:cNvSpPr>
      </xdr:nvSpPr>
      <xdr:spPr bwMode="auto">
        <a:xfrm>
          <a:off x="80741520" y="1051560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115</xdr:col>
      <xdr:colOff>548640</xdr:colOff>
      <xdr:row>58</xdr:row>
      <xdr:rowOff>91440</xdr:rowOff>
    </xdr:from>
    <xdr:to>
      <xdr:col>119</xdr:col>
      <xdr:colOff>0</xdr:colOff>
      <xdr:row>59</xdr:row>
      <xdr:rowOff>7620</xdr:rowOff>
    </xdr:to>
    <xdr:sp macro="" textlink="">
      <xdr:nvSpPr>
        <xdr:cNvPr id="32813" name="Line 61">
          <a:extLst>
            <a:ext uri="{FF2B5EF4-FFF2-40B4-BE49-F238E27FC236}">
              <a16:creationId xmlns:a16="http://schemas.microsoft.com/office/drawing/2014/main" id="{00000000-0008-0000-0800-00002D800000}"/>
            </a:ext>
          </a:extLst>
        </xdr:cNvPr>
        <xdr:cNvSpPr>
          <a:spLocks noChangeShapeType="1"/>
        </xdr:cNvSpPr>
      </xdr:nvSpPr>
      <xdr:spPr bwMode="auto">
        <a:xfrm>
          <a:off x="79179420" y="9982200"/>
          <a:ext cx="2164080" cy="914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126</xdr:col>
      <xdr:colOff>60960</xdr:colOff>
      <xdr:row>59</xdr:row>
      <xdr:rowOff>91440</xdr:rowOff>
    </xdr:from>
    <xdr:to>
      <xdr:col>126</xdr:col>
      <xdr:colOff>647700</xdr:colOff>
      <xdr:row>59</xdr:row>
      <xdr:rowOff>91440</xdr:rowOff>
    </xdr:to>
    <xdr:sp macro="" textlink="">
      <xdr:nvSpPr>
        <xdr:cNvPr id="32814" name="Line 62">
          <a:extLst>
            <a:ext uri="{FF2B5EF4-FFF2-40B4-BE49-F238E27FC236}">
              <a16:creationId xmlns:a16="http://schemas.microsoft.com/office/drawing/2014/main" id="{00000000-0008-0000-0800-00002E800000}"/>
            </a:ext>
          </a:extLst>
        </xdr:cNvPr>
        <xdr:cNvSpPr>
          <a:spLocks noChangeShapeType="1"/>
        </xdr:cNvSpPr>
      </xdr:nvSpPr>
      <xdr:spPr bwMode="auto">
        <a:xfrm>
          <a:off x="86151720" y="1015746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126</xdr:col>
      <xdr:colOff>76200</xdr:colOff>
      <xdr:row>60</xdr:row>
      <xdr:rowOff>114300</xdr:rowOff>
    </xdr:from>
    <xdr:to>
      <xdr:col>126</xdr:col>
      <xdr:colOff>662940</xdr:colOff>
      <xdr:row>60</xdr:row>
      <xdr:rowOff>114300</xdr:rowOff>
    </xdr:to>
    <xdr:sp macro="" textlink="">
      <xdr:nvSpPr>
        <xdr:cNvPr id="32815" name="Line 63">
          <a:extLst>
            <a:ext uri="{FF2B5EF4-FFF2-40B4-BE49-F238E27FC236}">
              <a16:creationId xmlns:a16="http://schemas.microsoft.com/office/drawing/2014/main" id="{00000000-0008-0000-0800-00002F800000}"/>
            </a:ext>
          </a:extLst>
        </xdr:cNvPr>
        <xdr:cNvSpPr>
          <a:spLocks noChangeShapeType="1"/>
        </xdr:cNvSpPr>
      </xdr:nvSpPr>
      <xdr:spPr bwMode="auto">
        <a:xfrm>
          <a:off x="86166960" y="1035558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126</xdr:col>
      <xdr:colOff>76200</xdr:colOff>
      <xdr:row>61</xdr:row>
      <xdr:rowOff>99060</xdr:rowOff>
    </xdr:from>
    <xdr:to>
      <xdr:col>126</xdr:col>
      <xdr:colOff>662940</xdr:colOff>
      <xdr:row>61</xdr:row>
      <xdr:rowOff>99060</xdr:rowOff>
    </xdr:to>
    <xdr:sp macro="" textlink="">
      <xdr:nvSpPr>
        <xdr:cNvPr id="32816" name="Line 64">
          <a:extLst>
            <a:ext uri="{FF2B5EF4-FFF2-40B4-BE49-F238E27FC236}">
              <a16:creationId xmlns:a16="http://schemas.microsoft.com/office/drawing/2014/main" id="{00000000-0008-0000-0800-000030800000}"/>
            </a:ext>
          </a:extLst>
        </xdr:cNvPr>
        <xdr:cNvSpPr>
          <a:spLocks noChangeShapeType="1"/>
        </xdr:cNvSpPr>
      </xdr:nvSpPr>
      <xdr:spPr bwMode="auto">
        <a:xfrm>
          <a:off x="86166960" y="1051560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123</xdr:col>
      <xdr:colOff>548640</xdr:colOff>
      <xdr:row>58</xdr:row>
      <xdr:rowOff>91440</xdr:rowOff>
    </xdr:from>
    <xdr:to>
      <xdr:col>127</xdr:col>
      <xdr:colOff>0</xdr:colOff>
      <xdr:row>59</xdr:row>
      <xdr:rowOff>7620</xdr:rowOff>
    </xdr:to>
    <xdr:sp macro="" textlink="">
      <xdr:nvSpPr>
        <xdr:cNvPr id="32817" name="Line 65">
          <a:extLst>
            <a:ext uri="{FF2B5EF4-FFF2-40B4-BE49-F238E27FC236}">
              <a16:creationId xmlns:a16="http://schemas.microsoft.com/office/drawing/2014/main" id="{00000000-0008-0000-0800-000031800000}"/>
            </a:ext>
          </a:extLst>
        </xdr:cNvPr>
        <xdr:cNvSpPr>
          <a:spLocks noChangeShapeType="1"/>
        </xdr:cNvSpPr>
      </xdr:nvSpPr>
      <xdr:spPr bwMode="auto">
        <a:xfrm>
          <a:off x="84604860" y="9982200"/>
          <a:ext cx="2164080" cy="914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134</xdr:col>
      <xdr:colOff>60960</xdr:colOff>
      <xdr:row>59</xdr:row>
      <xdr:rowOff>91440</xdr:rowOff>
    </xdr:from>
    <xdr:to>
      <xdr:col>134</xdr:col>
      <xdr:colOff>647700</xdr:colOff>
      <xdr:row>59</xdr:row>
      <xdr:rowOff>91440</xdr:rowOff>
    </xdr:to>
    <xdr:sp macro="" textlink="">
      <xdr:nvSpPr>
        <xdr:cNvPr id="32818" name="Line 66">
          <a:extLst>
            <a:ext uri="{FF2B5EF4-FFF2-40B4-BE49-F238E27FC236}">
              <a16:creationId xmlns:a16="http://schemas.microsoft.com/office/drawing/2014/main" id="{00000000-0008-0000-0800-000032800000}"/>
            </a:ext>
          </a:extLst>
        </xdr:cNvPr>
        <xdr:cNvSpPr>
          <a:spLocks noChangeShapeType="1"/>
        </xdr:cNvSpPr>
      </xdr:nvSpPr>
      <xdr:spPr bwMode="auto">
        <a:xfrm>
          <a:off x="91577160" y="1015746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134</xdr:col>
      <xdr:colOff>76200</xdr:colOff>
      <xdr:row>60</xdr:row>
      <xdr:rowOff>114300</xdr:rowOff>
    </xdr:from>
    <xdr:to>
      <xdr:col>134</xdr:col>
      <xdr:colOff>662940</xdr:colOff>
      <xdr:row>60</xdr:row>
      <xdr:rowOff>114300</xdr:rowOff>
    </xdr:to>
    <xdr:sp macro="" textlink="">
      <xdr:nvSpPr>
        <xdr:cNvPr id="32819" name="Line 67">
          <a:extLst>
            <a:ext uri="{FF2B5EF4-FFF2-40B4-BE49-F238E27FC236}">
              <a16:creationId xmlns:a16="http://schemas.microsoft.com/office/drawing/2014/main" id="{00000000-0008-0000-0800-000033800000}"/>
            </a:ext>
          </a:extLst>
        </xdr:cNvPr>
        <xdr:cNvSpPr>
          <a:spLocks noChangeShapeType="1"/>
        </xdr:cNvSpPr>
      </xdr:nvSpPr>
      <xdr:spPr bwMode="auto">
        <a:xfrm>
          <a:off x="91592400" y="1035558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134</xdr:col>
      <xdr:colOff>76200</xdr:colOff>
      <xdr:row>61</xdr:row>
      <xdr:rowOff>99060</xdr:rowOff>
    </xdr:from>
    <xdr:to>
      <xdr:col>134</xdr:col>
      <xdr:colOff>662940</xdr:colOff>
      <xdr:row>61</xdr:row>
      <xdr:rowOff>99060</xdr:rowOff>
    </xdr:to>
    <xdr:sp macro="" textlink="">
      <xdr:nvSpPr>
        <xdr:cNvPr id="32820" name="Line 68">
          <a:extLst>
            <a:ext uri="{FF2B5EF4-FFF2-40B4-BE49-F238E27FC236}">
              <a16:creationId xmlns:a16="http://schemas.microsoft.com/office/drawing/2014/main" id="{00000000-0008-0000-0800-000034800000}"/>
            </a:ext>
          </a:extLst>
        </xdr:cNvPr>
        <xdr:cNvSpPr>
          <a:spLocks noChangeShapeType="1"/>
        </xdr:cNvSpPr>
      </xdr:nvSpPr>
      <xdr:spPr bwMode="auto">
        <a:xfrm>
          <a:off x="91592400" y="1051560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131</xdr:col>
      <xdr:colOff>548640</xdr:colOff>
      <xdr:row>58</xdr:row>
      <xdr:rowOff>91440</xdr:rowOff>
    </xdr:from>
    <xdr:to>
      <xdr:col>135</xdr:col>
      <xdr:colOff>0</xdr:colOff>
      <xdr:row>59</xdr:row>
      <xdr:rowOff>7620</xdr:rowOff>
    </xdr:to>
    <xdr:sp macro="" textlink="">
      <xdr:nvSpPr>
        <xdr:cNvPr id="32821" name="Line 69">
          <a:extLst>
            <a:ext uri="{FF2B5EF4-FFF2-40B4-BE49-F238E27FC236}">
              <a16:creationId xmlns:a16="http://schemas.microsoft.com/office/drawing/2014/main" id="{00000000-0008-0000-0800-000035800000}"/>
            </a:ext>
          </a:extLst>
        </xdr:cNvPr>
        <xdr:cNvSpPr>
          <a:spLocks noChangeShapeType="1"/>
        </xdr:cNvSpPr>
      </xdr:nvSpPr>
      <xdr:spPr bwMode="auto">
        <a:xfrm>
          <a:off x="90030300" y="9982200"/>
          <a:ext cx="2164080" cy="914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142</xdr:col>
      <xdr:colOff>60960</xdr:colOff>
      <xdr:row>59</xdr:row>
      <xdr:rowOff>91440</xdr:rowOff>
    </xdr:from>
    <xdr:to>
      <xdr:col>142</xdr:col>
      <xdr:colOff>647700</xdr:colOff>
      <xdr:row>59</xdr:row>
      <xdr:rowOff>91440</xdr:rowOff>
    </xdr:to>
    <xdr:sp macro="" textlink="">
      <xdr:nvSpPr>
        <xdr:cNvPr id="32822" name="Line 70">
          <a:extLst>
            <a:ext uri="{FF2B5EF4-FFF2-40B4-BE49-F238E27FC236}">
              <a16:creationId xmlns:a16="http://schemas.microsoft.com/office/drawing/2014/main" id="{00000000-0008-0000-0800-000036800000}"/>
            </a:ext>
          </a:extLst>
        </xdr:cNvPr>
        <xdr:cNvSpPr>
          <a:spLocks noChangeShapeType="1"/>
        </xdr:cNvSpPr>
      </xdr:nvSpPr>
      <xdr:spPr bwMode="auto">
        <a:xfrm>
          <a:off x="97002600" y="1015746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142</xdr:col>
      <xdr:colOff>76200</xdr:colOff>
      <xdr:row>60</xdr:row>
      <xdr:rowOff>114300</xdr:rowOff>
    </xdr:from>
    <xdr:to>
      <xdr:col>142</xdr:col>
      <xdr:colOff>662940</xdr:colOff>
      <xdr:row>60</xdr:row>
      <xdr:rowOff>114300</xdr:rowOff>
    </xdr:to>
    <xdr:sp macro="" textlink="">
      <xdr:nvSpPr>
        <xdr:cNvPr id="32823" name="Line 71">
          <a:extLst>
            <a:ext uri="{FF2B5EF4-FFF2-40B4-BE49-F238E27FC236}">
              <a16:creationId xmlns:a16="http://schemas.microsoft.com/office/drawing/2014/main" id="{00000000-0008-0000-0800-000037800000}"/>
            </a:ext>
          </a:extLst>
        </xdr:cNvPr>
        <xdr:cNvSpPr>
          <a:spLocks noChangeShapeType="1"/>
        </xdr:cNvSpPr>
      </xdr:nvSpPr>
      <xdr:spPr bwMode="auto">
        <a:xfrm>
          <a:off x="97017840" y="1035558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142</xdr:col>
      <xdr:colOff>76200</xdr:colOff>
      <xdr:row>61</xdr:row>
      <xdr:rowOff>99060</xdr:rowOff>
    </xdr:from>
    <xdr:to>
      <xdr:col>142</xdr:col>
      <xdr:colOff>662940</xdr:colOff>
      <xdr:row>61</xdr:row>
      <xdr:rowOff>99060</xdr:rowOff>
    </xdr:to>
    <xdr:sp macro="" textlink="">
      <xdr:nvSpPr>
        <xdr:cNvPr id="32824" name="Line 72">
          <a:extLst>
            <a:ext uri="{FF2B5EF4-FFF2-40B4-BE49-F238E27FC236}">
              <a16:creationId xmlns:a16="http://schemas.microsoft.com/office/drawing/2014/main" id="{00000000-0008-0000-0800-000038800000}"/>
            </a:ext>
          </a:extLst>
        </xdr:cNvPr>
        <xdr:cNvSpPr>
          <a:spLocks noChangeShapeType="1"/>
        </xdr:cNvSpPr>
      </xdr:nvSpPr>
      <xdr:spPr bwMode="auto">
        <a:xfrm>
          <a:off x="97017840" y="1051560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139</xdr:col>
      <xdr:colOff>548640</xdr:colOff>
      <xdr:row>58</xdr:row>
      <xdr:rowOff>91440</xdr:rowOff>
    </xdr:from>
    <xdr:to>
      <xdr:col>143</xdr:col>
      <xdr:colOff>0</xdr:colOff>
      <xdr:row>59</xdr:row>
      <xdr:rowOff>7620</xdr:rowOff>
    </xdr:to>
    <xdr:sp macro="" textlink="">
      <xdr:nvSpPr>
        <xdr:cNvPr id="32825" name="Line 73">
          <a:extLst>
            <a:ext uri="{FF2B5EF4-FFF2-40B4-BE49-F238E27FC236}">
              <a16:creationId xmlns:a16="http://schemas.microsoft.com/office/drawing/2014/main" id="{00000000-0008-0000-0800-000039800000}"/>
            </a:ext>
          </a:extLst>
        </xdr:cNvPr>
        <xdr:cNvSpPr>
          <a:spLocks noChangeShapeType="1"/>
        </xdr:cNvSpPr>
      </xdr:nvSpPr>
      <xdr:spPr bwMode="auto">
        <a:xfrm>
          <a:off x="95455740" y="9982200"/>
          <a:ext cx="2164080" cy="914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150</xdr:col>
      <xdr:colOff>60960</xdr:colOff>
      <xdr:row>59</xdr:row>
      <xdr:rowOff>91440</xdr:rowOff>
    </xdr:from>
    <xdr:to>
      <xdr:col>150</xdr:col>
      <xdr:colOff>647700</xdr:colOff>
      <xdr:row>59</xdr:row>
      <xdr:rowOff>91440</xdr:rowOff>
    </xdr:to>
    <xdr:sp macro="" textlink="">
      <xdr:nvSpPr>
        <xdr:cNvPr id="32826" name="Line 74">
          <a:extLst>
            <a:ext uri="{FF2B5EF4-FFF2-40B4-BE49-F238E27FC236}">
              <a16:creationId xmlns:a16="http://schemas.microsoft.com/office/drawing/2014/main" id="{00000000-0008-0000-0800-00003A800000}"/>
            </a:ext>
          </a:extLst>
        </xdr:cNvPr>
        <xdr:cNvSpPr>
          <a:spLocks noChangeShapeType="1"/>
        </xdr:cNvSpPr>
      </xdr:nvSpPr>
      <xdr:spPr bwMode="auto">
        <a:xfrm>
          <a:off x="102428040" y="1015746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150</xdr:col>
      <xdr:colOff>76200</xdr:colOff>
      <xdr:row>60</xdr:row>
      <xdr:rowOff>114300</xdr:rowOff>
    </xdr:from>
    <xdr:to>
      <xdr:col>150</xdr:col>
      <xdr:colOff>662940</xdr:colOff>
      <xdr:row>60</xdr:row>
      <xdr:rowOff>114300</xdr:rowOff>
    </xdr:to>
    <xdr:sp macro="" textlink="">
      <xdr:nvSpPr>
        <xdr:cNvPr id="32827" name="Line 75">
          <a:extLst>
            <a:ext uri="{FF2B5EF4-FFF2-40B4-BE49-F238E27FC236}">
              <a16:creationId xmlns:a16="http://schemas.microsoft.com/office/drawing/2014/main" id="{00000000-0008-0000-0800-00003B800000}"/>
            </a:ext>
          </a:extLst>
        </xdr:cNvPr>
        <xdr:cNvSpPr>
          <a:spLocks noChangeShapeType="1"/>
        </xdr:cNvSpPr>
      </xdr:nvSpPr>
      <xdr:spPr bwMode="auto">
        <a:xfrm>
          <a:off x="102443280" y="1035558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150</xdr:col>
      <xdr:colOff>76200</xdr:colOff>
      <xdr:row>61</xdr:row>
      <xdr:rowOff>99060</xdr:rowOff>
    </xdr:from>
    <xdr:to>
      <xdr:col>150</xdr:col>
      <xdr:colOff>662940</xdr:colOff>
      <xdr:row>61</xdr:row>
      <xdr:rowOff>99060</xdr:rowOff>
    </xdr:to>
    <xdr:sp macro="" textlink="">
      <xdr:nvSpPr>
        <xdr:cNvPr id="32828" name="Line 76">
          <a:extLst>
            <a:ext uri="{FF2B5EF4-FFF2-40B4-BE49-F238E27FC236}">
              <a16:creationId xmlns:a16="http://schemas.microsoft.com/office/drawing/2014/main" id="{00000000-0008-0000-0800-00003C800000}"/>
            </a:ext>
          </a:extLst>
        </xdr:cNvPr>
        <xdr:cNvSpPr>
          <a:spLocks noChangeShapeType="1"/>
        </xdr:cNvSpPr>
      </xdr:nvSpPr>
      <xdr:spPr bwMode="auto">
        <a:xfrm>
          <a:off x="102443280" y="1051560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147</xdr:col>
      <xdr:colOff>548640</xdr:colOff>
      <xdr:row>58</xdr:row>
      <xdr:rowOff>91440</xdr:rowOff>
    </xdr:from>
    <xdr:to>
      <xdr:col>151</xdr:col>
      <xdr:colOff>0</xdr:colOff>
      <xdr:row>59</xdr:row>
      <xdr:rowOff>7620</xdr:rowOff>
    </xdr:to>
    <xdr:sp macro="" textlink="">
      <xdr:nvSpPr>
        <xdr:cNvPr id="32829" name="Line 77">
          <a:extLst>
            <a:ext uri="{FF2B5EF4-FFF2-40B4-BE49-F238E27FC236}">
              <a16:creationId xmlns:a16="http://schemas.microsoft.com/office/drawing/2014/main" id="{00000000-0008-0000-0800-00003D800000}"/>
            </a:ext>
          </a:extLst>
        </xdr:cNvPr>
        <xdr:cNvSpPr>
          <a:spLocks noChangeShapeType="1"/>
        </xdr:cNvSpPr>
      </xdr:nvSpPr>
      <xdr:spPr bwMode="auto">
        <a:xfrm>
          <a:off x="100881180" y="9982200"/>
          <a:ext cx="2164080" cy="914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158</xdr:col>
      <xdr:colOff>60960</xdr:colOff>
      <xdr:row>59</xdr:row>
      <xdr:rowOff>91440</xdr:rowOff>
    </xdr:from>
    <xdr:to>
      <xdr:col>158</xdr:col>
      <xdr:colOff>647700</xdr:colOff>
      <xdr:row>59</xdr:row>
      <xdr:rowOff>91440</xdr:rowOff>
    </xdr:to>
    <xdr:sp macro="" textlink="">
      <xdr:nvSpPr>
        <xdr:cNvPr id="32830" name="Line 78">
          <a:extLst>
            <a:ext uri="{FF2B5EF4-FFF2-40B4-BE49-F238E27FC236}">
              <a16:creationId xmlns:a16="http://schemas.microsoft.com/office/drawing/2014/main" id="{00000000-0008-0000-0800-00003E800000}"/>
            </a:ext>
          </a:extLst>
        </xdr:cNvPr>
        <xdr:cNvSpPr>
          <a:spLocks noChangeShapeType="1"/>
        </xdr:cNvSpPr>
      </xdr:nvSpPr>
      <xdr:spPr bwMode="auto">
        <a:xfrm>
          <a:off x="107853480" y="1015746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158</xdr:col>
      <xdr:colOff>76200</xdr:colOff>
      <xdr:row>60</xdr:row>
      <xdr:rowOff>114300</xdr:rowOff>
    </xdr:from>
    <xdr:to>
      <xdr:col>158</xdr:col>
      <xdr:colOff>662940</xdr:colOff>
      <xdr:row>60</xdr:row>
      <xdr:rowOff>114300</xdr:rowOff>
    </xdr:to>
    <xdr:sp macro="" textlink="">
      <xdr:nvSpPr>
        <xdr:cNvPr id="32831" name="Line 79">
          <a:extLst>
            <a:ext uri="{FF2B5EF4-FFF2-40B4-BE49-F238E27FC236}">
              <a16:creationId xmlns:a16="http://schemas.microsoft.com/office/drawing/2014/main" id="{00000000-0008-0000-0800-00003F800000}"/>
            </a:ext>
          </a:extLst>
        </xdr:cNvPr>
        <xdr:cNvSpPr>
          <a:spLocks noChangeShapeType="1"/>
        </xdr:cNvSpPr>
      </xdr:nvSpPr>
      <xdr:spPr bwMode="auto">
        <a:xfrm>
          <a:off x="107868720" y="1035558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158</xdr:col>
      <xdr:colOff>76200</xdr:colOff>
      <xdr:row>61</xdr:row>
      <xdr:rowOff>99060</xdr:rowOff>
    </xdr:from>
    <xdr:to>
      <xdr:col>158</xdr:col>
      <xdr:colOff>662940</xdr:colOff>
      <xdr:row>61</xdr:row>
      <xdr:rowOff>99060</xdr:rowOff>
    </xdr:to>
    <xdr:sp macro="" textlink="">
      <xdr:nvSpPr>
        <xdr:cNvPr id="32832" name="Line 80">
          <a:extLst>
            <a:ext uri="{FF2B5EF4-FFF2-40B4-BE49-F238E27FC236}">
              <a16:creationId xmlns:a16="http://schemas.microsoft.com/office/drawing/2014/main" id="{00000000-0008-0000-0800-000040800000}"/>
            </a:ext>
          </a:extLst>
        </xdr:cNvPr>
        <xdr:cNvSpPr>
          <a:spLocks noChangeShapeType="1"/>
        </xdr:cNvSpPr>
      </xdr:nvSpPr>
      <xdr:spPr bwMode="auto">
        <a:xfrm>
          <a:off x="107868720" y="1051560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155</xdr:col>
      <xdr:colOff>548640</xdr:colOff>
      <xdr:row>58</xdr:row>
      <xdr:rowOff>91440</xdr:rowOff>
    </xdr:from>
    <xdr:to>
      <xdr:col>159</xdr:col>
      <xdr:colOff>0</xdr:colOff>
      <xdr:row>59</xdr:row>
      <xdr:rowOff>7620</xdr:rowOff>
    </xdr:to>
    <xdr:sp macro="" textlink="">
      <xdr:nvSpPr>
        <xdr:cNvPr id="32833" name="Line 81">
          <a:extLst>
            <a:ext uri="{FF2B5EF4-FFF2-40B4-BE49-F238E27FC236}">
              <a16:creationId xmlns:a16="http://schemas.microsoft.com/office/drawing/2014/main" id="{00000000-0008-0000-0800-000041800000}"/>
            </a:ext>
          </a:extLst>
        </xdr:cNvPr>
        <xdr:cNvSpPr>
          <a:spLocks noChangeShapeType="1"/>
        </xdr:cNvSpPr>
      </xdr:nvSpPr>
      <xdr:spPr bwMode="auto">
        <a:xfrm>
          <a:off x="106306620" y="9982200"/>
          <a:ext cx="2164080" cy="914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166</xdr:col>
      <xdr:colOff>60960</xdr:colOff>
      <xdr:row>59</xdr:row>
      <xdr:rowOff>91440</xdr:rowOff>
    </xdr:from>
    <xdr:to>
      <xdr:col>166</xdr:col>
      <xdr:colOff>647700</xdr:colOff>
      <xdr:row>59</xdr:row>
      <xdr:rowOff>91440</xdr:rowOff>
    </xdr:to>
    <xdr:sp macro="" textlink="">
      <xdr:nvSpPr>
        <xdr:cNvPr id="32834" name="Line 82">
          <a:extLst>
            <a:ext uri="{FF2B5EF4-FFF2-40B4-BE49-F238E27FC236}">
              <a16:creationId xmlns:a16="http://schemas.microsoft.com/office/drawing/2014/main" id="{00000000-0008-0000-0800-000042800000}"/>
            </a:ext>
          </a:extLst>
        </xdr:cNvPr>
        <xdr:cNvSpPr>
          <a:spLocks noChangeShapeType="1"/>
        </xdr:cNvSpPr>
      </xdr:nvSpPr>
      <xdr:spPr bwMode="auto">
        <a:xfrm>
          <a:off x="113278920" y="1015746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166</xdr:col>
      <xdr:colOff>76200</xdr:colOff>
      <xdr:row>60</xdr:row>
      <xdr:rowOff>114300</xdr:rowOff>
    </xdr:from>
    <xdr:to>
      <xdr:col>166</xdr:col>
      <xdr:colOff>662940</xdr:colOff>
      <xdr:row>60</xdr:row>
      <xdr:rowOff>114300</xdr:rowOff>
    </xdr:to>
    <xdr:sp macro="" textlink="">
      <xdr:nvSpPr>
        <xdr:cNvPr id="32835" name="Line 83">
          <a:extLst>
            <a:ext uri="{FF2B5EF4-FFF2-40B4-BE49-F238E27FC236}">
              <a16:creationId xmlns:a16="http://schemas.microsoft.com/office/drawing/2014/main" id="{00000000-0008-0000-0800-000043800000}"/>
            </a:ext>
          </a:extLst>
        </xdr:cNvPr>
        <xdr:cNvSpPr>
          <a:spLocks noChangeShapeType="1"/>
        </xdr:cNvSpPr>
      </xdr:nvSpPr>
      <xdr:spPr bwMode="auto">
        <a:xfrm>
          <a:off x="113294160" y="1035558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166</xdr:col>
      <xdr:colOff>76200</xdr:colOff>
      <xdr:row>61</xdr:row>
      <xdr:rowOff>99060</xdr:rowOff>
    </xdr:from>
    <xdr:to>
      <xdr:col>166</xdr:col>
      <xdr:colOff>662940</xdr:colOff>
      <xdr:row>61</xdr:row>
      <xdr:rowOff>99060</xdr:rowOff>
    </xdr:to>
    <xdr:sp macro="" textlink="">
      <xdr:nvSpPr>
        <xdr:cNvPr id="32836" name="Line 84">
          <a:extLst>
            <a:ext uri="{FF2B5EF4-FFF2-40B4-BE49-F238E27FC236}">
              <a16:creationId xmlns:a16="http://schemas.microsoft.com/office/drawing/2014/main" id="{00000000-0008-0000-0800-000044800000}"/>
            </a:ext>
          </a:extLst>
        </xdr:cNvPr>
        <xdr:cNvSpPr>
          <a:spLocks noChangeShapeType="1"/>
        </xdr:cNvSpPr>
      </xdr:nvSpPr>
      <xdr:spPr bwMode="auto">
        <a:xfrm>
          <a:off x="113294160" y="1051560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163</xdr:col>
      <xdr:colOff>548640</xdr:colOff>
      <xdr:row>58</xdr:row>
      <xdr:rowOff>91440</xdr:rowOff>
    </xdr:from>
    <xdr:to>
      <xdr:col>167</xdr:col>
      <xdr:colOff>0</xdr:colOff>
      <xdr:row>59</xdr:row>
      <xdr:rowOff>7620</xdr:rowOff>
    </xdr:to>
    <xdr:sp macro="" textlink="">
      <xdr:nvSpPr>
        <xdr:cNvPr id="32837" name="Line 85">
          <a:extLst>
            <a:ext uri="{FF2B5EF4-FFF2-40B4-BE49-F238E27FC236}">
              <a16:creationId xmlns:a16="http://schemas.microsoft.com/office/drawing/2014/main" id="{00000000-0008-0000-0800-000045800000}"/>
            </a:ext>
          </a:extLst>
        </xdr:cNvPr>
        <xdr:cNvSpPr>
          <a:spLocks noChangeShapeType="1"/>
        </xdr:cNvSpPr>
      </xdr:nvSpPr>
      <xdr:spPr bwMode="auto">
        <a:xfrm>
          <a:off x="111732060" y="9982200"/>
          <a:ext cx="2164080" cy="914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174</xdr:col>
      <xdr:colOff>60960</xdr:colOff>
      <xdr:row>59</xdr:row>
      <xdr:rowOff>91440</xdr:rowOff>
    </xdr:from>
    <xdr:to>
      <xdr:col>174</xdr:col>
      <xdr:colOff>647700</xdr:colOff>
      <xdr:row>59</xdr:row>
      <xdr:rowOff>91440</xdr:rowOff>
    </xdr:to>
    <xdr:sp macro="" textlink="">
      <xdr:nvSpPr>
        <xdr:cNvPr id="32838" name="Line 86">
          <a:extLst>
            <a:ext uri="{FF2B5EF4-FFF2-40B4-BE49-F238E27FC236}">
              <a16:creationId xmlns:a16="http://schemas.microsoft.com/office/drawing/2014/main" id="{00000000-0008-0000-0800-000046800000}"/>
            </a:ext>
          </a:extLst>
        </xdr:cNvPr>
        <xdr:cNvSpPr>
          <a:spLocks noChangeShapeType="1"/>
        </xdr:cNvSpPr>
      </xdr:nvSpPr>
      <xdr:spPr bwMode="auto">
        <a:xfrm>
          <a:off x="118704360" y="1015746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174</xdr:col>
      <xdr:colOff>76200</xdr:colOff>
      <xdr:row>60</xdr:row>
      <xdr:rowOff>114300</xdr:rowOff>
    </xdr:from>
    <xdr:to>
      <xdr:col>174</xdr:col>
      <xdr:colOff>662940</xdr:colOff>
      <xdr:row>60</xdr:row>
      <xdr:rowOff>114300</xdr:rowOff>
    </xdr:to>
    <xdr:sp macro="" textlink="">
      <xdr:nvSpPr>
        <xdr:cNvPr id="32839" name="Line 87">
          <a:extLst>
            <a:ext uri="{FF2B5EF4-FFF2-40B4-BE49-F238E27FC236}">
              <a16:creationId xmlns:a16="http://schemas.microsoft.com/office/drawing/2014/main" id="{00000000-0008-0000-0800-000047800000}"/>
            </a:ext>
          </a:extLst>
        </xdr:cNvPr>
        <xdr:cNvSpPr>
          <a:spLocks noChangeShapeType="1"/>
        </xdr:cNvSpPr>
      </xdr:nvSpPr>
      <xdr:spPr bwMode="auto">
        <a:xfrm>
          <a:off x="118719600" y="1035558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174</xdr:col>
      <xdr:colOff>76200</xdr:colOff>
      <xdr:row>61</xdr:row>
      <xdr:rowOff>99060</xdr:rowOff>
    </xdr:from>
    <xdr:to>
      <xdr:col>174</xdr:col>
      <xdr:colOff>662940</xdr:colOff>
      <xdr:row>61</xdr:row>
      <xdr:rowOff>99060</xdr:rowOff>
    </xdr:to>
    <xdr:sp macro="" textlink="">
      <xdr:nvSpPr>
        <xdr:cNvPr id="32840" name="Line 88">
          <a:extLst>
            <a:ext uri="{FF2B5EF4-FFF2-40B4-BE49-F238E27FC236}">
              <a16:creationId xmlns:a16="http://schemas.microsoft.com/office/drawing/2014/main" id="{00000000-0008-0000-0800-000048800000}"/>
            </a:ext>
          </a:extLst>
        </xdr:cNvPr>
        <xdr:cNvSpPr>
          <a:spLocks noChangeShapeType="1"/>
        </xdr:cNvSpPr>
      </xdr:nvSpPr>
      <xdr:spPr bwMode="auto">
        <a:xfrm>
          <a:off x="118719600" y="1051560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171</xdr:col>
      <xdr:colOff>548640</xdr:colOff>
      <xdr:row>58</xdr:row>
      <xdr:rowOff>91440</xdr:rowOff>
    </xdr:from>
    <xdr:to>
      <xdr:col>175</xdr:col>
      <xdr:colOff>0</xdr:colOff>
      <xdr:row>59</xdr:row>
      <xdr:rowOff>7620</xdr:rowOff>
    </xdr:to>
    <xdr:sp macro="" textlink="">
      <xdr:nvSpPr>
        <xdr:cNvPr id="32841" name="Line 89">
          <a:extLst>
            <a:ext uri="{FF2B5EF4-FFF2-40B4-BE49-F238E27FC236}">
              <a16:creationId xmlns:a16="http://schemas.microsoft.com/office/drawing/2014/main" id="{00000000-0008-0000-0800-000049800000}"/>
            </a:ext>
          </a:extLst>
        </xdr:cNvPr>
        <xdr:cNvSpPr>
          <a:spLocks noChangeShapeType="1"/>
        </xdr:cNvSpPr>
      </xdr:nvSpPr>
      <xdr:spPr bwMode="auto">
        <a:xfrm>
          <a:off x="117157500" y="9982200"/>
          <a:ext cx="2164080" cy="914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182</xdr:col>
      <xdr:colOff>60960</xdr:colOff>
      <xdr:row>59</xdr:row>
      <xdr:rowOff>91440</xdr:rowOff>
    </xdr:from>
    <xdr:to>
      <xdr:col>182</xdr:col>
      <xdr:colOff>647700</xdr:colOff>
      <xdr:row>59</xdr:row>
      <xdr:rowOff>91440</xdr:rowOff>
    </xdr:to>
    <xdr:sp macro="" textlink="">
      <xdr:nvSpPr>
        <xdr:cNvPr id="32842" name="Line 90">
          <a:extLst>
            <a:ext uri="{FF2B5EF4-FFF2-40B4-BE49-F238E27FC236}">
              <a16:creationId xmlns:a16="http://schemas.microsoft.com/office/drawing/2014/main" id="{00000000-0008-0000-0800-00004A800000}"/>
            </a:ext>
          </a:extLst>
        </xdr:cNvPr>
        <xdr:cNvSpPr>
          <a:spLocks noChangeShapeType="1"/>
        </xdr:cNvSpPr>
      </xdr:nvSpPr>
      <xdr:spPr bwMode="auto">
        <a:xfrm>
          <a:off x="124129800" y="1015746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182</xdr:col>
      <xdr:colOff>76200</xdr:colOff>
      <xdr:row>60</xdr:row>
      <xdr:rowOff>114300</xdr:rowOff>
    </xdr:from>
    <xdr:to>
      <xdr:col>182</xdr:col>
      <xdr:colOff>662940</xdr:colOff>
      <xdr:row>60</xdr:row>
      <xdr:rowOff>114300</xdr:rowOff>
    </xdr:to>
    <xdr:sp macro="" textlink="">
      <xdr:nvSpPr>
        <xdr:cNvPr id="32843" name="Line 91">
          <a:extLst>
            <a:ext uri="{FF2B5EF4-FFF2-40B4-BE49-F238E27FC236}">
              <a16:creationId xmlns:a16="http://schemas.microsoft.com/office/drawing/2014/main" id="{00000000-0008-0000-0800-00004B800000}"/>
            </a:ext>
          </a:extLst>
        </xdr:cNvPr>
        <xdr:cNvSpPr>
          <a:spLocks noChangeShapeType="1"/>
        </xdr:cNvSpPr>
      </xdr:nvSpPr>
      <xdr:spPr bwMode="auto">
        <a:xfrm>
          <a:off x="124145040" y="1035558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182</xdr:col>
      <xdr:colOff>76200</xdr:colOff>
      <xdr:row>61</xdr:row>
      <xdr:rowOff>99060</xdr:rowOff>
    </xdr:from>
    <xdr:to>
      <xdr:col>182</xdr:col>
      <xdr:colOff>662940</xdr:colOff>
      <xdr:row>61</xdr:row>
      <xdr:rowOff>99060</xdr:rowOff>
    </xdr:to>
    <xdr:sp macro="" textlink="">
      <xdr:nvSpPr>
        <xdr:cNvPr id="32844" name="Line 92">
          <a:extLst>
            <a:ext uri="{FF2B5EF4-FFF2-40B4-BE49-F238E27FC236}">
              <a16:creationId xmlns:a16="http://schemas.microsoft.com/office/drawing/2014/main" id="{00000000-0008-0000-0800-00004C800000}"/>
            </a:ext>
          </a:extLst>
        </xdr:cNvPr>
        <xdr:cNvSpPr>
          <a:spLocks noChangeShapeType="1"/>
        </xdr:cNvSpPr>
      </xdr:nvSpPr>
      <xdr:spPr bwMode="auto">
        <a:xfrm>
          <a:off x="124145040" y="1051560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179</xdr:col>
      <xdr:colOff>548640</xdr:colOff>
      <xdr:row>58</xdr:row>
      <xdr:rowOff>91440</xdr:rowOff>
    </xdr:from>
    <xdr:to>
      <xdr:col>183</xdr:col>
      <xdr:colOff>0</xdr:colOff>
      <xdr:row>59</xdr:row>
      <xdr:rowOff>7620</xdr:rowOff>
    </xdr:to>
    <xdr:sp macro="" textlink="">
      <xdr:nvSpPr>
        <xdr:cNvPr id="32845" name="Line 93">
          <a:extLst>
            <a:ext uri="{FF2B5EF4-FFF2-40B4-BE49-F238E27FC236}">
              <a16:creationId xmlns:a16="http://schemas.microsoft.com/office/drawing/2014/main" id="{00000000-0008-0000-0800-00004D800000}"/>
            </a:ext>
          </a:extLst>
        </xdr:cNvPr>
        <xdr:cNvSpPr>
          <a:spLocks noChangeShapeType="1"/>
        </xdr:cNvSpPr>
      </xdr:nvSpPr>
      <xdr:spPr bwMode="auto">
        <a:xfrm>
          <a:off x="122582940" y="9982200"/>
          <a:ext cx="2164080" cy="914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190</xdr:col>
      <xdr:colOff>60960</xdr:colOff>
      <xdr:row>59</xdr:row>
      <xdr:rowOff>91440</xdr:rowOff>
    </xdr:from>
    <xdr:to>
      <xdr:col>190</xdr:col>
      <xdr:colOff>647700</xdr:colOff>
      <xdr:row>59</xdr:row>
      <xdr:rowOff>91440</xdr:rowOff>
    </xdr:to>
    <xdr:sp macro="" textlink="">
      <xdr:nvSpPr>
        <xdr:cNvPr id="32846" name="Line 94">
          <a:extLst>
            <a:ext uri="{FF2B5EF4-FFF2-40B4-BE49-F238E27FC236}">
              <a16:creationId xmlns:a16="http://schemas.microsoft.com/office/drawing/2014/main" id="{00000000-0008-0000-0800-00004E800000}"/>
            </a:ext>
          </a:extLst>
        </xdr:cNvPr>
        <xdr:cNvSpPr>
          <a:spLocks noChangeShapeType="1"/>
        </xdr:cNvSpPr>
      </xdr:nvSpPr>
      <xdr:spPr bwMode="auto">
        <a:xfrm>
          <a:off x="129555240" y="1015746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190</xdr:col>
      <xdr:colOff>76200</xdr:colOff>
      <xdr:row>60</xdr:row>
      <xdr:rowOff>114300</xdr:rowOff>
    </xdr:from>
    <xdr:to>
      <xdr:col>190</xdr:col>
      <xdr:colOff>662940</xdr:colOff>
      <xdr:row>60</xdr:row>
      <xdr:rowOff>114300</xdr:rowOff>
    </xdr:to>
    <xdr:sp macro="" textlink="">
      <xdr:nvSpPr>
        <xdr:cNvPr id="32847" name="Line 95">
          <a:extLst>
            <a:ext uri="{FF2B5EF4-FFF2-40B4-BE49-F238E27FC236}">
              <a16:creationId xmlns:a16="http://schemas.microsoft.com/office/drawing/2014/main" id="{00000000-0008-0000-0800-00004F800000}"/>
            </a:ext>
          </a:extLst>
        </xdr:cNvPr>
        <xdr:cNvSpPr>
          <a:spLocks noChangeShapeType="1"/>
        </xdr:cNvSpPr>
      </xdr:nvSpPr>
      <xdr:spPr bwMode="auto">
        <a:xfrm>
          <a:off x="129570480" y="1035558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190</xdr:col>
      <xdr:colOff>76200</xdr:colOff>
      <xdr:row>61</xdr:row>
      <xdr:rowOff>99060</xdr:rowOff>
    </xdr:from>
    <xdr:to>
      <xdr:col>190</xdr:col>
      <xdr:colOff>662940</xdr:colOff>
      <xdr:row>61</xdr:row>
      <xdr:rowOff>99060</xdr:rowOff>
    </xdr:to>
    <xdr:sp macro="" textlink="">
      <xdr:nvSpPr>
        <xdr:cNvPr id="32848" name="Line 96">
          <a:extLst>
            <a:ext uri="{FF2B5EF4-FFF2-40B4-BE49-F238E27FC236}">
              <a16:creationId xmlns:a16="http://schemas.microsoft.com/office/drawing/2014/main" id="{00000000-0008-0000-0800-000050800000}"/>
            </a:ext>
          </a:extLst>
        </xdr:cNvPr>
        <xdr:cNvSpPr>
          <a:spLocks noChangeShapeType="1"/>
        </xdr:cNvSpPr>
      </xdr:nvSpPr>
      <xdr:spPr bwMode="auto">
        <a:xfrm>
          <a:off x="129570480" y="1051560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187</xdr:col>
      <xdr:colOff>548640</xdr:colOff>
      <xdr:row>58</xdr:row>
      <xdr:rowOff>91440</xdr:rowOff>
    </xdr:from>
    <xdr:to>
      <xdr:col>191</xdr:col>
      <xdr:colOff>0</xdr:colOff>
      <xdr:row>59</xdr:row>
      <xdr:rowOff>7620</xdr:rowOff>
    </xdr:to>
    <xdr:sp macro="" textlink="">
      <xdr:nvSpPr>
        <xdr:cNvPr id="32849" name="Line 97">
          <a:extLst>
            <a:ext uri="{FF2B5EF4-FFF2-40B4-BE49-F238E27FC236}">
              <a16:creationId xmlns:a16="http://schemas.microsoft.com/office/drawing/2014/main" id="{00000000-0008-0000-0800-000051800000}"/>
            </a:ext>
          </a:extLst>
        </xdr:cNvPr>
        <xdr:cNvSpPr>
          <a:spLocks noChangeShapeType="1"/>
        </xdr:cNvSpPr>
      </xdr:nvSpPr>
      <xdr:spPr bwMode="auto">
        <a:xfrm>
          <a:off x="128008380" y="9982200"/>
          <a:ext cx="2164080" cy="914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198</xdr:col>
      <xdr:colOff>60960</xdr:colOff>
      <xdr:row>59</xdr:row>
      <xdr:rowOff>91440</xdr:rowOff>
    </xdr:from>
    <xdr:to>
      <xdr:col>198</xdr:col>
      <xdr:colOff>647700</xdr:colOff>
      <xdr:row>59</xdr:row>
      <xdr:rowOff>91440</xdr:rowOff>
    </xdr:to>
    <xdr:sp macro="" textlink="">
      <xdr:nvSpPr>
        <xdr:cNvPr id="32850" name="Line 98">
          <a:extLst>
            <a:ext uri="{FF2B5EF4-FFF2-40B4-BE49-F238E27FC236}">
              <a16:creationId xmlns:a16="http://schemas.microsoft.com/office/drawing/2014/main" id="{00000000-0008-0000-0800-000052800000}"/>
            </a:ext>
          </a:extLst>
        </xdr:cNvPr>
        <xdr:cNvSpPr>
          <a:spLocks noChangeShapeType="1"/>
        </xdr:cNvSpPr>
      </xdr:nvSpPr>
      <xdr:spPr bwMode="auto">
        <a:xfrm>
          <a:off x="134980680" y="1015746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198</xdr:col>
      <xdr:colOff>76200</xdr:colOff>
      <xdr:row>60</xdr:row>
      <xdr:rowOff>114300</xdr:rowOff>
    </xdr:from>
    <xdr:to>
      <xdr:col>198</xdr:col>
      <xdr:colOff>662940</xdr:colOff>
      <xdr:row>60</xdr:row>
      <xdr:rowOff>114300</xdr:rowOff>
    </xdr:to>
    <xdr:sp macro="" textlink="">
      <xdr:nvSpPr>
        <xdr:cNvPr id="32851" name="Line 99">
          <a:extLst>
            <a:ext uri="{FF2B5EF4-FFF2-40B4-BE49-F238E27FC236}">
              <a16:creationId xmlns:a16="http://schemas.microsoft.com/office/drawing/2014/main" id="{00000000-0008-0000-0800-000053800000}"/>
            </a:ext>
          </a:extLst>
        </xdr:cNvPr>
        <xdr:cNvSpPr>
          <a:spLocks noChangeShapeType="1"/>
        </xdr:cNvSpPr>
      </xdr:nvSpPr>
      <xdr:spPr bwMode="auto">
        <a:xfrm>
          <a:off x="134995920" y="1035558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198</xdr:col>
      <xdr:colOff>76200</xdr:colOff>
      <xdr:row>61</xdr:row>
      <xdr:rowOff>99060</xdr:rowOff>
    </xdr:from>
    <xdr:to>
      <xdr:col>198</xdr:col>
      <xdr:colOff>662940</xdr:colOff>
      <xdr:row>61</xdr:row>
      <xdr:rowOff>99060</xdr:rowOff>
    </xdr:to>
    <xdr:sp macro="" textlink="">
      <xdr:nvSpPr>
        <xdr:cNvPr id="32852" name="Line 100">
          <a:extLst>
            <a:ext uri="{FF2B5EF4-FFF2-40B4-BE49-F238E27FC236}">
              <a16:creationId xmlns:a16="http://schemas.microsoft.com/office/drawing/2014/main" id="{00000000-0008-0000-0800-000054800000}"/>
            </a:ext>
          </a:extLst>
        </xdr:cNvPr>
        <xdr:cNvSpPr>
          <a:spLocks noChangeShapeType="1"/>
        </xdr:cNvSpPr>
      </xdr:nvSpPr>
      <xdr:spPr bwMode="auto">
        <a:xfrm>
          <a:off x="134995920" y="1051560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195</xdr:col>
      <xdr:colOff>548640</xdr:colOff>
      <xdr:row>58</xdr:row>
      <xdr:rowOff>91440</xdr:rowOff>
    </xdr:from>
    <xdr:to>
      <xdr:col>199</xdr:col>
      <xdr:colOff>0</xdr:colOff>
      <xdr:row>59</xdr:row>
      <xdr:rowOff>7620</xdr:rowOff>
    </xdr:to>
    <xdr:sp macro="" textlink="">
      <xdr:nvSpPr>
        <xdr:cNvPr id="32853" name="Line 101">
          <a:extLst>
            <a:ext uri="{FF2B5EF4-FFF2-40B4-BE49-F238E27FC236}">
              <a16:creationId xmlns:a16="http://schemas.microsoft.com/office/drawing/2014/main" id="{00000000-0008-0000-0800-000055800000}"/>
            </a:ext>
          </a:extLst>
        </xdr:cNvPr>
        <xdr:cNvSpPr>
          <a:spLocks noChangeShapeType="1"/>
        </xdr:cNvSpPr>
      </xdr:nvSpPr>
      <xdr:spPr bwMode="auto">
        <a:xfrm>
          <a:off x="133433820" y="9982200"/>
          <a:ext cx="2164080" cy="914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206</xdr:col>
      <xdr:colOff>60960</xdr:colOff>
      <xdr:row>59</xdr:row>
      <xdr:rowOff>91440</xdr:rowOff>
    </xdr:from>
    <xdr:to>
      <xdr:col>206</xdr:col>
      <xdr:colOff>647700</xdr:colOff>
      <xdr:row>59</xdr:row>
      <xdr:rowOff>91440</xdr:rowOff>
    </xdr:to>
    <xdr:sp macro="" textlink="">
      <xdr:nvSpPr>
        <xdr:cNvPr id="32854" name="Line 102">
          <a:extLst>
            <a:ext uri="{FF2B5EF4-FFF2-40B4-BE49-F238E27FC236}">
              <a16:creationId xmlns:a16="http://schemas.microsoft.com/office/drawing/2014/main" id="{00000000-0008-0000-0800-000056800000}"/>
            </a:ext>
          </a:extLst>
        </xdr:cNvPr>
        <xdr:cNvSpPr>
          <a:spLocks noChangeShapeType="1"/>
        </xdr:cNvSpPr>
      </xdr:nvSpPr>
      <xdr:spPr bwMode="auto">
        <a:xfrm>
          <a:off x="140406120" y="1015746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206</xdr:col>
      <xdr:colOff>76200</xdr:colOff>
      <xdr:row>60</xdr:row>
      <xdr:rowOff>114300</xdr:rowOff>
    </xdr:from>
    <xdr:to>
      <xdr:col>206</xdr:col>
      <xdr:colOff>662940</xdr:colOff>
      <xdr:row>60</xdr:row>
      <xdr:rowOff>114300</xdr:rowOff>
    </xdr:to>
    <xdr:sp macro="" textlink="">
      <xdr:nvSpPr>
        <xdr:cNvPr id="32855" name="Line 103">
          <a:extLst>
            <a:ext uri="{FF2B5EF4-FFF2-40B4-BE49-F238E27FC236}">
              <a16:creationId xmlns:a16="http://schemas.microsoft.com/office/drawing/2014/main" id="{00000000-0008-0000-0800-000057800000}"/>
            </a:ext>
          </a:extLst>
        </xdr:cNvPr>
        <xdr:cNvSpPr>
          <a:spLocks noChangeShapeType="1"/>
        </xdr:cNvSpPr>
      </xdr:nvSpPr>
      <xdr:spPr bwMode="auto">
        <a:xfrm>
          <a:off x="140421360" y="1035558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206</xdr:col>
      <xdr:colOff>76200</xdr:colOff>
      <xdr:row>61</xdr:row>
      <xdr:rowOff>99060</xdr:rowOff>
    </xdr:from>
    <xdr:to>
      <xdr:col>206</xdr:col>
      <xdr:colOff>662940</xdr:colOff>
      <xdr:row>61</xdr:row>
      <xdr:rowOff>99060</xdr:rowOff>
    </xdr:to>
    <xdr:sp macro="" textlink="">
      <xdr:nvSpPr>
        <xdr:cNvPr id="32856" name="Line 104">
          <a:extLst>
            <a:ext uri="{FF2B5EF4-FFF2-40B4-BE49-F238E27FC236}">
              <a16:creationId xmlns:a16="http://schemas.microsoft.com/office/drawing/2014/main" id="{00000000-0008-0000-0800-000058800000}"/>
            </a:ext>
          </a:extLst>
        </xdr:cNvPr>
        <xdr:cNvSpPr>
          <a:spLocks noChangeShapeType="1"/>
        </xdr:cNvSpPr>
      </xdr:nvSpPr>
      <xdr:spPr bwMode="auto">
        <a:xfrm>
          <a:off x="140421360" y="1051560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203</xdr:col>
      <xdr:colOff>548640</xdr:colOff>
      <xdr:row>58</xdr:row>
      <xdr:rowOff>91440</xdr:rowOff>
    </xdr:from>
    <xdr:to>
      <xdr:col>207</xdr:col>
      <xdr:colOff>0</xdr:colOff>
      <xdr:row>59</xdr:row>
      <xdr:rowOff>7620</xdr:rowOff>
    </xdr:to>
    <xdr:sp macro="" textlink="">
      <xdr:nvSpPr>
        <xdr:cNvPr id="32857" name="Line 105">
          <a:extLst>
            <a:ext uri="{FF2B5EF4-FFF2-40B4-BE49-F238E27FC236}">
              <a16:creationId xmlns:a16="http://schemas.microsoft.com/office/drawing/2014/main" id="{00000000-0008-0000-0800-000059800000}"/>
            </a:ext>
          </a:extLst>
        </xdr:cNvPr>
        <xdr:cNvSpPr>
          <a:spLocks noChangeShapeType="1"/>
        </xdr:cNvSpPr>
      </xdr:nvSpPr>
      <xdr:spPr bwMode="auto">
        <a:xfrm>
          <a:off x="138859260" y="9982200"/>
          <a:ext cx="2164080" cy="914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214</xdr:col>
      <xdr:colOff>60960</xdr:colOff>
      <xdr:row>59</xdr:row>
      <xdr:rowOff>91440</xdr:rowOff>
    </xdr:from>
    <xdr:to>
      <xdr:col>214</xdr:col>
      <xdr:colOff>647700</xdr:colOff>
      <xdr:row>59</xdr:row>
      <xdr:rowOff>91440</xdr:rowOff>
    </xdr:to>
    <xdr:sp macro="" textlink="">
      <xdr:nvSpPr>
        <xdr:cNvPr id="32858" name="Line 106">
          <a:extLst>
            <a:ext uri="{FF2B5EF4-FFF2-40B4-BE49-F238E27FC236}">
              <a16:creationId xmlns:a16="http://schemas.microsoft.com/office/drawing/2014/main" id="{00000000-0008-0000-0800-00005A800000}"/>
            </a:ext>
          </a:extLst>
        </xdr:cNvPr>
        <xdr:cNvSpPr>
          <a:spLocks noChangeShapeType="1"/>
        </xdr:cNvSpPr>
      </xdr:nvSpPr>
      <xdr:spPr bwMode="auto">
        <a:xfrm>
          <a:off x="145831560" y="1015746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214</xdr:col>
      <xdr:colOff>76200</xdr:colOff>
      <xdr:row>60</xdr:row>
      <xdr:rowOff>114300</xdr:rowOff>
    </xdr:from>
    <xdr:to>
      <xdr:col>214</xdr:col>
      <xdr:colOff>662940</xdr:colOff>
      <xdr:row>60</xdr:row>
      <xdr:rowOff>114300</xdr:rowOff>
    </xdr:to>
    <xdr:sp macro="" textlink="">
      <xdr:nvSpPr>
        <xdr:cNvPr id="32859" name="Line 107">
          <a:extLst>
            <a:ext uri="{FF2B5EF4-FFF2-40B4-BE49-F238E27FC236}">
              <a16:creationId xmlns:a16="http://schemas.microsoft.com/office/drawing/2014/main" id="{00000000-0008-0000-0800-00005B800000}"/>
            </a:ext>
          </a:extLst>
        </xdr:cNvPr>
        <xdr:cNvSpPr>
          <a:spLocks noChangeShapeType="1"/>
        </xdr:cNvSpPr>
      </xdr:nvSpPr>
      <xdr:spPr bwMode="auto">
        <a:xfrm>
          <a:off x="145846800" y="1035558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214</xdr:col>
      <xdr:colOff>76200</xdr:colOff>
      <xdr:row>61</xdr:row>
      <xdr:rowOff>99060</xdr:rowOff>
    </xdr:from>
    <xdr:to>
      <xdr:col>214</xdr:col>
      <xdr:colOff>662940</xdr:colOff>
      <xdr:row>61</xdr:row>
      <xdr:rowOff>99060</xdr:rowOff>
    </xdr:to>
    <xdr:sp macro="" textlink="">
      <xdr:nvSpPr>
        <xdr:cNvPr id="32860" name="Line 108">
          <a:extLst>
            <a:ext uri="{FF2B5EF4-FFF2-40B4-BE49-F238E27FC236}">
              <a16:creationId xmlns:a16="http://schemas.microsoft.com/office/drawing/2014/main" id="{00000000-0008-0000-0800-00005C800000}"/>
            </a:ext>
          </a:extLst>
        </xdr:cNvPr>
        <xdr:cNvSpPr>
          <a:spLocks noChangeShapeType="1"/>
        </xdr:cNvSpPr>
      </xdr:nvSpPr>
      <xdr:spPr bwMode="auto">
        <a:xfrm>
          <a:off x="145846800" y="1051560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211</xdr:col>
      <xdr:colOff>548640</xdr:colOff>
      <xdr:row>58</xdr:row>
      <xdr:rowOff>91440</xdr:rowOff>
    </xdr:from>
    <xdr:to>
      <xdr:col>215</xdr:col>
      <xdr:colOff>0</xdr:colOff>
      <xdr:row>59</xdr:row>
      <xdr:rowOff>7620</xdr:rowOff>
    </xdr:to>
    <xdr:sp macro="" textlink="">
      <xdr:nvSpPr>
        <xdr:cNvPr id="32861" name="Line 109">
          <a:extLst>
            <a:ext uri="{FF2B5EF4-FFF2-40B4-BE49-F238E27FC236}">
              <a16:creationId xmlns:a16="http://schemas.microsoft.com/office/drawing/2014/main" id="{00000000-0008-0000-0800-00005D800000}"/>
            </a:ext>
          </a:extLst>
        </xdr:cNvPr>
        <xdr:cNvSpPr>
          <a:spLocks noChangeShapeType="1"/>
        </xdr:cNvSpPr>
      </xdr:nvSpPr>
      <xdr:spPr bwMode="auto">
        <a:xfrm>
          <a:off x="144284700" y="9982200"/>
          <a:ext cx="2164080" cy="914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222</xdr:col>
      <xdr:colOff>60960</xdr:colOff>
      <xdr:row>59</xdr:row>
      <xdr:rowOff>91440</xdr:rowOff>
    </xdr:from>
    <xdr:to>
      <xdr:col>222</xdr:col>
      <xdr:colOff>647700</xdr:colOff>
      <xdr:row>59</xdr:row>
      <xdr:rowOff>91440</xdr:rowOff>
    </xdr:to>
    <xdr:sp macro="" textlink="">
      <xdr:nvSpPr>
        <xdr:cNvPr id="32862" name="Line 110">
          <a:extLst>
            <a:ext uri="{FF2B5EF4-FFF2-40B4-BE49-F238E27FC236}">
              <a16:creationId xmlns:a16="http://schemas.microsoft.com/office/drawing/2014/main" id="{00000000-0008-0000-0800-00005E800000}"/>
            </a:ext>
          </a:extLst>
        </xdr:cNvPr>
        <xdr:cNvSpPr>
          <a:spLocks noChangeShapeType="1"/>
        </xdr:cNvSpPr>
      </xdr:nvSpPr>
      <xdr:spPr bwMode="auto">
        <a:xfrm>
          <a:off x="151257000" y="1015746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222</xdr:col>
      <xdr:colOff>76200</xdr:colOff>
      <xdr:row>60</xdr:row>
      <xdr:rowOff>114300</xdr:rowOff>
    </xdr:from>
    <xdr:to>
      <xdr:col>222</xdr:col>
      <xdr:colOff>662940</xdr:colOff>
      <xdr:row>60</xdr:row>
      <xdr:rowOff>114300</xdr:rowOff>
    </xdr:to>
    <xdr:sp macro="" textlink="">
      <xdr:nvSpPr>
        <xdr:cNvPr id="32863" name="Line 111">
          <a:extLst>
            <a:ext uri="{FF2B5EF4-FFF2-40B4-BE49-F238E27FC236}">
              <a16:creationId xmlns:a16="http://schemas.microsoft.com/office/drawing/2014/main" id="{00000000-0008-0000-0800-00005F800000}"/>
            </a:ext>
          </a:extLst>
        </xdr:cNvPr>
        <xdr:cNvSpPr>
          <a:spLocks noChangeShapeType="1"/>
        </xdr:cNvSpPr>
      </xdr:nvSpPr>
      <xdr:spPr bwMode="auto">
        <a:xfrm>
          <a:off x="151272240" y="1035558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222</xdr:col>
      <xdr:colOff>76200</xdr:colOff>
      <xdr:row>61</xdr:row>
      <xdr:rowOff>99060</xdr:rowOff>
    </xdr:from>
    <xdr:to>
      <xdr:col>222</xdr:col>
      <xdr:colOff>662940</xdr:colOff>
      <xdr:row>61</xdr:row>
      <xdr:rowOff>99060</xdr:rowOff>
    </xdr:to>
    <xdr:sp macro="" textlink="">
      <xdr:nvSpPr>
        <xdr:cNvPr id="32864" name="Line 112">
          <a:extLst>
            <a:ext uri="{FF2B5EF4-FFF2-40B4-BE49-F238E27FC236}">
              <a16:creationId xmlns:a16="http://schemas.microsoft.com/office/drawing/2014/main" id="{00000000-0008-0000-0800-000060800000}"/>
            </a:ext>
          </a:extLst>
        </xdr:cNvPr>
        <xdr:cNvSpPr>
          <a:spLocks noChangeShapeType="1"/>
        </xdr:cNvSpPr>
      </xdr:nvSpPr>
      <xdr:spPr bwMode="auto">
        <a:xfrm>
          <a:off x="151272240" y="1051560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219</xdr:col>
      <xdr:colOff>548640</xdr:colOff>
      <xdr:row>58</xdr:row>
      <xdr:rowOff>91440</xdr:rowOff>
    </xdr:from>
    <xdr:to>
      <xdr:col>223</xdr:col>
      <xdr:colOff>0</xdr:colOff>
      <xdr:row>59</xdr:row>
      <xdr:rowOff>7620</xdr:rowOff>
    </xdr:to>
    <xdr:sp macro="" textlink="">
      <xdr:nvSpPr>
        <xdr:cNvPr id="32865" name="Line 113">
          <a:extLst>
            <a:ext uri="{FF2B5EF4-FFF2-40B4-BE49-F238E27FC236}">
              <a16:creationId xmlns:a16="http://schemas.microsoft.com/office/drawing/2014/main" id="{00000000-0008-0000-0800-000061800000}"/>
            </a:ext>
          </a:extLst>
        </xdr:cNvPr>
        <xdr:cNvSpPr>
          <a:spLocks noChangeShapeType="1"/>
        </xdr:cNvSpPr>
      </xdr:nvSpPr>
      <xdr:spPr bwMode="auto">
        <a:xfrm>
          <a:off x="149710140" y="9982200"/>
          <a:ext cx="2164080" cy="914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230</xdr:col>
      <xdr:colOff>60960</xdr:colOff>
      <xdr:row>59</xdr:row>
      <xdr:rowOff>91440</xdr:rowOff>
    </xdr:from>
    <xdr:to>
      <xdr:col>230</xdr:col>
      <xdr:colOff>647700</xdr:colOff>
      <xdr:row>59</xdr:row>
      <xdr:rowOff>91440</xdr:rowOff>
    </xdr:to>
    <xdr:sp macro="" textlink="">
      <xdr:nvSpPr>
        <xdr:cNvPr id="32866" name="Line 114">
          <a:extLst>
            <a:ext uri="{FF2B5EF4-FFF2-40B4-BE49-F238E27FC236}">
              <a16:creationId xmlns:a16="http://schemas.microsoft.com/office/drawing/2014/main" id="{00000000-0008-0000-0800-000062800000}"/>
            </a:ext>
          </a:extLst>
        </xdr:cNvPr>
        <xdr:cNvSpPr>
          <a:spLocks noChangeShapeType="1"/>
        </xdr:cNvSpPr>
      </xdr:nvSpPr>
      <xdr:spPr bwMode="auto">
        <a:xfrm>
          <a:off x="156682440" y="1015746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230</xdr:col>
      <xdr:colOff>76200</xdr:colOff>
      <xdr:row>60</xdr:row>
      <xdr:rowOff>114300</xdr:rowOff>
    </xdr:from>
    <xdr:to>
      <xdr:col>230</xdr:col>
      <xdr:colOff>662940</xdr:colOff>
      <xdr:row>60</xdr:row>
      <xdr:rowOff>114300</xdr:rowOff>
    </xdr:to>
    <xdr:sp macro="" textlink="">
      <xdr:nvSpPr>
        <xdr:cNvPr id="32867" name="Line 115">
          <a:extLst>
            <a:ext uri="{FF2B5EF4-FFF2-40B4-BE49-F238E27FC236}">
              <a16:creationId xmlns:a16="http://schemas.microsoft.com/office/drawing/2014/main" id="{00000000-0008-0000-0800-000063800000}"/>
            </a:ext>
          </a:extLst>
        </xdr:cNvPr>
        <xdr:cNvSpPr>
          <a:spLocks noChangeShapeType="1"/>
        </xdr:cNvSpPr>
      </xdr:nvSpPr>
      <xdr:spPr bwMode="auto">
        <a:xfrm>
          <a:off x="156697680" y="1035558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230</xdr:col>
      <xdr:colOff>76200</xdr:colOff>
      <xdr:row>61</xdr:row>
      <xdr:rowOff>99060</xdr:rowOff>
    </xdr:from>
    <xdr:to>
      <xdr:col>230</xdr:col>
      <xdr:colOff>662940</xdr:colOff>
      <xdr:row>61</xdr:row>
      <xdr:rowOff>99060</xdr:rowOff>
    </xdr:to>
    <xdr:sp macro="" textlink="">
      <xdr:nvSpPr>
        <xdr:cNvPr id="32868" name="Line 116">
          <a:extLst>
            <a:ext uri="{FF2B5EF4-FFF2-40B4-BE49-F238E27FC236}">
              <a16:creationId xmlns:a16="http://schemas.microsoft.com/office/drawing/2014/main" id="{00000000-0008-0000-0800-000064800000}"/>
            </a:ext>
          </a:extLst>
        </xdr:cNvPr>
        <xdr:cNvSpPr>
          <a:spLocks noChangeShapeType="1"/>
        </xdr:cNvSpPr>
      </xdr:nvSpPr>
      <xdr:spPr bwMode="auto">
        <a:xfrm>
          <a:off x="156697680" y="1051560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227</xdr:col>
      <xdr:colOff>548640</xdr:colOff>
      <xdr:row>58</xdr:row>
      <xdr:rowOff>91440</xdr:rowOff>
    </xdr:from>
    <xdr:to>
      <xdr:col>231</xdr:col>
      <xdr:colOff>0</xdr:colOff>
      <xdr:row>59</xdr:row>
      <xdr:rowOff>7620</xdr:rowOff>
    </xdr:to>
    <xdr:sp macro="" textlink="">
      <xdr:nvSpPr>
        <xdr:cNvPr id="32869" name="Line 117">
          <a:extLst>
            <a:ext uri="{FF2B5EF4-FFF2-40B4-BE49-F238E27FC236}">
              <a16:creationId xmlns:a16="http://schemas.microsoft.com/office/drawing/2014/main" id="{00000000-0008-0000-0800-000065800000}"/>
            </a:ext>
          </a:extLst>
        </xdr:cNvPr>
        <xdr:cNvSpPr>
          <a:spLocks noChangeShapeType="1"/>
        </xdr:cNvSpPr>
      </xdr:nvSpPr>
      <xdr:spPr bwMode="auto">
        <a:xfrm>
          <a:off x="155135580" y="9982200"/>
          <a:ext cx="2164080" cy="914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238</xdr:col>
      <xdr:colOff>60960</xdr:colOff>
      <xdr:row>59</xdr:row>
      <xdr:rowOff>91440</xdr:rowOff>
    </xdr:from>
    <xdr:to>
      <xdr:col>238</xdr:col>
      <xdr:colOff>647700</xdr:colOff>
      <xdr:row>59</xdr:row>
      <xdr:rowOff>91440</xdr:rowOff>
    </xdr:to>
    <xdr:sp macro="" textlink="">
      <xdr:nvSpPr>
        <xdr:cNvPr id="32870" name="Line 118">
          <a:extLst>
            <a:ext uri="{FF2B5EF4-FFF2-40B4-BE49-F238E27FC236}">
              <a16:creationId xmlns:a16="http://schemas.microsoft.com/office/drawing/2014/main" id="{00000000-0008-0000-0800-000066800000}"/>
            </a:ext>
          </a:extLst>
        </xdr:cNvPr>
        <xdr:cNvSpPr>
          <a:spLocks noChangeShapeType="1"/>
        </xdr:cNvSpPr>
      </xdr:nvSpPr>
      <xdr:spPr bwMode="auto">
        <a:xfrm>
          <a:off x="162107880" y="1015746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238</xdr:col>
      <xdr:colOff>76200</xdr:colOff>
      <xdr:row>60</xdr:row>
      <xdr:rowOff>114300</xdr:rowOff>
    </xdr:from>
    <xdr:to>
      <xdr:col>238</xdr:col>
      <xdr:colOff>662940</xdr:colOff>
      <xdr:row>60</xdr:row>
      <xdr:rowOff>114300</xdr:rowOff>
    </xdr:to>
    <xdr:sp macro="" textlink="">
      <xdr:nvSpPr>
        <xdr:cNvPr id="32871" name="Line 119">
          <a:extLst>
            <a:ext uri="{FF2B5EF4-FFF2-40B4-BE49-F238E27FC236}">
              <a16:creationId xmlns:a16="http://schemas.microsoft.com/office/drawing/2014/main" id="{00000000-0008-0000-0800-000067800000}"/>
            </a:ext>
          </a:extLst>
        </xdr:cNvPr>
        <xdr:cNvSpPr>
          <a:spLocks noChangeShapeType="1"/>
        </xdr:cNvSpPr>
      </xdr:nvSpPr>
      <xdr:spPr bwMode="auto">
        <a:xfrm>
          <a:off x="162123120" y="1035558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238</xdr:col>
      <xdr:colOff>76200</xdr:colOff>
      <xdr:row>61</xdr:row>
      <xdr:rowOff>99060</xdr:rowOff>
    </xdr:from>
    <xdr:to>
      <xdr:col>238</xdr:col>
      <xdr:colOff>662940</xdr:colOff>
      <xdr:row>61</xdr:row>
      <xdr:rowOff>99060</xdr:rowOff>
    </xdr:to>
    <xdr:sp macro="" textlink="">
      <xdr:nvSpPr>
        <xdr:cNvPr id="32872" name="Line 120">
          <a:extLst>
            <a:ext uri="{FF2B5EF4-FFF2-40B4-BE49-F238E27FC236}">
              <a16:creationId xmlns:a16="http://schemas.microsoft.com/office/drawing/2014/main" id="{00000000-0008-0000-0800-000068800000}"/>
            </a:ext>
          </a:extLst>
        </xdr:cNvPr>
        <xdr:cNvSpPr>
          <a:spLocks noChangeShapeType="1"/>
        </xdr:cNvSpPr>
      </xdr:nvSpPr>
      <xdr:spPr bwMode="auto">
        <a:xfrm>
          <a:off x="162123120" y="1051560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235</xdr:col>
      <xdr:colOff>548640</xdr:colOff>
      <xdr:row>58</xdr:row>
      <xdr:rowOff>91440</xdr:rowOff>
    </xdr:from>
    <xdr:to>
      <xdr:col>239</xdr:col>
      <xdr:colOff>0</xdr:colOff>
      <xdr:row>59</xdr:row>
      <xdr:rowOff>7620</xdr:rowOff>
    </xdr:to>
    <xdr:sp macro="" textlink="">
      <xdr:nvSpPr>
        <xdr:cNvPr id="32873" name="Line 121">
          <a:extLst>
            <a:ext uri="{FF2B5EF4-FFF2-40B4-BE49-F238E27FC236}">
              <a16:creationId xmlns:a16="http://schemas.microsoft.com/office/drawing/2014/main" id="{00000000-0008-0000-0800-000069800000}"/>
            </a:ext>
          </a:extLst>
        </xdr:cNvPr>
        <xdr:cNvSpPr>
          <a:spLocks noChangeShapeType="1"/>
        </xdr:cNvSpPr>
      </xdr:nvSpPr>
      <xdr:spPr bwMode="auto">
        <a:xfrm>
          <a:off x="160561020" y="9982200"/>
          <a:ext cx="2164080" cy="914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246</xdr:col>
      <xdr:colOff>60960</xdr:colOff>
      <xdr:row>59</xdr:row>
      <xdr:rowOff>91440</xdr:rowOff>
    </xdr:from>
    <xdr:to>
      <xdr:col>246</xdr:col>
      <xdr:colOff>647700</xdr:colOff>
      <xdr:row>59</xdr:row>
      <xdr:rowOff>91440</xdr:rowOff>
    </xdr:to>
    <xdr:sp macro="" textlink="">
      <xdr:nvSpPr>
        <xdr:cNvPr id="32874" name="Line 122">
          <a:extLst>
            <a:ext uri="{FF2B5EF4-FFF2-40B4-BE49-F238E27FC236}">
              <a16:creationId xmlns:a16="http://schemas.microsoft.com/office/drawing/2014/main" id="{00000000-0008-0000-0800-00006A800000}"/>
            </a:ext>
          </a:extLst>
        </xdr:cNvPr>
        <xdr:cNvSpPr>
          <a:spLocks noChangeShapeType="1"/>
        </xdr:cNvSpPr>
      </xdr:nvSpPr>
      <xdr:spPr bwMode="auto">
        <a:xfrm>
          <a:off x="167533320" y="1015746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246</xdr:col>
      <xdr:colOff>76200</xdr:colOff>
      <xdr:row>60</xdr:row>
      <xdr:rowOff>114300</xdr:rowOff>
    </xdr:from>
    <xdr:to>
      <xdr:col>246</xdr:col>
      <xdr:colOff>662940</xdr:colOff>
      <xdr:row>60</xdr:row>
      <xdr:rowOff>114300</xdr:rowOff>
    </xdr:to>
    <xdr:sp macro="" textlink="">
      <xdr:nvSpPr>
        <xdr:cNvPr id="32875" name="Line 123">
          <a:extLst>
            <a:ext uri="{FF2B5EF4-FFF2-40B4-BE49-F238E27FC236}">
              <a16:creationId xmlns:a16="http://schemas.microsoft.com/office/drawing/2014/main" id="{00000000-0008-0000-0800-00006B800000}"/>
            </a:ext>
          </a:extLst>
        </xdr:cNvPr>
        <xdr:cNvSpPr>
          <a:spLocks noChangeShapeType="1"/>
        </xdr:cNvSpPr>
      </xdr:nvSpPr>
      <xdr:spPr bwMode="auto">
        <a:xfrm>
          <a:off x="167548560" y="1035558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246</xdr:col>
      <xdr:colOff>76200</xdr:colOff>
      <xdr:row>61</xdr:row>
      <xdr:rowOff>99060</xdr:rowOff>
    </xdr:from>
    <xdr:to>
      <xdr:col>246</xdr:col>
      <xdr:colOff>662940</xdr:colOff>
      <xdr:row>61</xdr:row>
      <xdr:rowOff>99060</xdr:rowOff>
    </xdr:to>
    <xdr:sp macro="" textlink="">
      <xdr:nvSpPr>
        <xdr:cNvPr id="32876" name="Line 124">
          <a:extLst>
            <a:ext uri="{FF2B5EF4-FFF2-40B4-BE49-F238E27FC236}">
              <a16:creationId xmlns:a16="http://schemas.microsoft.com/office/drawing/2014/main" id="{00000000-0008-0000-0800-00006C800000}"/>
            </a:ext>
          </a:extLst>
        </xdr:cNvPr>
        <xdr:cNvSpPr>
          <a:spLocks noChangeShapeType="1"/>
        </xdr:cNvSpPr>
      </xdr:nvSpPr>
      <xdr:spPr bwMode="auto">
        <a:xfrm>
          <a:off x="167548560" y="1051560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243</xdr:col>
      <xdr:colOff>548640</xdr:colOff>
      <xdr:row>58</xdr:row>
      <xdr:rowOff>91440</xdr:rowOff>
    </xdr:from>
    <xdr:to>
      <xdr:col>247</xdr:col>
      <xdr:colOff>0</xdr:colOff>
      <xdr:row>59</xdr:row>
      <xdr:rowOff>7620</xdr:rowOff>
    </xdr:to>
    <xdr:sp macro="" textlink="">
      <xdr:nvSpPr>
        <xdr:cNvPr id="32877" name="Line 125">
          <a:extLst>
            <a:ext uri="{FF2B5EF4-FFF2-40B4-BE49-F238E27FC236}">
              <a16:creationId xmlns:a16="http://schemas.microsoft.com/office/drawing/2014/main" id="{00000000-0008-0000-0800-00006D800000}"/>
            </a:ext>
          </a:extLst>
        </xdr:cNvPr>
        <xdr:cNvSpPr>
          <a:spLocks noChangeShapeType="1"/>
        </xdr:cNvSpPr>
      </xdr:nvSpPr>
      <xdr:spPr bwMode="auto">
        <a:xfrm>
          <a:off x="165986460" y="9982200"/>
          <a:ext cx="2164080" cy="914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254</xdr:col>
      <xdr:colOff>60960</xdr:colOff>
      <xdr:row>59</xdr:row>
      <xdr:rowOff>91440</xdr:rowOff>
    </xdr:from>
    <xdr:to>
      <xdr:col>254</xdr:col>
      <xdr:colOff>647700</xdr:colOff>
      <xdr:row>59</xdr:row>
      <xdr:rowOff>91440</xdr:rowOff>
    </xdr:to>
    <xdr:sp macro="" textlink="">
      <xdr:nvSpPr>
        <xdr:cNvPr id="32878" name="Line 126">
          <a:extLst>
            <a:ext uri="{FF2B5EF4-FFF2-40B4-BE49-F238E27FC236}">
              <a16:creationId xmlns:a16="http://schemas.microsoft.com/office/drawing/2014/main" id="{00000000-0008-0000-0800-00006E800000}"/>
            </a:ext>
          </a:extLst>
        </xdr:cNvPr>
        <xdr:cNvSpPr>
          <a:spLocks noChangeShapeType="1"/>
        </xdr:cNvSpPr>
      </xdr:nvSpPr>
      <xdr:spPr bwMode="auto">
        <a:xfrm>
          <a:off x="172958760" y="1015746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254</xdr:col>
      <xdr:colOff>76200</xdr:colOff>
      <xdr:row>60</xdr:row>
      <xdr:rowOff>114300</xdr:rowOff>
    </xdr:from>
    <xdr:to>
      <xdr:col>254</xdr:col>
      <xdr:colOff>662940</xdr:colOff>
      <xdr:row>60</xdr:row>
      <xdr:rowOff>114300</xdr:rowOff>
    </xdr:to>
    <xdr:sp macro="" textlink="">
      <xdr:nvSpPr>
        <xdr:cNvPr id="32879" name="Line 127">
          <a:extLst>
            <a:ext uri="{FF2B5EF4-FFF2-40B4-BE49-F238E27FC236}">
              <a16:creationId xmlns:a16="http://schemas.microsoft.com/office/drawing/2014/main" id="{00000000-0008-0000-0800-00006F800000}"/>
            </a:ext>
          </a:extLst>
        </xdr:cNvPr>
        <xdr:cNvSpPr>
          <a:spLocks noChangeShapeType="1"/>
        </xdr:cNvSpPr>
      </xdr:nvSpPr>
      <xdr:spPr bwMode="auto">
        <a:xfrm>
          <a:off x="172974000" y="1035558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254</xdr:col>
      <xdr:colOff>76200</xdr:colOff>
      <xdr:row>61</xdr:row>
      <xdr:rowOff>99060</xdr:rowOff>
    </xdr:from>
    <xdr:to>
      <xdr:col>254</xdr:col>
      <xdr:colOff>662940</xdr:colOff>
      <xdr:row>61</xdr:row>
      <xdr:rowOff>99060</xdr:rowOff>
    </xdr:to>
    <xdr:sp macro="" textlink="">
      <xdr:nvSpPr>
        <xdr:cNvPr id="32880" name="Line 128">
          <a:extLst>
            <a:ext uri="{FF2B5EF4-FFF2-40B4-BE49-F238E27FC236}">
              <a16:creationId xmlns:a16="http://schemas.microsoft.com/office/drawing/2014/main" id="{00000000-0008-0000-0800-000070800000}"/>
            </a:ext>
          </a:extLst>
        </xdr:cNvPr>
        <xdr:cNvSpPr>
          <a:spLocks noChangeShapeType="1"/>
        </xdr:cNvSpPr>
      </xdr:nvSpPr>
      <xdr:spPr bwMode="auto">
        <a:xfrm>
          <a:off x="172974000" y="1051560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251</xdr:col>
      <xdr:colOff>548640</xdr:colOff>
      <xdr:row>58</xdr:row>
      <xdr:rowOff>91440</xdr:rowOff>
    </xdr:from>
    <xdr:to>
      <xdr:col>255</xdr:col>
      <xdr:colOff>0</xdr:colOff>
      <xdr:row>59</xdr:row>
      <xdr:rowOff>7620</xdr:rowOff>
    </xdr:to>
    <xdr:sp macro="" textlink="">
      <xdr:nvSpPr>
        <xdr:cNvPr id="32881" name="Line 129">
          <a:extLst>
            <a:ext uri="{FF2B5EF4-FFF2-40B4-BE49-F238E27FC236}">
              <a16:creationId xmlns:a16="http://schemas.microsoft.com/office/drawing/2014/main" id="{00000000-0008-0000-0800-000071800000}"/>
            </a:ext>
          </a:extLst>
        </xdr:cNvPr>
        <xdr:cNvSpPr>
          <a:spLocks noChangeShapeType="1"/>
        </xdr:cNvSpPr>
      </xdr:nvSpPr>
      <xdr:spPr bwMode="auto">
        <a:xfrm>
          <a:off x="171411900" y="9982200"/>
          <a:ext cx="2164080" cy="914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7620</xdr:colOff>
          <xdr:row>27</xdr:row>
          <xdr:rowOff>0</xdr:rowOff>
        </xdr:from>
        <xdr:to>
          <xdr:col>17</xdr:col>
          <xdr:colOff>7620</xdr:colOff>
          <xdr:row>30</xdr:row>
          <xdr:rowOff>144780</xdr:rowOff>
        </xdr:to>
        <xdr:sp macro="" textlink="">
          <xdr:nvSpPr>
            <xdr:cNvPr id="10241" name="Button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A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MS Sans Serif"/>
                </a:rPr>
                <a:t>Transfer Values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MS Sans Serif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8</xdr:row>
          <xdr:rowOff>30480</xdr:rowOff>
        </xdr:from>
        <xdr:to>
          <xdr:col>8</xdr:col>
          <xdr:colOff>533400</xdr:colOff>
          <xdr:row>9</xdr:row>
          <xdr:rowOff>22860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A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5" Type="http://schemas.openxmlformats.org/officeDocument/2006/relationships/ctrlProp" Target="../ctrlProps/ctrlProp9.xml"/><Relationship Id="rId4" Type="http://schemas.openxmlformats.org/officeDocument/2006/relationships/ctrlProp" Target="../ctrlProps/ctrlProp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.xml"/><Relationship Id="rId5" Type="http://schemas.openxmlformats.org/officeDocument/2006/relationships/image" Target="../media/image5.emf"/><Relationship Id="rId4" Type="http://schemas.openxmlformats.org/officeDocument/2006/relationships/control" Target="../activeX/activeX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1.xml"/><Relationship Id="rId5" Type="http://schemas.openxmlformats.org/officeDocument/2006/relationships/image" Target="../media/image6.emf"/><Relationship Id="rId4" Type="http://schemas.openxmlformats.org/officeDocument/2006/relationships/control" Target="../activeX/activeX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A3:K49"/>
  <sheetViews>
    <sheetView topLeftCell="A25" workbookViewId="0">
      <selection activeCell="B36" sqref="B36"/>
    </sheetView>
  </sheetViews>
  <sheetFormatPr defaultRowHeight="12.6"/>
  <cols>
    <col min="1" max="1" width="33.5546875" customWidth="1"/>
    <col min="2" max="2" width="15.44140625" customWidth="1"/>
    <col min="5" max="5" width="7.109375" customWidth="1"/>
    <col min="6" max="6" width="3.6640625" bestFit="1" customWidth="1"/>
    <col min="7" max="7" width="4.88671875" customWidth="1"/>
    <col min="8" max="8" width="11.109375" customWidth="1"/>
  </cols>
  <sheetData>
    <row r="3" spans="1:11">
      <c r="A3" s="63"/>
      <c r="C3" s="2"/>
    </row>
    <row r="4" spans="1:11" ht="13.2" thickBot="1">
      <c r="A4" s="366" t="s">
        <v>228</v>
      </c>
      <c r="B4" s="367"/>
      <c r="C4" s="354"/>
      <c r="D4" s="354"/>
      <c r="E4" s="772" t="s">
        <v>156</v>
      </c>
      <c r="F4" s="773"/>
      <c r="G4" s="774"/>
      <c r="H4" s="368" t="s">
        <v>153</v>
      </c>
      <c r="I4" s="367"/>
    </row>
    <row r="5" spans="1:11">
      <c r="A5" s="175" t="s">
        <v>152</v>
      </c>
      <c r="B5" s="187">
        <f>IF((MainForm!C113+MainForm!G113)&lt;=G5,H5,IF((MainForm!C113+MainForm!G113)&lt;=G6,(2139+((MainForm!C113+MainForm!G113)-23)*89.61)/(MainForm!C113+MainForm!G113),IF((MainForm!C113+MainForm!G113)&lt;=G7,(17910+((MainForm!C113+MainForm!G113)-199)*87.28)/(MainForm!C113+MainForm!G113),IF((MainForm!C113+MainForm!G113)&lt;=G8,(65912+((MainForm!C113+MainForm!G113)-749)*72.31)/(MainForm!C113+MainForm!G113),H9))))</f>
        <v>84</v>
      </c>
      <c r="C5" s="2"/>
      <c r="D5" s="2"/>
      <c r="E5" s="182">
        <v>1</v>
      </c>
      <c r="F5" s="33" t="s">
        <v>154</v>
      </c>
      <c r="G5" s="184">
        <v>23</v>
      </c>
      <c r="H5" s="185">
        <v>93</v>
      </c>
      <c r="I5">
        <v>55</v>
      </c>
      <c r="K5">
        <v>2139</v>
      </c>
    </row>
    <row r="6" spans="1:11">
      <c r="A6" s="176" t="s">
        <v>157</v>
      </c>
      <c r="B6" s="188">
        <f>B5</f>
        <v>84</v>
      </c>
      <c r="C6" s="2"/>
      <c r="D6" s="2"/>
      <c r="E6" s="182">
        <v>24</v>
      </c>
      <c r="F6" s="33" t="s">
        <v>154</v>
      </c>
      <c r="G6" s="184">
        <v>199</v>
      </c>
      <c r="H6" s="185">
        <v>90</v>
      </c>
      <c r="I6">
        <v>55</v>
      </c>
      <c r="K6">
        <v>17910</v>
      </c>
    </row>
    <row r="7" spans="1:11">
      <c r="A7" s="176" t="s">
        <v>37</v>
      </c>
      <c r="B7" s="708">
        <v>18.25</v>
      </c>
      <c r="C7" s="2"/>
      <c r="D7" s="2"/>
      <c r="E7" s="182">
        <v>200</v>
      </c>
      <c r="F7" s="33" t="s">
        <v>154</v>
      </c>
      <c r="G7" s="184">
        <v>749</v>
      </c>
      <c r="H7" s="185">
        <v>88</v>
      </c>
      <c r="I7">
        <v>52</v>
      </c>
      <c r="K7">
        <v>65912</v>
      </c>
    </row>
    <row r="8" spans="1:11">
      <c r="A8" s="176"/>
      <c r="B8" s="177"/>
      <c r="C8" s="2"/>
      <c r="D8" s="2"/>
      <c r="E8" s="182">
        <v>750</v>
      </c>
      <c r="F8" s="33" t="s">
        <v>154</v>
      </c>
      <c r="G8" s="184">
        <v>999</v>
      </c>
      <c r="H8" s="185">
        <v>84</v>
      </c>
      <c r="I8">
        <v>52.25</v>
      </c>
      <c r="K8">
        <v>83916</v>
      </c>
    </row>
    <row r="9" spans="1:11">
      <c r="A9" s="176"/>
      <c r="B9" s="177"/>
      <c r="C9" s="2"/>
      <c r="D9" s="2"/>
      <c r="E9" s="183">
        <v>1000</v>
      </c>
      <c r="F9" s="181" t="s">
        <v>155</v>
      </c>
      <c r="G9" s="42"/>
      <c r="H9" s="186">
        <v>84</v>
      </c>
      <c r="I9">
        <v>52.25</v>
      </c>
    </row>
    <row r="10" spans="1:11">
      <c r="A10" s="176"/>
      <c r="B10" s="177"/>
      <c r="C10" s="2"/>
      <c r="E10" s="33"/>
      <c r="F10" s="33"/>
      <c r="G10" s="33"/>
      <c r="H10" s="33"/>
    </row>
    <row r="11" spans="1:11" ht="12.75" customHeight="1">
      <c r="A11" s="176"/>
      <c r="B11" s="177"/>
      <c r="D11" s="180"/>
      <c r="E11" s="775" t="s">
        <v>158</v>
      </c>
      <c r="F11" s="776"/>
      <c r="G11" s="776"/>
      <c r="H11" s="777"/>
    </row>
    <row r="12" spans="1:11">
      <c r="A12" s="176"/>
      <c r="B12" s="177"/>
      <c r="D12" s="180"/>
      <c r="E12" s="778"/>
      <c r="F12" s="779"/>
      <c r="G12" s="779"/>
      <c r="H12" s="780"/>
    </row>
    <row r="13" spans="1:11">
      <c r="A13" s="176"/>
      <c r="B13" s="177"/>
      <c r="D13" s="180"/>
      <c r="E13" s="778"/>
      <c r="F13" s="779"/>
      <c r="G13" s="779"/>
      <c r="H13" s="780"/>
    </row>
    <row r="14" spans="1:11">
      <c r="A14" s="176"/>
      <c r="B14" s="177"/>
      <c r="D14" s="180"/>
      <c r="E14" s="778"/>
      <c r="F14" s="779"/>
      <c r="G14" s="779"/>
      <c r="H14" s="780"/>
    </row>
    <row r="15" spans="1:11">
      <c r="A15" s="176"/>
      <c r="B15" s="177"/>
      <c r="D15" s="180"/>
      <c r="E15" s="778"/>
      <c r="F15" s="779"/>
      <c r="G15" s="779"/>
      <c r="H15" s="780"/>
    </row>
    <row r="16" spans="1:11">
      <c r="A16" s="176"/>
      <c r="B16" s="177"/>
      <c r="D16" s="180"/>
      <c r="E16" s="778"/>
      <c r="F16" s="779"/>
      <c r="G16" s="779"/>
      <c r="H16" s="780"/>
    </row>
    <row r="17" spans="1:8">
      <c r="A17" s="176"/>
      <c r="B17" s="177"/>
      <c r="D17" s="180"/>
      <c r="E17" s="778"/>
      <c r="F17" s="779"/>
      <c r="G17" s="779"/>
      <c r="H17" s="780"/>
    </row>
    <row r="18" spans="1:8">
      <c r="A18" s="176"/>
      <c r="B18" s="177"/>
      <c r="D18" s="180"/>
      <c r="E18" s="778"/>
      <c r="F18" s="779"/>
      <c r="G18" s="779"/>
      <c r="H18" s="780"/>
    </row>
    <row r="19" spans="1:8">
      <c r="A19" s="176"/>
      <c r="B19" s="177"/>
      <c r="D19" s="180"/>
      <c r="E19" s="781"/>
      <c r="F19" s="782"/>
      <c r="G19" s="782"/>
      <c r="H19" s="783"/>
    </row>
    <row r="20" spans="1:8">
      <c r="A20" s="176"/>
      <c r="B20" s="177"/>
    </row>
    <row r="21" spans="1:8">
      <c r="A21" s="176"/>
      <c r="B21" s="177"/>
    </row>
    <row r="22" spans="1:8">
      <c r="A22" s="176"/>
      <c r="B22" s="177"/>
    </row>
    <row r="23" spans="1:8">
      <c r="A23" s="176"/>
      <c r="B23" s="177"/>
    </row>
    <row r="24" spans="1:8">
      <c r="A24" s="176"/>
      <c r="B24" s="177"/>
    </row>
    <row r="25" spans="1:8">
      <c r="A25" s="176"/>
      <c r="B25" s="177"/>
    </row>
    <row r="26" spans="1:8">
      <c r="A26" s="176"/>
      <c r="B26" s="177"/>
    </row>
    <row r="27" spans="1:8">
      <c r="A27" s="176"/>
      <c r="B27" s="177"/>
    </row>
    <row r="28" spans="1:8">
      <c r="A28" s="176"/>
      <c r="B28" s="177"/>
    </row>
    <row r="29" spans="1:8">
      <c r="A29" s="176"/>
      <c r="B29" s="177"/>
    </row>
    <row r="30" spans="1:8">
      <c r="A30" s="176"/>
      <c r="B30" s="177"/>
    </row>
    <row r="31" spans="1:8">
      <c r="A31" s="176"/>
      <c r="B31" s="177"/>
    </row>
    <row r="32" spans="1:8" ht="13.2" thickBot="1">
      <c r="A32" s="178"/>
      <c r="B32" s="179"/>
    </row>
    <row r="34" spans="1:9" ht="13.2" thickBot="1">
      <c r="A34" s="369" t="s">
        <v>229</v>
      </c>
      <c r="B34" s="369"/>
      <c r="C34" s="369"/>
      <c r="D34" s="369"/>
      <c r="E34" s="369" t="s">
        <v>230</v>
      </c>
      <c r="F34" s="369"/>
      <c r="G34" s="369"/>
      <c r="H34" s="369" t="s">
        <v>231</v>
      </c>
      <c r="I34" s="369"/>
    </row>
    <row r="35" spans="1:9">
      <c r="A35" s="175" t="s">
        <v>152</v>
      </c>
      <c r="B35" s="187">
        <f>SUM(H35)</f>
        <v>57</v>
      </c>
      <c r="C35" s="2"/>
      <c r="D35" s="2"/>
      <c r="E35" s="182">
        <v>1</v>
      </c>
      <c r="F35" s="33" t="s">
        <v>154</v>
      </c>
      <c r="G35" s="184">
        <v>23</v>
      </c>
      <c r="H35" s="185">
        <v>57</v>
      </c>
    </row>
    <row r="36" spans="1:9">
      <c r="A36" s="176" t="s">
        <v>157</v>
      </c>
      <c r="B36" s="188">
        <f>B35</f>
        <v>57</v>
      </c>
      <c r="C36" s="2"/>
      <c r="D36" s="2"/>
      <c r="E36" s="182">
        <v>24</v>
      </c>
      <c r="F36" s="33" t="s">
        <v>154</v>
      </c>
      <c r="G36" s="184">
        <v>199</v>
      </c>
      <c r="H36" s="185">
        <v>57</v>
      </c>
    </row>
    <row r="37" spans="1:9">
      <c r="A37" s="176" t="s">
        <v>37</v>
      </c>
      <c r="B37" s="189">
        <v>13.5</v>
      </c>
      <c r="C37" s="2"/>
      <c r="D37" s="2"/>
      <c r="E37" s="182">
        <v>200</v>
      </c>
      <c r="F37" s="33" t="s">
        <v>154</v>
      </c>
      <c r="G37" s="184">
        <v>749</v>
      </c>
      <c r="H37" s="185">
        <v>53</v>
      </c>
    </row>
    <row r="38" spans="1:9">
      <c r="A38" s="176"/>
      <c r="B38" s="177"/>
      <c r="C38" s="2"/>
      <c r="D38" s="2"/>
      <c r="E38" s="182">
        <v>750</v>
      </c>
      <c r="F38" s="33" t="s">
        <v>154</v>
      </c>
      <c r="G38" s="184">
        <v>999</v>
      </c>
      <c r="H38" s="185">
        <v>53</v>
      </c>
    </row>
    <row r="39" spans="1:9">
      <c r="A39" s="176"/>
      <c r="B39" s="177"/>
      <c r="C39" s="2"/>
      <c r="D39" s="2"/>
      <c r="E39" s="183">
        <v>1000</v>
      </c>
      <c r="F39" s="181" t="s">
        <v>155</v>
      </c>
      <c r="G39" s="42"/>
      <c r="H39" s="185">
        <v>53</v>
      </c>
    </row>
    <row r="44" spans="1:9" ht="13.2" thickBot="1">
      <c r="A44" s="369" t="s">
        <v>237</v>
      </c>
      <c r="B44" s="369"/>
      <c r="C44" s="369"/>
      <c r="D44" s="369"/>
      <c r="E44" s="369" t="s">
        <v>230</v>
      </c>
      <c r="F44" s="369"/>
      <c r="G44" s="369"/>
      <c r="H44" s="369" t="s">
        <v>231</v>
      </c>
      <c r="I44" s="369"/>
    </row>
    <row r="45" spans="1:9">
      <c r="A45" s="63" t="s">
        <v>238</v>
      </c>
      <c r="B45" s="187">
        <f>SUM(H45)</f>
        <v>57</v>
      </c>
      <c r="C45" s="2"/>
      <c r="D45" s="2"/>
      <c r="E45" s="182">
        <v>1</v>
      </c>
      <c r="F45" s="33" t="s">
        <v>154</v>
      </c>
      <c r="G45" s="184">
        <v>23</v>
      </c>
      <c r="H45" s="185">
        <v>57</v>
      </c>
    </row>
    <row r="46" spans="1:9">
      <c r="A46" s="63" t="s">
        <v>239</v>
      </c>
      <c r="B46" s="188">
        <f>B45</f>
        <v>57</v>
      </c>
      <c r="C46" s="2"/>
      <c r="D46" s="2"/>
      <c r="E46" s="182">
        <v>24</v>
      </c>
      <c r="F46" s="33" t="s">
        <v>154</v>
      </c>
      <c r="G46" s="184">
        <v>199</v>
      </c>
      <c r="H46" s="185">
        <v>57</v>
      </c>
    </row>
    <row r="47" spans="1:9">
      <c r="A47" s="63" t="s">
        <v>240</v>
      </c>
      <c r="B47" s="189">
        <v>13.5</v>
      </c>
      <c r="C47" s="2"/>
      <c r="D47" s="2"/>
      <c r="E47" s="182">
        <v>200</v>
      </c>
      <c r="F47" s="33" t="s">
        <v>154</v>
      </c>
      <c r="G47" s="184">
        <v>749</v>
      </c>
      <c r="H47" s="185">
        <v>53</v>
      </c>
    </row>
    <row r="48" spans="1:9">
      <c r="B48" s="177"/>
      <c r="C48" s="2"/>
      <c r="D48" s="2"/>
      <c r="E48" s="182">
        <v>750</v>
      </c>
      <c r="F48" s="33" t="s">
        <v>154</v>
      </c>
      <c r="G48" s="184">
        <v>999</v>
      </c>
      <c r="H48" s="185">
        <v>53</v>
      </c>
    </row>
    <row r="49" spans="2:8">
      <c r="B49" s="177"/>
      <c r="C49" s="2"/>
      <c r="D49" s="2"/>
      <c r="E49" s="183">
        <v>1000</v>
      </c>
      <c r="F49" s="181" t="s">
        <v>155</v>
      </c>
      <c r="G49" s="42"/>
      <c r="H49" s="186">
        <v>53</v>
      </c>
    </row>
  </sheetData>
  <sheetProtection selectLockedCells="1"/>
  <mergeCells count="2">
    <mergeCell ref="E4:G4"/>
    <mergeCell ref="E11:H19"/>
  </mergeCells>
  <phoneticPr fontId="50" type="noConversion"/>
  <printOptions headings="1" gridLines="1"/>
  <pageMargins left="0.75" right="0.75" top="1" bottom="1" header="0.5" footer="0.5"/>
  <pageSetup scale="80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7179" r:id="rId4" name="cmdProtectAll">
          <controlPr defaultSize="0" autoLine="0" r:id="rId5">
            <anchor moveWithCells="1">
              <from>
                <xdr:col>6</xdr:col>
                <xdr:colOff>0</xdr:colOff>
                <xdr:row>0</xdr:row>
                <xdr:rowOff>0</xdr:rowOff>
              </from>
              <to>
                <xdr:col>8</xdr:col>
                <xdr:colOff>579120</xdr:colOff>
                <xdr:row>2</xdr:row>
                <xdr:rowOff>7620</xdr:rowOff>
              </to>
            </anchor>
          </controlPr>
        </control>
      </mc:Choice>
      <mc:Fallback>
        <control shapeId="7179" r:id="rId4" name="cmdProtectAll"/>
      </mc:Fallback>
    </mc:AlternateContent>
    <mc:AlternateContent xmlns:mc="http://schemas.openxmlformats.org/markup-compatibility/2006">
      <mc:Choice Requires="x14">
        <control shapeId="7178" r:id="rId6" name="cmdUnProtectAll">
          <controlPr defaultSize="0" autoLine="0" r:id="rId7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5</xdr:col>
                <xdr:colOff>236220</xdr:colOff>
                <xdr:row>2</xdr:row>
                <xdr:rowOff>7620</xdr:rowOff>
              </to>
            </anchor>
          </controlPr>
        </control>
      </mc:Choice>
      <mc:Fallback>
        <control shapeId="7178" r:id="rId6" name="cmdUnProtectAll"/>
      </mc:Fallback>
    </mc:AlternateContent>
    <mc:AlternateContent xmlns:mc="http://schemas.openxmlformats.org/markup-compatibility/2006">
      <mc:Choice Requires="x14">
        <control shapeId="7170" r:id="rId8" name="cmdUnlock">
          <controlPr defaultSize="0" autoLine="0" autoPict="0" r:id="rId9">
            <anchor moveWithCells="1">
              <from>
                <xdr:col>1</xdr:col>
                <xdr:colOff>0</xdr:colOff>
                <xdr:row>0</xdr:row>
                <xdr:rowOff>7620</xdr:rowOff>
              </from>
              <to>
                <xdr:col>3</xdr:col>
                <xdr:colOff>0</xdr:colOff>
                <xdr:row>2</xdr:row>
                <xdr:rowOff>0</xdr:rowOff>
              </to>
            </anchor>
          </controlPr>
        </control>
      </mc:Choice>
      <mc:Fallback>
        <control shapeId="7170" r:id="rId8" name="cmdUnlock"/>
      </mc:Fallback>
    </mc:AlternateContent>
    <mc:AlternateContent xmlns:mc="http://schemas.openxmlformats.org/markup-compatibility/2006">
      <mc:Choice Requires="x14">
        <control shapeId="7169" r:id="rId10" name="cmdCloseAdmin">
          <controlPr defaultSize="0" autoLine="0" r:id="rId11">
            <anchor moveWithCells="1">
              <from>
                <xdr:col>0</xdr:col>
                <xdr:colOff>0</xdr:colOff>
                <xdr:row>0</xdr:row>
                <xdr:rowOff>7620</xdr:rowOff>
              </from>
              <to>
                <xdr:col>0</xdr:col>
                <xdr:colOff>2240280</xdr:colOff>
                <xdr:row>2</xdr:row>
                <xdr:rowOff>0</xdr:rowOff>
              </to>
            </anchor>
          </controlPr>
        </control>
      </mc:Choice>
      <mc:Fallback>
        <control shapeId="7169" r:id="rId10" name="cmdCloseAdmin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>
    <pageSetUpPr fitToPage="1"/>
  </sheetPr>
  <dimension ref="A1:H73"/>
  <sheetViews>
    <sheetView workbookViewId="0"/>
  </sheetViews>
  <sheetFormatPr defaultColWidth="9.88671875" defaultRowHeight="13.2"/>
  <cols>
    <col min="1" max="1" width="12.5546875" style="74" customWidth="1"/>
    <col min="2" max="4" width="9.88671875" style="74" customWidth="1"/>
    <col min="5" max="6" width="12.33203125" style="74" customWidth="1"/>
    <col min="7" max="7" width="11.33203125" style="74" customWidth="1"/>
    <col min="8" max="16384" width="9.88671875" style="74"/>
  </cols>
  <sheetData>
    <row r="1" spans="1:8" ht="21" thickBot="1">
      <c r="A1" s="98" t="s">
        <v>127</v>
      </c>
      <c r="B1" s="98"/>
      <c r="C1" s="98"/>
      <c r="D1" s="98"/>
      <c r="E1" s="98"/>
      <c r="F1" s="98"/>
      <c r="G1" s="98"/>
      <c r="H1" s="99"/>
    </row>
    <row r="2" spans="1:8" ht="13.8" thickBot="1">
      <c r="A2" s="100" t="s">
        <v>59</v>
      </c>
      <c r="B2" s="100" t="s">
        <v>60</v>
      </c>
      <c r="C2" s="100" t="s">
        <v>61</v>
      </c>
      <c r="D2" s="100" t="s">
        <v>85</v>
      </c>
      <c r="E2" s="100" t="s">
        <v>86</v>
      </c>
      <c r="F2" s="100" t="s">
        <v>63</v>
      </c>
      <c r="G2" s="100" t="s">
        <v>64</v>
      </c>
      <c r="H2" s="100" t="s">
        <v>65</v>
      </c>
    </row>
    <row r="3" spans="1:8">
      <c r="A3" s="92" t="s">
        <v>66</v>
      </c>
      <c r="B3" s="72" t="s">
        <v>67</v>
      </c>
      <c r="C3" s="200"/>
      <c r="D3" s="75" t="s">
        <v>68</v>
      </c>
      <c r="E3" s="76">
        <v>0.49</v>
      </c>
      <c r="F3" s="106">
        <f t="shared" ref="F3:F8" si="0">C3*E3</f>
        <v>0</v>
      </c>
      <c r="G3" s="75">
        <v>0.06</v>
      </c>
      <c r="H3" s="107">
        <f t="shared" ref="H3:H32" si="1">G3*C3</f>
        <v>0</v>
      </c>
    </row>
    <row r="4" spans="1:8">
      <c r="A4" s="93" t="s">
        <v>49</v>
      </c>
      <c r="B4" s="72" t="s">
        <v>69</v>
      </c>
      <c r="C4" s="71"/>
      <c r="D4" s="72" t="s">
        <v>68</v>
      </c>
      <c r="E4" s="78">
        <v>0.77</v>
      </c>
      <c r="F4" s="106">
        <f t="shared" si="0"/>
        <v>0</v>
      </c>
      <c r="G4" s="72">
        <v>0.06</v>
      </c>
      <c r="H4" s="107">
        <f t="shared" si="1"/>
        <v>0</v>
      </c>
    </row>
    <row r="5" spans="1:8">
      <c r="A5" s="93" t="s">
        <v>49</v>
      </c>
      <c r="B5" s="72" t="s">
        <v>70</v>
      </c>
      <c r="C5" s="71"/>
      <c r="D5" s="72" t="s">
        <v>68</v>
      </c>
      <c r="E5" s="78">
        <v>1.08</v>
      </c>
      <c r="F5" s="106">
        <f t="shared" si="0"/>
        <v>0</v>
      </c>
      <c r="G5" s="72">
        <v>0.08</v>
      </c>
      <c r="H5" s="107">
        <f t="shared" si="1"/>
        <v>0</v>
      </c>
    </row>
    <row r="6" spans="1:8">
      <c r="A6" s="93" t="s">
        <v>49</v>
      </c>
      <c r="B6" s="72" t="s">
        <v>72</v>
      </c>
      <c r="C6" s="71"/>
      <c r="D6" s="72" t="s">
        <v>68</v>
      </c>
      <c r="E6" s="78">
        <v>1.93</v>
      </c>
      <c r="F6" s="106">
        <f t="shared" si="0"/>
        <v>0</v>
      </c>
      <c r="G6" s="72">
        <v>0.08</v>
      </c>
      <c r="H6" s="107">
        <f t="shared" si="1"/>
        <v>0</v>
      </c>
    </row>
    <row r="7" spans="1:8">
      <c r="A7" s="93" t="s">
        <v>49</v>
      </c>
      <c r="B7" s="72" t="s">
        <v>73</v>
      </c>
      <c r="C7" s="71"/>
      <c r="D7" s="72" t="s">
        <v>68</v>
      </c>
      <c r="E7" s="78">
        <v>3.04</v>
      </c>
      <c r="F7" s="106">
        <f t="shared" si="0"/>
        <v>0</v>
      </c>
      <c r="G7" s="72">
        <v>0.09</v>
      </c>
      <c r="H7" s="107">
        <f t="shared" si="1"/>
        <v>0</v>
      </c>
    </row>
    <row r="8" spans="1:8">
      <c r="A8" s="93"/>
      <c r="B8" s="72" t="s">
        <v>74</v>
      </c>
      <c r="C8" s="71"/>
      <c r="D8" s="72" t="s">
        <v>68</v>
      </c>
      <c r="E8" s="78">
        <v>4.45</v>
      </c>
      <c r="F8" s="106">
        <f t="shared" si="0"/>
        <v>0</v>
      </c>
      <c r="G8" s="72">
        <v>0.12</v>
      </c>
      <c r="H8" s="107">
        <f t="shared" si="1"/>
        <v>0</v>
      </c>
    </row>
    <row r="9" spans="1:8">
      <c r="A9" s="93"/>
      <c r="B9" s="72"/>
      <c r="C9" s="72"/>
      <c r="D9" s="72"/>
      <c r="E9" s="87" t="s">
        <v>100</v>
      </c>
      <c r="F9" s="120">
        <f>SUM(F3:F8)</f>
        <v>0</v>
      </c>
      <c r="G9" s="87" t="s">
        <v>100</v>
      </c>
      <c r="H9" s="337">
        <f>SUM(H3:H8)</f>
        <v>0</v>
      </c>
    </row>
    <row r="10" spans="1:8" ht="13.8" thickBot="1">
      <c r="A10" s="102"/>
      <c r="B10" s="103"/>
      <c r="C10" s="103"/>
      <c r="D10" s="103"/>
      <c r="E10" s="104"/>
      <c r="F10" s="104"/>
      <c r="G10" s="103"/>
      <c r="H10" s="105"/>
    </row>
    <row r="11" spans="1:8">
      <c r="A11" s="112" t="s">
        <v>75</v>
      </c>
      <c r="B11" s="97" t="s">
        <v>67</v>
      </c>
      <c r="C11" s="96"/>
      <c r="D11" s="97" t="s">
        <v>76</v>
      </c>
      <c r="E11" s="106">
        <v>0.22</v>
      </c>
      <c r="F11" s="106">
        <f t="shared" ref="F11:F16" si="2">C11*E11</f>
        <v>0</v>
      </c>
      <c r="G11" s="97">
        <v>0.41</v>
      </c>
      <c r="H11" s="107">
        <f t="shared" si="1"/>
        <v>0</v>
      </c>
    </row>
    <row r="12" spans="1:8">
      <c r="A12" s="93"/>
      <c r="B12" s="72" t="s">
        <v>69</v>
      </c>
      <c r="C12" s="71"/>
      <c r="D12" s="72" t="s">
        <v>76</v>
      </c>
      <c r="E12" s="78">
        <v>0.46</v>
      </c>
      <c r="F12" s="78">
        <f t="shared" si="2"/>
        <v>0</v>
      </c>
      <c r="G12" s="72">
        <v>0.54</v>
      </c>
      <c r="H12" s="79">
        <f t="shared" si="1"/>
        <v>0</v>
      </c>
    </row>
    <row r="13" spans="1:8">
      <c r="A13" s="93"/>
      <c r="B13" s="72" t="s">
        <v>70</v>
      </c>
      <c r="C13" s="71"/>
      <c r="D13" s="72" t="s">
        <v>76</v>
      </c>
      <c r="E13" s="78">
        <v>1.07</v>
      </c>
      <c r="F13" s="78">
        <f t="shared" si="2"/>
        <v>0</v>
      </c>
      <c r="G13" s="72">
        <v>0.63</v>
      </c>
      <c r="H13" s="79">
        <f t="shared" si="1"/>
        <v>0</v>
      </c>
    </row>
    <row r="14" spans="1:8">
      <c r="A14" s="93"/>
      <c r="B14" s="72" t="s">
        <v>72</v>
      </c>
      <c r="C14" s="71"/>
      <c r="D14" s="72" t="s">
        <v>76</v>
      </c>
      <c r="E14" s="78">
        <v>3.04</v>
      </c>
      <c r="F14" s="78">
        <f t="shared" si="2"/>
        <v>0</v>
      </c>
      <c r="G14" s="72">
        <v>0.75</v>
      </c>
      <c r="H14" s="79">
        <f t="shared" si="1"/>
        <v>0</v>
      </c>
    </row>
    <row r="15" spans="1:8">
      <c r="A15" s="93"/>
      <c r="B15" s="72" t="s">
        <v>73</v>
      </c>
      <c r="C15" s="71"/>
      <c r="D15" s="72" t="s">
        <v>76</v>
      </c>
      <c r="E15" s="78">
        <v>5.54</v>
      </c>
      <c r="F15" s="78">
        <f t="shared" si="2"/>
        <v>0</v>
      </c>
      <c r="G15" s="72">
        <v>0.86</v>
      </c>
      <c r="H15" s="79">
        <f t="shared" si="1"/>
        <v>0</v>
      </c>
    </row>
    <row r="16" spans="1:8">
      <c r="A16" s="93"/>
      <c r="B16" s="72" t="s">
        <v>74</v>
      </c>
      <c r="C16" s="71"/>
      <c r="D16" s="72" t="s">
        <v>76</v>
      </c>
      <c r="E16" s="78">
        <v>11.73</v>
      </c>
      <c r="F16" s="78">
        <f t="shared" si="2"/>
        <v>0</v>
      </c>
      <c r="G16" s="72">
        <v>1.38</v>
      </c>
      <c r="H16" s="79">
        <f t="shared" si="1"/>
        <v>0</v>
      </c>
    </row>
    <row r="17" spans="1:8">
      <c r="A17" s="101"/>
      <c r="B17" s="89"/>
      <c r="C17" s="72"/>
      <c r="D17" s="89"/>
      <c r="E17" s="87" t="s">
        <v>100</v>
      </c>
      <c r="F17" s="120">
        <f>SUM(F11:F16)</f>
        <v>0</v>
      </c>
      <c r="G17" s="87" t="s">
        <v>100</v>
      </c>
      <c r="H17" s="196">
        <f>SUM(H11:H16)</f>
        <v>0</v>
      </c>
    </row>
    <row r="18" spans="1:8" ht="13.8" thickBot="1">
      <c r="A18" s="102"/>
      <c r="B18" s="103"/>
      <c r="C18" s="103"/>
      <c r="D18" s="103" t="s">
        <v>49</v>
      </c>
      <c r="E18" s="104"/>
      <c r="F18" s="104" t="s">
        <v>49</v>
      </c>
      <c r="G18" s="103"/>
      <c r="H18" s="105"/>
    </row>
    <row r="19" spans="1:8">
      <c r="A19" s="112" t="s">
        <v>77</v>
      </c>
      <c r="B19" s="97" t="s">
        <v>67</v>
      </c>
      <c r="C19" s="96"/>
      <c r="D19" s="97" t="s">
        <v>76</v>
      </c>
      <c r="E19" s="106">
        <v>0.35</v>
      </c>
      <c r="F19" s="106">
        <f t="shared" ref="F19:F24" si="3">C19*E19</f>
        <v>0</v>
      </c>
      <c r="G19" s="97">
        <v>0.59</v>
      </c>
      <c r="H19" s="107">
        <f t="shared" si="1"/>
        <v>0</v>
      </c>
    </row>
    <row r="20" spans="1:8">
      <c r="A20" s="93"/>
      <c r="B20" s="72" t="s">
        <v>69</v>
      </c>
      <c r="C20" s="71"/>
      <c r="D20" s="72" t="s">
        <v>76</v>
      </c>
      <c r="E20" s="78">
        <v>0.86</v>
      </c>
      <c r="F20" s="78">
        <f t="shared" si="3"/>
        <v>0</v>
      </c>
      <c r="G20" s="72">
        <v>0.77</v>
      </c>
      <c r="H20" s="79">
        <f t="shared" si="1"/>
        <v>0</v>
      </c>
    </row>
    <row r="21" spans="1:8">
      <c r="A21" s="93"/>
      <c r="B21" s="72" t="s">
        <v>70</v>
      </c>
      <c r="C21" s="71"/>
      <c r="D21" s="72" t="s">
        <v>76</v>
      </c>
      <c r="E21" s="78">
        <v>2.4900000000000002</v>
      </c>
      <c r="F21" s="78">
        <f t="shared" si="3"/>
        <v>0</v>
      </c>
      <c r="G21" s="72">
        <v>0.92</v>
      </c>
      <c r="H21" s="79">
        <f t="shared" si="1"/>
        <v>0</v>
      </c>
    </row>
    <row r="22" spans="1:8">
      <c r="A22" s="93"/>
      <c r="B22" s="72" t="s">
        <v>72</v>
      </c>
      <c r="C22" s="71"/>
      <c r="D22" s="72" t="s">
        <v>76</v>
      </c>
      <c r="E22" s="78">
        <v>6.28</v>
      </c>
      <c r="F22" s="78">
        <f t="shared" si="3"/>
        <v>0</v>
      </c>
      <c r="G22" s="72">
        <v>1.08</v>
      </c>
      <c r="H22" s="79">
        <f t="shared" si="1"/>
        <v>0</v>
      </c>
    </row>
    <row r="23" spans="1:8">
      <c r="A23" s="93"/>
      <c r="B23" s="72" t="s">
        <v>73</v>
      </c>
      <c r="C23" s="71"/>
      <c r="D23" s="72" t="s">
        <v>76</v>
      </c>
      <c r="E23" s="78">
        <v>9.77</v>
      </c>
      <c r="F23" s="78">
        <f t="shared" si="3"/>
        <v>0</v>
      </c>
      <c r="G23" s="72">
        <v>1.26</v>
      </c>
      <c r="H23" s="79">
        <f t="shared" si="1"/>
        <v>0</v>
      </c>
    </row>
    <row r="24" spans="1:8">
      <c r="A24" s="93"/>
      <c r="B24" s="72" t="s">
        <v>74</v>
      </c>
      <c r="C24" s="71"/>
      <c r="D24" s="72" t="s">
        <v>76</v>
      </c>
      <c r="E24" s="78">
        <v>21.93</v>
      </c>
      <c r="F24" s="78">
        <f t="shared" si="3"/>
        <v>0</v>
      </c>
      <c r="G24" s="72">
        <v>2.0299999999999998</v>
      </c>
      <c r="H24" s="79">
        <f t="shared" si="1"/>
        <v>0</v>
      </c>
    </row>
    <row r="25" spans="1:8">
      <c r="A25" s="93"/>
      <c r="B25" s="72"/>
      <c r="C25" s="72"/>
      <c r="D25" s="72"/>
      <c r="E25" s="87" t="s">
        <v>100</v>
      </c>
      <c r="F25" s="120">
        <f>SUM(F19:F24)</f>
        <v>0</v>
      </c>
      <c r="G25" s="87" t="s">
        <v>100</v>
      </c>
      <c r="H25" s="196">
        <f>SUM(H19:H24)</f>
        <v>0</v>
      </c>
    </row>
    <row r="26" spans="1:8" ht="13.8" thickBot="1">
      <c r="A26" s="102"/>
      <c r="B26" s="103"/>
      <c r="C26" s="103"/>
      <c r="D26" s="103"/>
      <c r="E26" s="104"/>
      <c r="F26" s="104"/>
      <c r="G26" s="103"/>
      <c r="H26" s="105"/>
    </row>
    <row r="27" spans="1:8">
      <c r="A27" s="112" t="s">
        <v>78</v>
      </c>
      <c r="B27" s="97" t="s">
        <v>67</v>
      </c>
      <c r="C27" s="96"/>
      <c r="D27" s="97" t="s">
        <v>76</v>
      </c>
      <c r="E27" s="106">
        <v>12.25</v>
      </c>
      <c r="F27" s="106">
        <f t="shared" ref="F27:F32" si="4">C27*E27</f>
        <v>0</v>
      </c>
      <c r="G27" s="97">
        <v>0.5</v>
      </c>
      <c r="H27" s="107">
        <f t="shared" si="1"/>
        <v>0</v>
      </c>
    </row>
    <row r="28" spans="1:8">
      <c r="A28" s="93"/>
      <c r="B28" s="72" t="s">
        <v>69</v>
      </c>
      <c r="C28" s="71"/>
      <c r="D28" s="72" t="s">
        <v>76</v>
      </c>
      <c r="E28" s="78">
        <v>14.79</v>
      </c>
      <c r="F28" s="78">
        <f t="shared" si="4"/>
        <v>0</v>
      </c>
      <c r="G28" s="72">
        <v>0.5</v>
      </c>
      <c r="H28" s="79">
        <f t="shared" si="1"/>
        <v>0</v>
      </c>
    </row>
    <row r="29" spans="1:8">
      <c r="A29" s="93"/>
      <c r="B29" s="72" t="s">
        <v>70</v>
      </c>
      <c r="C29" s="71"/>
      <c r="D29" s="72" t="s">
        <v>76</v>
      </c>
      <c r="E29" s="78">
        <v>18.510000000000002</v>
      </c>
      <c r="F29" s="78">
        <f t="shared" si="4"/>
        <v>0</v>
      </c>
      <c r="G29" s="72">
        <v>0.5</v>
      </c>
      <c r="H29" s="79">
        <f t="shared" si="1"/>
        <v>0</v>
      </c>
    </row>
    <row r="30" spans="1:8">
      <c r="A30" s="93"/>
      <c r="B30" s="72" t="s">
        <v>72</v>
      </c>
      <c r="C30" s="71"/>
      <c r="D30" s="72" t="s">
        <v>76</v>
      </c>
      <c r="E30" s="78">
        <v>36.64</v>
      </c>
      <c r="F30" s="78">
        <f t="shared" si="4"/>
        <v>0</v>
      </c>
      <c r="G30" s="72">
        <v>0.5</v>
      </c>
      <c r="H30" s="79">
        <f t="shared" si="1"/>
        <v>0</v>
      </c>
    </row>
    <row r="31" spans="1:8">
      <c r="A31" s="93"/>
      <c r="B31" s="72" t="s">
        <v>73</v>
      </c>
      <c r="C31" s="71"/>
      <c r="D31" s="72" t="s">
        <v>76</v>
      </c>
      <c r="E31" s="78">
        <v>48.79</v>
      </c>
      <c r="F31" s="78">
        <f t="shared" si="4"/>
        <v>0</v>
      </c>
      <c r="G31" s="72">
        <v>0.5</v>
      </c>
      <c r="H31" s="79">
        <f t="shared" si="1"/>
        <v>0</v>
      </c>
    </row>
    <row r="32" spans="1:8">
      <c r="A32" s="93"/>
      <c r="B32" s="72" t="s">
        <v>74</v>
      </c>
      <c r="C32" s="71"/>
      <c r="D32" s="72" t="s">
        <v>76</v>
      </c>
      <c r="E32" s="78">
        <v>153.79</v>
      </c>
      <c r="F32" s="78">
        <f t="shared" si="4"/>
        <v>0</v>
      </c>
      <c r="G32" s="72">
        <v>1</v>
      </c>
      <c r="H32" s="79">
        <f t="shared" si="1"/>
        <v>0</v>
      </c>
    </row>
    <row r="33" spans="1:8">
      <c r="A33" s="93"/>
      <c r="B33" s="72"/>
      <c r="C33" s="72"/>
      <c r="D33" s="72"/>
      <c r="E33" s="87" t="s">
        <v>100</v>
      </c>
      <c r="F33" s="120">
        <f>SUM(F27:F32)</f>
        <v>0</v>
      </c>
      <c r="G33" s="87" t="s">
        <v>100</v>
      </c>
      <c r="H33" s="196">
        <f>SUM(H27:H32)</f>
        <v>0</v>
      </c>
    </row>
    <row r="34" spans="1:8" ht="13.8" thickBot="1">
      <c r="A34" s="102"/>
      <c r="B34" s="103"/>
      <c r="C34" s="103"/>
      <c r="D34" s="103"/>
      <c r="E34" s="104"/>
      <c r="F34" s="104"/>
      <c r="G34" s="103"/>
      <c r="H34" s="105"/>
    </row>
    <row r="35" spans="1:8">
      <c r="A35" s="112" t="s">
        <v>84</v>
      </c>
      <c r="B35" s="97" t="s">
        <v>70</v>
      </c>
      <c r="C35" s="96"/>
      <c r="D35" s="97"/>
      <c r="E35" s="106">
        <v>41.57</v>
      </c>
      <c r="F35" s="78">
        <f>C35*E35</f>
        <v>0</v>
      </c>
      <c r="G35" s="97"/>
      <c r="H35" s="107">
        <f>G35*C35</f>
        <v>0</v>
      </c>
    </row>
    <row r="36" spans="1:8">
      <c r="A36" s="119" t="s">
        <v>110</v>
      </c>
      <c r="B36" s="72" t="s">
        <v>72</v>
      </c>
      <c r="C36" s="71"/>
      <c r="D36" s="72"/>
      <c r="E36" s="78">
        <v>59.57</v>
      </c>
      <c r="F36" s="78">
        <f>C36*E36</f>
        <v>0</v>
      </c>
      <c r="G36" s="72"/>
      <c r="H36" s="79">
        <f>G36*C36</f>
        <v>0</v>
      </c>
    </row>
    <row r="37" spans="1:8">
      <c r="A37" s="119" t="s">
        <v>111</v>
      </c>
      <c r="B37" s="72" t="s">
        <v>73</v>
      </c>
      <c r="C37" s="71"/>
      <c r="D37" s="72"/>
      <c r="E37" s="78">
        <v>101.78</v>
      </c>
      <c r="F37" s="78">
        <f>C37*E37</f>
        <v>0</v>
      </c>
      <c r="G37" s="72"/>
      <c r="H37" s="79">
        <f>G37*C37</f>
        <v>0</v>
      </c>
    </row>
    <row r="38" spans="1:8">
      <c r="A38" s="93"/>
      <c r="B38" s="72" t="s">
        <v>83</v>
      </c>
      <c r="C38" s="71"/>
      <c r="D38" s="72" t="s">
        <v>76</v>
      </c>
      <c r="E38" s="78">
        <v>184</v>
      </c>
      <c r="F38" s="78">
        <f>C38*E38</f>
        <v>0</v>
      </c>
      <c r="G38" s="72">
        <v>0.5</v>
      </c>
      <c r="H38" s="79">
        <f>G38*C38</f>
        <v>0</v>
      </c>
    </row>
    <row r="39" spans="1:8">
      <c r="A39" s="93"/>
      <c r="B39" s="72"/>
      <c r="C39" s="72"/>
      <c r="D39" s="72"/>
      <c r="E39" s="87" t="s">
        <v>100</v>
      </c>
      <c r="F39" s="120">
        <f>SUM(F35:F38)</f>
        <v>0</v>
      </c>
      <c r="G39" s="87" t="s">
        <v>100</v>
      </c>
      <c r="H39" s="196">
        <f>SUM(H35:H38)</f>
        <v>0</v>
      </c>
    </row>
    <row r="40" spans="1:8" ht="13.8" thickBot="1">
      <c r="A40" s="102"/>
      <c r="B40" s="103"/>
      <c r="C40" s="103"/>
      <c r="D40" s="103"/>
      <c r="E40" s="104"/>
      <c r="F40" s="104"/>
      <c r="G40" s="103"/>
      <c r="H40" s="105"/>
    </row>
    <row r="41" spans="1:8">
      <c r="A41" s="112" t="s">
        <v>81</v>
      </c>
      <c r="B41" s="97" t="s">
        <v>67</v>
      </c>
      <c r="C41" s="96"/>
      <c r="D41" s="97" t="s">
        <v>76</v>
      </c>
      <c r="E41" s="106">
        <v>8.6199999999999992</v>
      </c>
      <c r="F41" s="106">
        <f>C41*E41</f>
        <v>0</v>
      </c>
      <c r="G41" s="97" t="s">
        <v>82</v>
      </c>
      <c r="H41" s="107">
        <v>0</v>
      </c>
    </row>
    <row r="42" spans="1:8">
      <c r="A42" s="93"/>
      <c r="B42" s="72" t="s">
        <v>69</v>
      </c>
      <c r="C42" s="71"/>
      <c r="D42" s="72" t="s">
        <v>76</v>
      </c>
      <c r="E42" s="78">
        <v>9.64</v>
      </c>
      <c r="F42" s="78">
        <f>C42*E42</f>
        <v>0</v>
      </c>
      <c r="G42" s="72" t="s">
        <v>82</v>
      </c>
      <c r="H42" s="79">
        <v>0</v>
      </c>
    </row>
    <row r="43" spans="1:8">
      <c r="A43" s="93" t="s">
        <v>49</v>
      </c>
      <c r="B43" s="72" t="s">
        <v>70</v>
      </c>
      <c r="C43" s="71"/>
      <c r="D43" s="72" t="s">
        <v>76</v>
      </c>
      <c r="E43" s="78">
        <v>14.82</v>
      </c>
      <c r="F43" s="78">
        <f>C43*E43</f>
        <v>0</v>
      </c>
      <c r="G43" s="72" t="s">
        <v>82</v>
      </c>
      <c r="H43" s="79">
        <v>0</v>
      </c>
    </row>
    <row r="44" spans="1:8">
      <c r="A44" s="93"/>
      <c r="B44" s="72" t="s">
        <v>72</v>
      </c>
      <c r="C44" s="71"/>
      <c r="D44" s="72" t="s">
        <v>76</v>
      </c>
      <c r="E44" s="78">
        <v>25.46</v>
      </c>
      <c r="F44" s="78">
        <f>C44*E44</f>
        <v>0</v>
      </c>
      <c r="G44" s="72" t="s">
        <v>82</v>
      </c>
      <c r="H44" s="79">
        <v>0</v>
      </c>
    </row>
    <row r="45" spans="1:8">
      <c r="A45" s="93"/>
      <c r="B45" s="72" t="s">
        <v>73</v>
      </c>
      <c r="C45" s="71"/>
      <c r="D45" s="72" t="s">
        <v>76</v>
      </c>
      <c r="E45" s="78">
        <v>34</v>
      </c>
      <c r="F45" s="78">
        <f>C45*E45</f>
        <v>0</v>
      </c>
      <c r="G45" s="72" t="s">
        <v>82</v>
      </c>
      <c r="H45" s="79">
        <v>0</v>
      </c>
    </row>
    <row r="46" spans="1:8">
      <c r="A46" s="93"/>
      <c r="B46" s="72"/>
      <c r="C46" s="72"/>
      <c r="D46" s="72"/>
      <c r="E46" s="87" t="s">
        <v>100</v>
      </c>
      <c r="F46" s="120">
        <f>SUM(F41:F45)</f>
        <v>0</v>
      </c>
      <c r="G46" s="87" t="s">
        <v>100</v>
      </c>
      <c r="H46" s="196">
        <f>SUM(H41:H45)</f>
        <v>0</v>
      </c>
    </row>
    <row r="47" spans="1:8" ht="13.8" thickBot="1">
      <c r="A47" s="102"/>
      <c r="B47" s="103"/>
      <c r="C47" s="103"/>
      <c r="D47" s="103"/>
      <c r="E47" s="104"/>
      <c r="F47" s="104"/>
      <c r="G47" s="103"/>
      <c r="H47" s="105"/>
    </row>
    <row r="48" spans="1:8">
      <c r="A48" s="112" t="s">
        <v>79</v>
      </c>
      <c r="B48" s="97" t="s">
        <v>80</v>
      </c>
      <c r="C48" s="97">
        <f>SUM(C3:C8)/8</f>
        <v>0</v>
      </c>
      <c r="D48" s="97" t="s">
        <v>76</v>
      </c>
      <c r="E48" s="106">
        <v>6</v>
      </c>
      <c r="F48" s="106">
        <v>0</v>
      </c>
      <c r="G48" s="97">
        <v>0.33</v>
      </c>
      <c r="H48" s="107">
        <v>0</v>
      </c>
    </row>
    <row r="49" spans="1:8">
      <c r="A49" s="93"/>
      <c r="B49" s="72"/>
      <c r="C49" s="72"/>
      <c r="D49" s="72"/>
      <c r="E49" s="87" t="s">
        <v>100</v>
      </c>
      <c r="F49" s="120">
        <f>SUM(F48)</f>
        <v>0</v>
      </c>
      <c r="G49" s="87" t="s">
        <v>100</v>
      </c>
      <c r="H49" s="196">
        <f>SUM(H48)</f>
        <v>0</v>
      </c>
    </row>
    <row r="50" spans="1:8" ht="13.8" thickBot="1">
      <c r="A50" s="102"/>
      <c r="B50" s="103"/>
      <c r="C50" s="103"/>
      <c r="D50" s="103"/>
      <c r="E50" s="104"/>
      <c r="F50" s="104"/>
      <c r="G50" s="103"/>
      <c r="H50" s="105"/>
    </row>
    <row r="51" spans="1:8">
      <c r="A51" s="112" t="s">
        <v>101</v>
      </c>
      <c r="B51" s="97"/>
      <c r="C51" s="96"/>
      <c r="D51" s="97"/>
      <c r="E51" s="106"/>
      <c r="F51" s="106"/>
      <c r="G51" s="97"/>
      <c r="H51" s="107"/>
    </row>
    <row r="52" spans="1:8">
      <c r="A52" s="93" t="s">
        <v>117</v>
      </c>
      <c r="B52" s="72"/>
      <c r="C52" s="71"/>
      <c r="D52" s="72"/>
      <c r="E52" s="78"/>
      <c r="F52" s="78">
        <v>0</v>
      </c>
      <c r="G52" s="72"/>
      <c r="H52" s="79">
        <f t="shared" ref="H52:H60" si="5">G52*C52</f>
        <v>0</v>
      </c>
    </row>
    <row r="53" spans="1:8">
      <c r="A53" s="93" t="s">
        <v>118</v>
      </c>
      <c r="B53" s="72"/>
      <c r="C53" s="71"/>
      <c r="D53" s="72"/>
      <c r="E53" s="78">
        <v>87</v>
      </c>
      <c r="F53" s="78">
        <f t="shared" ref="F53:F60" si="6">C53*E53</f>
        <v>0</v>
      </c>
      <c r="G53" s="72">
        <v>0.5</v>
      </c>
      <c r="H53" s="79">
        <f t="shared" si="5"/>
        <v>0</v>
      </c>
    </row>
    <row r="54" spans="1:8">
      <c r="A54" s="93" t="s">
        <v>119</v>
      </c>
      <c r="B54" s="72"/>
      <c r="C54" s="71"/>
      <c r="D54" s="72"/>
      <c r="E54" s="78"/>
      <c r="F54" s="78">
        <f t="shared" si="6"/>
        <v>0</v>
      </c>
      <c r="G54" s="72"/>
      <c r="H54" s="79">
        <f t="shared" si="5"/>
        <v>0</v>
      </c>
    </row>
    <row r="55" spans="1:8">
      <c r="A55" s="93" t="s">
        <v>112</v>
      </c>
      <c r="B55" s="72"/>
      <c r="C55" s="71"/>
      <c r="D55" s="72"/>
      <c r="E55" s="78"/>
      <c r="F55" s="78">
        <f t="shared" si="6"/>
        <v>0</v>
      </c>
      <c r="G55" s="72"/>
      <c r="H55" s="79">
        <f t="shared" si="5"/>
        <v>0</v>
      </c>
    </row>
    <row r="56" spans="1:8">
      <c r="A56" s="93" t="s">
        <v>109</v>
      </c>
      <c r="B56" s="72" t="s">
        <v>87</v>
      </c>
      <c r="C56" s="71"/>
      <c r="D56" s="72"/>
      <c r="E56" s="78"/>
      <c r="F56" s="78">
        <f t="shared" si="6"/>
        <v>0</v>
      </c>
      <c r="G56" s="72"/>
      <c r="H56" s="79">
        <f t="shared" si="5"/>
        <v>0</v>
      </c>
    </row>
    <row r="57" spans="1:8">
      <c r="A57" s="93" t="s">
        <v>113</v>
      </c>
      <c r="B57" s="72"/>
      <c r="C57" s="71"/>
      <c r="D57" s="72"/>
      <c r="E57" s="78">
        <v>0</v>
      </c>
      <c r="F57" s="78">
        <f t="shared" si="6"/>
        <v>0</v>
      </c>
      <c r="G57" s="72"/>
      <c r="H57" s="79">
        <f t="shared" si="5"/>
        <v>0</v>
      </c>
    </row>
    <row r="58" spans="1:8">
      <c r="A58" s="93" t="s">
        <v>114</v>
      </c>
      <c r="B58" s="72"/>
      <c r="C58" s="71"/>
      <c r="D58" s="72"/>
      <c r="E58" s="78"/>
      <c r="F58" s="78">
        <f t="shared" si="6"/>
        <v>0</v>
      </c>
      <c r="G58" s="72">
        <v>0.5</v>
      </c>
      <c r="H58" s="79">
        <f t="shared" si="5"/>
        <v>0</v>
      </c>
    </row>
    <row r="59" spans="1:8">
      <c r="A59" s="93" t="s">
        <v>115</v>
      </c>
      <c r="B59" s="72"/>
      <c r="C59" s="71"/>
      <c r="D59" s="72"/>
      <c r="E59" s="78">
        <v>16</v>
      </c>
      <c r="F59" s="78">
        <f t="shared" si="6"/>
        <v>0</v>
      </c>
      <c r="G59" s="72">
        <v>0.5</v>
      </c>
      <c r="H59" s="79">
        <f t="shared" si="5"/>
        <v>0</v>
      </c>
    </row>
    <row r="60" spans="1:8">
      <c r="A60" s="93" t="s">
        <v>116</v>
      </c>
      <c r="B60" s="72" t="s">
        <v>70</v>
      </c>
      <c r="C60" s="71"/>
      <c r="D60" s="72" t="s">
        <v>76</v>
      </c>
      <c r="E60" s="78"/>
      <c r="F60" s="78">
        <f t="shared" si="6"/>
        <v>0</v>
      </c>
      <c r="G60" s="72"/>
      <c r="H60" s="197">
        <f t="shared" si="5"/>
        <v>0</v>
      </c>
    </row>
    <row r="61" spans="1:8" ht="13.8" thickBot="1">
      <c r="A61" s="93" t="s">
        <v>49</v>
      </c>
      <c r="B61" s="72"/>
      <c r="C61" s="103"/>
      <c r="D61" s="72"/>
      <c r="E61" s="87" t="s">
        <v>100</v>
      </c>
      <c r="F61" s="120">
        <f>SUM(F52:F60)</f>
        <v>0</v>
      </c>
      <c r="G61" s="87" t="s">
        <v>100</v>
      </c>
      <c r="H61" s="199">
        <f>SUM(H52:H60)</f>
        <v>0</v>
      </c>
    </row>
    <row r="62" spans="1:8" ht="13.8" thickBot="1">
      <c r="A62" s="80" t="s">
        <v>35</v>
      </c>
      <c r="B62" s="80"/>
      <c r="C62" s="80">
        <f>SUM(C3:C8)</f>
        <v>0</v>
      </c>
      <c r="D62" s="80"/>
      <c r="E62" s="80"/>
      <c r="F62" s="81">
        <f>SUM(F3:F8,F11:F16,F19:F24,F27:F32,F35:F38,F41:F45,F48,F52:F60)</f>
        <v>0</v>
      </c>
      <c r="G62" s="80"/>
      <c r="H62" s="198">
        <f>SUM(H3:H8,H11:H16,H19:H24,H27:H32,H35:H38,H41:H45,H48,H52:H60)</f>
        <v>0</v>
      </c>
    </row>
    <row r="63" spans="1:8">
      <c r="A63" s="82"/>
      <c r="B63" s="82"/>
      <c r="C63" s="82"/>
      <c r="D63" s="82"/>
      <c r="E63" s="82"/>
      <c r="F63" s="82"/>
      <c r="G63" s="82"/>
      <c r="H63" s="82"/>
    </row>
    <row r="64" spans="1:8">
      <c r="A64" s="83"/>
      <c r="B64" s="83"/>
      <c r="C64" s="83"/>
      <c r="D64" s="83"/>
      <c r="E64" s="83"/>
      <c r="F64" s="83"/>
      <c r="G64" s="83"/>
      <c r="H64" s="83"/>
    </row>
    <row r="65" spans="1:8">
      <c r="A65" s="83"/>
      <c r="B65" s="83"/>
      <c r="C65" s="83"/>
      <c r="D65" s="83"/>
      <c r="E65" s="83"/>
      <c r="F65" s="83"/>
      <c r="G65" s="83"/>
      <c r="H65" s="83"/>
    </row>
    <row r="66" spans="1:8">
      <c r="A66" s="83"/>
      <c r="B66" s="83"/>
      <c r="C66" s="83"/>
      <c r="D66" s="83"/>
      <c r="E66" s="83"/>
      <c r="F66" s="83"/>
      <c r="G66" s="83"/>
      <c r="H66" s="83"/>
    </row>
    <row r="67" spans="1:8">
      <c r="A67" s="83"/>
      <c r="B67" s="83"/>
      <c r="C67" s="83"/>
      <c r="D67" s="83"/>
      <c r="E67" s="83"/>
      <c r="F67" s="83"/>
      <c r="G67" s="83"/>
      <c r="H67" s="83"/>
    </row>
    <row r="68" spans="1:8">
      <c r="A68" s="83"/>
      <c r="B68" s="83"/>
      <c r="C68" s="83"/>
      <c r="D68" s="83"/>
      <c r="E68" s="83"/>
      <c r="F68" s="83"/>
      <c r="G68" s="83"/>
      <c r="H68" s="83"/>
    </row>
    <row r="69" spans="1:8">
      <c r="A69" s="83"/>
      <c r="B69" s="83"/>
      <c r="C69" s="83"/>
      <c r="D69" s="83"/>
      <c r="E69" s="83"/>
      <c r="F69" s="83"/>
      <c r="G69" s="83"/>
      <c r="H69" s="83"/>
    </row>
    <row r="70" spans="1:8">
      <c r="A70" s="83"/>
      <c r="B70" s="83"/>
      <c r="C70" s="83"/>
      <c r="D70" s="83"/>
      <c r="E70" s="83"/>
      <c r="F70" s="83"/>
      <c r="G70" s="83"/>
      <c r="H70" s="83"/>
    </row>
    <row r="71" spans="1:8">
      <c r="A71" s="83"/>
      <c r="B71" s="83"/>
      <c r="C71" s="83"/>
      <c r="D71" s="83"/>
      <c r="E71" s="83"/>
      <c r="F71" s="83"/>
      <c r="G71" s="83"/>
      <c r="H71" s="83"/>
    </row>
    <row r="72" spans="1:8">
      <c r="A72" s="83"/>
      <c r="B72" s="83"/>
      <c r="C72" s="83"/>
      <c r="D72" s="83"/>
      <c r="E72" s="83"/>
      <c r="F72" s="83"/>
      <c r="G72" s="83"/>
      <c r="H72" s="83"/>
    </row>
    <row r="73" spans="1:8">
      <c r="A73" s="83"/>
      <c r="B73" s="83"/>
      <c r="C73" s="83"/>
      <c r="D73" s="83"/>
      <c r="E73" s="83"/>
      <c r="F73" s="83"/>
      <c r="G73" s="83"/>
      <c r="H73" s="83"/>
    </row>
  </sheetData>
  <sheetProtection sheet="1" objects="1" scenarios="1" selectLockedCells="1"/>
  <phoneticPr fontId="40" type="noConversion"/>
  <printOptions horizontalCentered="1" headings="1" gridLines="1" gridLinesSet="0"/>
  <pageMargins left="0" right="0" top="0" bottom="0" header="0" footer="0"/>
  <pageSetup scale="10" orientation="portrait" blackAndWhite="1" horizontalDpi="300" verticalDpi="300" r:id="rId1"/>
  <headerFooter alignWithMargins="0"/>
  <rowBreaks count="1" manualBreakCount="1">
    <brk id="25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Q38"/>
  <sheetViews>
    <sheetView workbookViewId="0"/>
  </sheetViews>
  <sheetFormatPr defaultRowHeight="18" customHeight="1"/>
  <cols>
    <col min="1" max="1" width="7.6640625" customWidth="1"/>
    <col min="3" max="3" width="11.6640625" customWidth="1"/>
    <col min="4" max="4" width="17" customWidth="1"/>
    <col min="5" max="5" width="10.6640625" customWidth="1"/>
    <col min="6" max="6" width="4" customWidth="1"/>
    <col min="7" max="7" width="7.6640625" customWidth="1"/>
    <col min="8" max="8" width="7.5546875" customWidth="1"/>
    <col min="9" max="9" width="9.33203125" customWidth="1"/>
    <col min="10" max="10" width="12.44140625" customWidth="1"/>
    <col min="11" max="11" width="13.6640625" customWidth="1"/>
    <col min="12" max="12" width="13.44140625" customWidth="1"/>
    <col min="13" max="13" width="3" customWidth="1"/>
    <col min="14" max="14" width="2.88671875" customWidth="1"/>
    <col min="15" max="15" width="14.33203125" customWidth="1"/>
    <col min="16" max="16" width="12.6640625" customWidth="1"/>
    <col min="17" max="17" width="14.6640625" customWidth="1"/>
  </cols>
  <sheetData>
    <row r="1" spans="1:15" ht="18" customHeight="1">
      <c r="A1" s="217"/>
      <c r="B1" s="218"/>
      <c r="C1" s="218"/>
      <c r="D1" s="218"/>
      <c r="E1" s="218"/>
      <c r="F1" s="219" t="s">
        <v>38</v>
      </c>
      <c r="G1" s="220"/>
      <c r="H1" s="220"/>
      <c r="I1" s="218"/>
      <c r="J1" s="218"/>
      <c r="K1" s="218"/>
      <c r="L1" s="221"/>
      <c r="M1" s="2"/>
      <c r="N1" s="2"/>
    </row>
    <row r="2" spans="1:15" ht="18" customHeight="1">
      <c r="A2" s="222" t="s">
        <v>39</v>
      </c>
      <c r="B2" s="2"/>
      <c r="C2" s="2"/>
      <c r="D2" s="2"/>
      <c r="E2" s="2"/>
      <c r="F2" s="2"/>
      <c r="G2" s="223" t="s">
        <v>40</v>
      </c>
      <c r="H2" s="2"/>
      <c r="I2" s="2"/>
      <c r="J2" s="2"/>
      <c r="K2" s="2"/>
      <c r="L2" s="177"/>
      <c r="M2" s="2"/>
      <c r="N2" s="2"/>
    </row>
    <row r="3" spans="1:15" ht="18" customHeight="1">
      <c r="A3" s="224"/>
      <c r="B3" s="225" t="s">
        <v>41</v>
      </c>
      <c r="C3" s="893">
        <f>SUMMARY!B1</f>
        <v>0</v>
      </c>
      <c r="D3" s="893"/>
      <c r="E3" s="893"/>
      <c r="F3" s="893"/>
      <c r="G3" s="893"/>
      <c r="H3" s="2"/>
      <c r="I3" s="2"/>
      <c r="J3" s="225" t="s">
        <v>42</v>
      </c>
      <c r="K3" s="54">
        <f>SUMMARY!F1</f>
        <v>0</v>
      </c>
      <c r="L3" s="177"/>
      <c r="M3" s="2"/>
      <c r="N3" s="2"/>
      <c r="O3" s="882" t="s">
        <v>190</v>
      </c>
    </row>
    <row r="4" spans="1:15" ht="18" customHeight="1">
      <c r="A4" s="224"/>
      <c r="B4" s="2"/>
      <c r="C4" s="2"/>
      <c r="D4" s="2"/>
      <c r="E4" s="2"/>
      <c r="F4" s="2"/>
      <c r="G4" s="2"/>
      <c r="H4" s="2"/>
      <c r="I4" s="2"/>
      <c r="J4" s="2"/>
      <c r="K4" s="2"/>
      <c r="L4" s="177"/>
      <c r="M4" s="2"/>
      <c r="N4" s="2"/>
      <c r="O4" s="883"/>
    </row>
    <row r="5" spans="1:15" ht="18" customHeight="1">
      <c r="A5" s="224"/>
      <c r="B5" s="48" t="s">
        <v>43</v>
      </c>
      <c r="C5" s="54"/>
      <c r="D5" s="2"/>
      <c r="E5" s="2"/>
      <c r="F5" s="2"/>
      <c r="G5" s="2"/>
      <c r="H5" s="2"/>
      <c r="I5" s="2"/>
      <c r="J5" s="48" t="s">
        <v>44</v>
      </c>
      <c r="K5" s="215">
        <f ca="1">SUMMARY!K2</f>
        <v>43989</v>
      </c>
      <c r="L5" s="177"/>
      <c r="M5" s="2"/>
      <c r="N5" s="2"/>
      <c r="O5" s="883"/>
    </row>
    <row r="6" spans="1:15" ht="18" customHeight="1" thickBot="1">
      <c r="A6" s="224"/>
      <c r="B6" s="48"/>
      <c r="C6" s="259"/>
      <c r="D6" s="2"/>
      <c r="E6" s="2"/>
      <c r="F6" s="2"/>
      <c r="G6" s="2"/>
      <c r="H6" s="2"/>
      <c r="I6" s="2"/>
      <c r="J6" s="48"/>
      <c r="K6" s="2"/>
      <c r="L6" s="177"/>
      <c r="M6" s="2"/>
      <c r="N6" s="2"/>
      <c r="O6" s="883"/>
    </row>
    <row r="7" spans="1:15" ht="18" customHeight="1">
      <c r="A7" s="887" t="s">
        <v>1</v>
      </c>
      <c r="B7" s="888"/>
      <c r="C7" s="888"/>
      <c r="D7" s="888"/>
      <c r="E7" s="888"/>
      <c r="F7" s="888"/>
      <c r="G7" s="888"/>
      <c r="H7" s="888"/>
      <c r="I7" s="888"/>
      <c r="J7" s="888"/>
      <c r="K7" s="889"/>
      <c r="L7" s="885" t="s">
        <v>159</v>
      </c>
      <c r="M7" s="269"/>
      <c r="N7" s="269"/>
      <c r="O7" s="883"/>
    </row>
    <row r="8" spans="1:15" ht="18" customHeight="1" thickBot="1">
      <c r="A8" s="890"/>
      <c r="B8" s="891"/>
      <c r="C8" s="891"/>
      <c r="D8" s="891"/>
      <c r="E8" s="891"/>
      <c r="F8" s="891"/>
      <c r="G8" s="891"/>
      <c r="H8" s="891"/>
      <c r="I8" s="891"/>
      <c r="J8" s="891"/>
      <c r="K8" s="892"/>
      <c r="L8" s="886"/>
      <c r="M8" s="272"/>
      <c r="N8" s="272"/>
      <c r="O8" s="884"/>
    </row>
    <row r="9" spans="1:15" ht="18" customHeight="1">
      <c r="A9" s="339" t="s">
        <v>213</v>
      </c>
      <c r="B9" s="327"/>
      <c r="C9" s="2"/>
      <c r="D9" s="263"/>
      <c r="E9" s="39"/>
      <c r="F9" s="42"/>
      <c r="G9" s="897" t="s">
        <v>223</v>
      </c>
      <c r="H9" s="898"/>
      <c r="I9" s="898"/>
      <c r="J9" s="898"/>
      <c r="K9" s="899"/>
      <c r="L9" s="406">
        <f>IF(J34=TRUE,IF((P27*0.07)&gt;J35,(P27*0.07),J35),SUM(SUMMARY!E54,SUMMARY!E55,SUMMARY!E56,SUMMARY!H37))</f>
        <v>0</v>
      </c>
      <c r="M9" s="273"/>
      <c r="N9" s="273"/>
      <c r="O9" s="270">
        <f t="shared" ref="O9:O25" si="0">ROUND(L9*$Q$27,0)</f>
        <v>0</v>
      </c>
    </row>
    <row r="10" spans="1:15" ht="18" customHeight="1">
      <c r="A10" s="340" t="s">
        <v>214</v>
      </c>
      <c r="B10" s="33"/>
      <c r="C10" s="40"/>
      <c r="D10" s="33"/>
      <c r="E10" s="33"/>
      <c r="F10" s="34"/>
      <c r="G10" s="900"/>
      <c r="H10" s="901"/>
      <c r="I10" s="901"/>
      <c r="J10" s="901"/>
      <c r="K10" s="901"/>
      <c r="L10" s="261">
        <f>SUM(SUMMARY!D8:E8,SUMMARY!J32:K32,SUMMARY!J30:K30,SUMMARY!J24:K24,SUMMARY!L36,SUMMARY!L38,SUMMARY!L39)*1.25</f>
        <v>6695.8928027343754</v>
      </c>
      <c r="M10" s="274"/>
      <c r="N10" s="274"/>
      <c r="O10" s="270">
        <f t="shared" si="0"/>
        <v>24023</v>
      </c>
    </row>
    <row r="11" spans="1:15" ht="18" customHeight="1">
      <c r="A11" s="339" t="s">
        <v>215</v>
      </c>
      <c r="B11" s="39"/>
      <c r="C11" s="41"/>
      <c r="D11" s="39"/>
      <c r="E11" s="39"/>
      <c r="F11" s="42"/>
      <c r="G11" s="880"/>
      <c r="H11" s="881"/>
      <c r="I11" s="881"/>
      <c r="J11" s="881"/>
      <c r="K11" s="881"/>
      <c r="L11" s="261">
        <f>SUM(SUMMARY!D6,SUMMARY!E6,SUMMARY!L37)</f>
        <v>2364.8625000000002</v>
      </c>
      <c r="M11" s="274"/>
      <c r="N11" s="274"/>
      <c r="O11" s="270">
        <f>ROUND(L11*$Q$27,0)</f>
        <v>8484</v>
      </c>
    </row>
    <row r="12" spans="1:15" ht="18" customHeight="1">
      <c r="A12" s="339" t="s">
        <v>216</v>
      </c>
      <c r="B12" s="39"/>
      <c r="C12" s="43"/>
      <c r="D12" s="39"/>
      <c r="E12" s="39"/>
      <c r="F12" s="42"/>
      <c r="G12" s="880"/>
      <c r="H12" s="881"/>
      <c r="I12" s="881"/>
      <c r="J12" s="881"/>
      <c r="K12" s="881"/>
      <c r="L12" s="261">
        <f>SUM(SUMMARY!D9,SUMMARY!E9,SUMMARY!D15,SUMMARY!E15,SUMMARY!D24,SUMMARY!E24)*1.5</f>
        <v>10127.25</v>
      </c>
      <c r="M12" s="274"/>
      <c r="N12" s="274"/>
      <c r="O12" s="270">
        <f t="shared" si="0"/>
        <v>36333</v>
      </c>
    </row>
    <row r="13" spans="1:15" ht="18" customHeight="1">
      <c r="A13" s="339" t="s">
        <v>217</v>
      </c>
      <c r="B13" s="39"/>
      <c r="C13" s="44"/>
      <c r="D13" s="39"/>
      <c r="E13" s="39"/>
      <c r="F13" s="42"/>
      <c r="G13" s="880"/>
      <c r="H13" s="881"/>
      <c r="I13" s="881"/>
      <c r="J13" s="881"/>
      <c r="K13" s="881"/>
      <c r="L13" s="261">
        <f>SUM(SUMMARY!D10,SUMMARY!E10,SUMMARY!J26,SUMMARY!K26)*1.25</f>
        <v>2205</v>
      </c>
      <c r="M13" s="274"/>
      <c r="N13" s="274"/>
      <c r="O13" s="270">
        <f t="shared" si="0"/>
        <v>7911</v>
      </c>
    </row>
    <row r="14" spans="1:15" ht="18" customHeight="1">
      <c r="A14" s="339" t="s">
        <v>212</v>
      </c>
      <c r="B14" s="39"/>
      <c r="C14" s="39"/>
      <c r="D14" s="44"/>
      <c r="E14" s="39"/>
      <c r="F14" s="42"/>
      <c r="G14" s="880"/>
      <c r="H14" s="881"/>
      <c r="I14" s="881"/>
      <c r="J14" s="881"/>
      <c r="K14" s="881"/>
      <c r="L14" s="261">
        <f>SUM(SUMMARY!J17,SUMMARY!K17,SUMMARY!J18,SUMMARY!K18,SUMMARY!J27,SUMMARY!K27,SUMMARY!H38,SUMMARY!J28,SUMMARY!K28,SUMMARY!C36)*1.25</f>
        <v>0</v>
      </c>
      <c r="M14" s="274"/>
      <c r="N14" s="274"/>
      <c r="O14" s="270">
        <f t="shared" si="0"/>
        <v>0</v>
      </c>
    </row>
    <row r="15" spans="1:15" ht="18" customHeight="1">
      <c r="A15" s="339" t="s">
        <v>227</v>
      </c>
      <c r="B15" s="39"/>
      <c r="C15" s="39"/>
      <c r="D15" s="44"/>
      <c r="E15" s="39"/>
      <c r="F15" s="42"/>
      <c r="G15" s="363"/>
      <c r="H15" s="364"/>
      <c r="I15" s="364"/>
      <c r="J15" s="364"/>
      <c r="K15" s="364"/>
      <c r="L15" s="261">
        <f>SUM(SUMMARY!J31,SUMMARY!K31)</f>
        <v>0</v>
      </c>
      <c r="M15" s="274"/>
      <c r="N15" s="274"/>
      <c r="O15" s="270">
        <f t="shared" si="0"/>
        <v>0</v>
      </c>
    </row>
    <row r="16" spans="1:15" ht="18" customHeight="1">
      <c r="A16" s="339" t="s">
        <v>218</v>
      </c>
      <c r="B16" s="39"/>
      <c r="C16" s="39"/>
      <c r="D16" s="45"/>
      <c r="E16" s="39"/>
      <c r="F16" s="42"/>
      <c r="G16" s="880"/>
      <c r="H16" s="881"/>
      <c r="I16" s="881"/>
      <c r="J16" s="881"/>
      <c r="K16" s="881"/>
      <c r="L16" s="261">
        <f>SUM(SUMMARY!K19,SUMMARY!K20,SUMMARY!H39)</f>
        <v>0</v>
      </c>
      <c r="M16" s="274"/>
      <c r="N16" s="274"/>
      <c r="O16" s="270">
        <f t="shared" si="0"/>
        <v>0</v>
      </c>
    </row>
    <row r="17" spans="1:17" ht="18" customHeight="1">
      <c r="A17" s="339" t="s">
        <v>219</v>
      </c>
      <c r="B17" s="39"/>
      <c r="C17" s="39"/>
      <c r="D17" s="365"/>
      <c r="E17" s="46"/>
      <c r="F17" s="39"/>
      <c r="G17" s="880"/>
      <c r="H17" s="881"/>
      <c r="I17" s="881"/>
      <c r="J17" s="881"/>
      <c r="K17" s="881"/>
      <c r="L17" s="261">
        <f>SUM(SUMMARY!D11,SUMMARY!E11,SUMMARY!D12,SUMMARY!E12)</f>
        <v>15540</v>
      </c>
      <c r="M17" s="274"/>
      <c r="N17" s="274"/>
      <c r="O17" s="270">
        <f t="shared" si="0"/>
        <v>55752</v>
      </c>
    </row>
    <row r="18" spans="1:17" ht="18" customHeight="1">
      <c r="A18" s="339" t="s">
        <v>66</v>
      </c>
      <c r="B18" s="39"/>
      <c r="C18" s="44"/>
      <c r="D18" s="39"/>
      <c r="E18" s="39"/>
      <c r="F18" s="39"/>
      <c r="G18" s="880"/>
      <c r="H18" s="881"/>
      <c r="I18" s="881"/>
      <c r="J18" s="881"/>
      <c r="K18" s="881"/>
      <c r="L18" s="261">
        <f>SUM(SUMMARY!D16,SUMMARY!E16,SUMMARY!D21,SUMMARY!E21,SUMMARY!D25,SUMMARY!E25,SUMMARY!D30,SUMMARY!E30,SUMMARY!D18,SUMMARY!E18,SUMMARY!D27,SUMMARY!E27,SUMMARY!H35)*1.1</f>
        <v>10032.330000000002</v>
      </c>
      <c r="M18" s="274"/>
      <c r="N18" s="274"/>
      <c r="O18" s="270">
        <f t="shared" si="0"/>
        <v>35993</v>
      </c>
    </row>
    <row r="19" spans="1:17" ht="18" customHeight="1">
      <c r="A19" s="339" t="s">
        <v>220</v>
      </c>
      <c r="B19" s="39"/>
      <c r="C19" s="44"/>
      <c r="D19" s="39"/>
      <c r="E19" s="39"/>
      <c r="F19" s="39"/>
      <c r="G19" s="880"/>
      <c r="H19" s="881"/>
      <c r="I19" s="881"/>
      <c r="J19" s="881"/>
      <c r="K19" s="881"/>
      <c r="L19" s="261">
        <f>SUM(SUMMARY!J16,SUMMARY!K16,SUMMARY!D17,SUMMARY!E17,SUMMARY!D26,SUMMARY!E26,SUMMARY!C37)*1.1</f>
        <v>0</v>
      </c>
      <c r="M19" s="274"/>
      <c r="N19" s="274"/>
      <c r="O19" s="270">
        <f t="shared" si="0"/>
        <v>0</v>
      </c>
    </row>
    <row r="20" spans="1:17" ht="18" customHeight="1">
      <c r="A20" s="341" t="s">
        <v>206</v>
      </c>
      <c r="B20" s="39"/>
      <c r="C20" s="47"/>
      <c r="D20" s="39"/>
      <c r="E20" s="39"/>
      <c r="F20" s="39"/>
      <c r="G20" s="880"/>
      <c r="H20" s="881"/>
      <c r="I20" s="881"/>
      <c r="J20" s="881"/>
      <c r="K20" s="881"/>
      <c r="L20" s="261">
        <f>SUM(SUMMARY!D19,SUMMARY!E19,SUMMARY!D28,SUMMARY!E28,SUMMARY!D23,SUMMARY!E23,SUMMARY!D32,SUMMARY!E32,SUMMARY!D29,SUMMARY!E29,SUMMARY!D20,SUMMARY!E20)*0.5</f>
        <v>18900</v>
      </c>
      <c r="M20" s="274"/>
      <c r="N20" s="274"/>
      <c r="O20" s="270">
        <f t="shared" si="0"/>
        <v>67807</v>
      </c>
      <c r="P20" s="902" t="s">
        <v>52</v>
      </c>
      <c r="Q20" s="894" t="s">
        <v>53</v>
      </c>
    </row>
    <row r="21" spans="1:17" ht="18" customHeight="1">
      <c r="A21" s="342" t="s">
        <v>198</v>
      </c>
      <c r="B21" s="54"/>
      <c r="C21" s="345"/>
      <c r="D21" s="54"/>
      <c r="E21" s="54"/>
      <c r="F21" s="55"/>
      <c r="G21" s="880"/>
      <c r="H21" s="881"/>
      <c r="I21" s="881"/>
      <c r="J21" s="881"/>
      <c r="K21" s="881"/>
      <c r="L21" s="348">
        <f>SUM(SUMMARY!D20,SUMMARY!D29,SUMMARY!C35)*0.65</f>
        <v>54.6</v>
      </c>
      <c r="M21" s="275"/>
      <c r="N21" s="275"/>
      <c r="O21" s="270">
        <f t="shared" si="0"/>
        <v>196</v>
      </c>
      <c r="P21" s="903"/>
      <c r="Q21" s="895"/>
    </row>
    <row r="22" spans="1:17" ht="18" customHeight="1">
      <c r="A22" s="343" t="s">
        <v>221</v>
      </c>
      <c r="B22" s="56"/>
      <c r="C22" s="346"/>
      <c r="D22" s="56"/>
      <c r="E22" s="54"/>
      <c r="F22" s="54"/>
      <c r="G22" s="880"/>
      <c r="H22" s="881"/>
      <c r="I22" s="881"/>
      <c r="J22" s="881"/>
      <c r="K22" s="881"/>
      <c r="L22" s="348">
        <f>SUM(SUMMARY!C38)</f>
        <v>0</v>
      </c>
      <c r="M22" s="275"/>
      <c r="N22" s="275"/>
      <c r="O22" s="270">
        <f t="shared" si="0"/>
        <v>0</v>
      </c>
      <c r="P22" s="903"/>
      <c r="Q22" s="895"/>
    </row>
    <row r="23" spans="1:17" ht="18" customHeight="1">
      <c r="A23" s="344" t="s">
        <v>222</v>
      </c>
      <c r="B23" s="54"/>
      <c r="C23" s="54"/>
      <c r="D23" s="347"/>
      <c r="E23" s="54"/>
      <c r="F23" s="54"/>
      <c r="G23" s="880"/>
      <c r="H23" s="881"/>
      <c r="I23" s="881"/>
      <c r="J23" s="881"/>
      <c r="K23" s="881"/>
      <c r="L23" s="348">
        <f>SUM(SUMMARY!C39,SUMMARY!H39,SUMMARY!L35)*0.75</f>
        <v>0</v>
      </c>
      <c r="M23" s="275"/>
      <c r="N23" s="275"/>
      <c r="O23" s="270">
        <f t="shared" si="0"/>
        <v>0</v>
      </c>
      <c r="P23" s="903"/>
      <c r="Q23" s="895"/>
    </row>
    <row r="24" spans="1:17" ht="18" customHeight="1">
      <c r="A24" s="349" t="s">
        <v>225</v>
      </c>
      <c r="B24" s="54"/>
      <c r="C24" s="54"/>
      <c r="D24" s="360"/>
      <c r="E24" s="54"/>
      <c r="F24" s="54"/>
      <c r="G24" s="880"/>
      <c r="H24" s="881"/>
      <c r="I24" s="881"/>
      <c r="J24" s="881"/>
      <c r="K24" s="881"/>
      <c r="L24" s="405">
        <f>IF(SUMMARY!L36="N/A",0,SUMMARY!L36)</f>
        <v>0</v>
      </c>
      <c r="M24" s="275"/>
      <c r="N24" s="275"/>
      <c r="O24" s="270">
        <f>IF(L24=0,0,"ROUND(L24*Q27)")</f>
        <v>0</v>
      </c>
      <c r="P24" s="903"/>
      <c r="Q24" s="895"/>
    </row>
    <row r="25" spans="1:17" ht="18" customHeight="1" thickBot="1">
      <c r="A25" s="226"/>
      <c r="B25" s="54"/>
      <c r="C25" s="54"/>
      <c r="D25" s="54"/>
      <c r="E25" s="54"/>
      <c r="F25" s="54"/>
      <c r="G25" s="880"/>
      <c r="H25" s="881"/>
      <c r="I25" s="881"/>
      <c r="J25" s="881"/>
      <c r="K25" s="881"/>
      <c r="L25" s="262"/>
      <c r="M25" s="275"/>
      <c r="N25" s="275"/>
      <c r="O25" s="270">
        <f t="shared" si="0"/>
        <v>0</v>
      </c>
      <c r="P25" s="903"/>
      <c r="Q25" s="895"/>
    </row>
    <row r="26" spans="1:17" ht="18" customHeight="1" thickBot="1">
      <c r="A26" s="227"/>
      <c r="B26" s="2"/>
      <c r="C26" s="2"/>
      <c r="D26" s="2"/>
      <c r="E26" s="2"/>
      <c r="F26" s="2"/>
      <c r="G26" s="48"/>
      <c r="H26" s="260"/>
      <c r="I26" s="260"/>
      <c r="J26" s="260"/>
      <c r="K26" s="264" t="s">
        <v>188</v>
      </c>
      <c r="L26" s="265">
        <f>SUM(L9:L25)</f>
        <v>65919.935302734375</v>
      </c>
      <c r="M26" s="276"/>
      <c r="N26" s="276"/>
      <c r="O26" s="271">
        <f>SUM(O9:O25)</f>
        <v>236499</v>
      </c>
      <c r="P26" s="904"/>
      <c r="Q26" s="896"/>
    </row>
    <row r="27" spans="1:17" ht="12.75" customHeight="1" thickBot="1">
      <c r="A27" s="227"/>
      <c r="B27" s="2"/>
      <c r="C27" s="2"/>
      <c r="D27" s="2"/>
      <c r="E27" s="2"/>
      <c r="F27" s="2"/>
      <c r="G27" s="2"/>
      <c r="H27" s="2"/>
      <c r="I27" s="2"/>
      <c r="J27" s="2"/>
      <c r="K27" s="2"/>
      <c r="L27" s="177"/>
      <c r="M27" s="277"/>
      <c r="N27" s="277"/>
      <c r="O27" s="2"/>
      <c r="P27" s="216">
        <f>SUMMARY!K59</f>
        <v>236498.93379257814</v>
      </c>
      <c r="Q27" s="214">
        <f>P27/L29</f>
        <v>3.5876693856944382</v>
      </c>
    </row>
    <row r="28" spans="1:17" ht="18" customHeight="1">
      <c r="A28" s="224"/>
      <c r="B28" s="2"/>
      <c r="C28" s="2"/>
      <c r="D28" s="2"/>
      <c r="E28" s="2"/>
      <c r="F28" s="2"/>
      <c r="G28" s="49"/>
      <c r="H28" s="50"/>
      <c r="I28" s="50"/>
      <c r="J28" s="2"/>
      <c r="K28" s="2"/>
      <c r="L28" s="177"/>
      <c r="M28" s="277"/>
      <c r="N28" s="277"/>
    </row>
    <row r="29" spans="1:17" ht="18" customHeight="1">
      <c r="J29" s="266"/>
      <c r="K29" s="267" t="s">
        <v>189</v>
      </c>
      <c r="L29" s="268">
        <f>L26</f>
        <v>65919.935302734375</v>
      </c>
      <c r="M29" s="272"/>
      <c r="N29" s="276"/>
    </row>
    <row r="30" spans="1:17" ht="18" customHeight="1">
      <c r="M30" s="328"/>
    </row>
    <row r="31" spans="1:17" ht="18" customHeight="1">
      <c r="M31" s="328"/>
      <c r="N31" s="361"/>
    </row>
    <row r="32" spans="1:17" ht="18" customHeight="1" thickBot="1">
      <c r="M32" s="328"/>
      <c r="N32" s="362"/>
    </row>
    <row r="33" spans="5:14" ht="18" customHeight="1">
      <c r="E33" s="350"/>
      <c r="F33" s="351"/>
      <c r="G33" s="351"/>
      <c r="H33" s="351"/>
      <c r="I33" s="351"/>
      <c r="J33" s="351"/>
      <c r="K33" s="352"/>
      <c r="M33" s="328"/>
      <c r="N33" s="362"/>
    </row>
    <row r="34" spans="5:14" ht="18" customHeight="1" thickBot="1">
      <c r="E34" s="353"/>
      <c r="F34" s="354"/>
      <c r="G34" s="354"/>
      <c r="H34" s="354"/>
      <c r="I34" s="355" t="s">
        <v>224</v>
      </c>
      <c r="J34" s="371" t="b">
        <v>0</v>
      </c>
      <c r="K34" s="356"/>
      <c r="M34" s="328"/>
      <c r="N34" s="362"/>
    </row>
    <row r="35" spans="5:14" ht="18" customHeight="1">
      <c r="E35" s="353"/>
      <c r="F35" s="354"/>
      <c r="G35" s="354"/>
      <c r="H35" s="354"/>
      <c r="I35" s="355" t="s">
        <v>226</v>
      </c>
      <c r="J35" s="426">
        <f>SUM(SUMMARY!E54:E56,SUMMARY!H36)</f>
        <v>0</v>
      </c>
      <c r="K35" s="356"/>
      <c r="M35" s="329"/>
      <c r="N35" s="362"/>
    </row>
    <row r="36" spans="5:14" ht="18" customHeight="1">
      <c r="E36" s="353"/>
      <c r="F36" s="354"/>
      <c r="G36" s="354"/>
      <c r="H36" s="354"/>
      <c r="I36" s="354"/>
      <c r="J36" s="354"/>
      <c r="K36" s="356"/>
      <c r="M36" s="276"/>
      <c r="N36" s="362"/>
    </row>
    <row r="37" spans="5:14" ht="18" customHeight="1" thickBot="1">
      <c r="E37" s="357"/>
      <c r="F37" s="358"/>
      <c r="G37" s="358"/>
      <c r="H37" s="358"/>
      <c r="I37" s="358"/>
      <c r="J37" s="358"/>
      <c r="K37" s="359"/>
      <c r="M37" s="362"/>
      <c r="N37" s="362"/>
    </row>
    <row r="38" spans="5:14" ht="18" customHeight="1">
      <c r="M38" s="361"/>
      <c r="N38" s="362"/>
    </row>
  </sheetData>
  <sheetProtection sheet="1" objects="1" scenarios="1" selectLockedCells="1"/>
  <mergeCells count="22">
    <mergeCell ref="Q20:Q26"/>
    <mergeCell ref="G9:K9"/>
    <mergeCell ref="G10:K10"/>
    <mergeCell ref="G11:K11"/>
    <mergeCell ref="G12:K12"/>
    <mergeCell ref="G13:K13"/>
    <mergeCell ref="G14:K14"/>
    <mergeCell ref="G20:K20"/>
    <mergeCell ref="P20:P26"/>
    <mergeCell ref="G18:K18"/>
    <mergeCell ref="G25:K25"/>
    <mergeCell ref="G21:K21"/>
    <mergeCell ref="G17:K17"/>
    <mergeCell ref="G24:K24"/>
    <mergeCell ref="G22:K22"/>
    <mergeCell ref="G23:K23"/>
    <mergeCell ref="G19:K19"/>
    <mergeCell ref="G16:K16"/>
    <mergeCell ref="O3:O8"/>
    <mergeCell ref="L7:L8"/>
    <mergeCell ref="A7:K8"/>
    <mergeCell ref="C3:G3"/>
  </mergeCells>
  <phoneticPr fontId="0" type="noConversion"/>
  <printOptions headings="1" gridLines="1"/>
  <pageMargins left="0.46" right="0.41" top="1" bottom="1" header="0.5" footer="0.5"/>
  <pageSetup scale="98" orientation="landscape" horizontalDpi="300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Button 1">
              <controlPr defaultSize="0" print="0" autoFill="0" autoPict="0" macro="[0]!TransferValues">
                <anchor moveWithCells="1" sizeWithCells="1">
                  <from>
                    <xdr:col>15</xdr:col>
                    <xdr:colOff>7620</xdr:colOff>
                    <xdr:row>27</xdr:row>
                    <xdr:rowOff>0</xdr:rowOff>
                  </from>
                  <to>
                    <xdr:col>17</xdr:col>
                    <xdr:colOff>7620</xdr:colOff>
                    <xdr:row>30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Check Box 2">
              <controlPr locked="0" defaultSize="0" autoFill="0" autoLine="0" autoPict="0" macro="[0]!CheckBox2_Click">
                <anchor moveWithCells="1">
                  <from>
                    <xdr:col>8</xdr:col>
                    <xdr:colOff>137160</xdr:colOff>
                    <xdr:row>8</xdr:row>
                    <xdr:rowOff>30480</xdr:rowOff>
                  </from>
                  <to>
                    <xdr:col>8</xdr:col>
                    <xdr:colOff>533400</xdr:colOff>
                    <xdr:row>9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AD55"/>
  <sheetViews>
    <sheetView workbookViewId="0">
      <selection sqref="A1:F1"/>
    </sheetView>
  </sheetViews>
  <sheetFormatPr defaultRowHeight="12.6"/>
  <cols>
    <col min="1" max="1" width="17.5546875" customWidth="1"/>
    <col min="4" max="4" width="21" customWidth="1"/>
    <col min="7" max="7" width="17.5546875" customWidth="1"/>
    <col min="10" max="10" width="21" customWidth="1"/>
    <col min="13" max="13" width="17.5546875" customWidth="1"/>
    <col min="16" max="16" width="21" customWidth="1"/>
    <col min="19" max="19" width="17.5546875" customWidth="1"/>
    <col min="22" max="22" width="21" customWidth="1"/>
    <col min="25" max="25" width="17.5546875" customWidth="1"/>
    <col min="28" max="28" width="21" customWidth="1"/>
  </cols>
  <sheetData>
    <row r="1" spans="1:30" ht="45.75" customHeight="1">
      <c r="A1" s="905" t="s">
        <v>126</v>
      </c>
      <c r="B1" s="906"/>
      <c r="C1" s="906"/>
      <c r="D1" s="906"/>
      <c r="E1" s="906"/>
      <c r="F1" s="907"/>
      <c r="G1" s="905" t="s">
        <v>125</v>
      </c>
      <c r="H1" s="906"/>
      <c r="I1" s="906"/>
      <c r="J1" s="906"/>
      <c r="K1" s="906"/>
      <c r="L1" s="907"/>
      <c r="M1" s="908" t="s">
        <v>151</v>
      </c>
      <c r="N1" s="909"/>
      <c r="O1" s="909"/>
      <c r="P1" s="909"/>
      <c r="Q1" s="909"/>
      <c r="R1" s="910"/>
      <c r="S1" s="905" t="s">
        <v>143</v>
      </c>
      <c r="T1" s="906"/>
      <c r="U1" s="906"/>
      <c r="V1" s="906"/>
      <c r="W1" s="906"/>
      <c r="X1" s="907"/>
      <c r="Y1" s="905" t="s">
        <v>144</v>
      </c>
      <c r="Z1" s="906"/>
      <c r="AA1" s="906"/>
      <c r="AB1" s="906"/>
      <c r="AC1" s="906"/>
      <c r="AD1" s="907"/>
    </row>
    <row r="2" spans="1:30" ht="24.75" customHeight="1" thickBot="1">
      <c r="A2" s="156" t="s">
        <v>123</v>
      </c>
      <c r="B2" s="155" t="s">
        <v>124</v>
      </c>
      <c r="C2" s="130" t="s">
        <v>10</v>
      </c>
      <c r="D2" s="156" t="s">
        <v>123</v>
      </c>
      <c r="E2" s="155" t="s">
        <v>124</v>
      </c>
      <c r="F2" s="130" t="s">
        <v>10</v>
      </c>
      <c r="G2" s="156" t="s">
        <v>123</v>
      </c>
      <c r="H2" s="155" t="s">
        <v>124</v>
      </c>
      <c r="I2" s="130" t="s">
        <v>10</v>
      </c>
      <c r="J2" s="156" t="s">
        <v>123</v>
      </c>
      <c r="K2" s="155" t="s">
        <v>124</v>
      </c>
      <c r="L2" s="130" t="s">
        <v>10</v>
      </c>
      <c r="M2" s="156" t="s">
        <v>123</v>
      </c>
      <c r="N2" s="155" t="s">
        <v>124</v>
      </c>
      <c r="O2" s="130" t="s">
        <v>10</v>
      </c>
      <c r="P2" s="156" t="s">
        <v>123</v>
      </c>
      <c r="Q2" s="155" t="s">
        <v>124</v>
      </c>
      <c r="R2" s="130" t="s">
        <v>10</v>
      </c>
      <c r="S2" s="156" t="s">
        <v>123</v>
      </c>
      <c r="T2" s="155" t="s">
        <v>124</v>
      </c>
      <c r="U2" s="130" t="s">
        <v>10</v>
      </c>
      <c r="V2" s="156" t="s">
        <v>123</v>
      </c>
      <c r="W2" s="155" t="s">
        <v>124</v>
      </c>
      <c r="X2" s="130" t="s">
        <v>10</v>
      </c>
      <c r="Y2" s="156" t="s">
        <v>123</v>
      </c>
      <c r="Z2" s="155" t="s">
        <v>124</v>
      </c>
      <c r="AA2" s="130" t="s">
        <v>10</v>
      </c>
      <c r="AB2" s="156" t="s">
        <v>123</v>
      </c>
      <c r="AC2" s="155" t="s">
        <v>124</v>
      </c>
      <c r="AD2" s="130" t="s">
        <v>10</v>
      </c>
    </row>
    <row r="3" spans="1:30" ht="15.6">
      <c r="A3" s="141" t="s">
        <v>66</v>
      </c>
      <c r="B3" s="134" t="s">
        <v>67</v>
      </c>
      <c r="C3" s="132"/>
      <c r="D3" s="142" t="s">
        <v>101</v>
      </c>
      <c r="E3" s="134"/>
      <c r="F3" s="132"/>
      <c r="G3" s="141" t="s">
        <v>66</v>
      </c>
      <c r="H3" s="134" t="s">
        <v>67</v>
      </c>
      <c r="I3" s="132"/>
      <c r="J3" s="170" t="s">
        <v>101</v>
      </c>
      <c r="K3" s="137"/>
      <c r="L3" s="148"/>
      <c r="M3" s="141" t="s">
        <v>66</v>
      </c>
      <c r="N3" s="134" t="s">
        <v>67</v>
      </c>
      <c r="O3" s="132"/>
      <c r="P3" s="170" t="s">
        <v>101</v>
      </c>
      <c r="Q3" s="137"/>
      <c r="R3" s="148"/>
      <c r="S3" s="141" t="s">
        <v>66</v>
      </c>
      <c r="T3" s="134" t="s">
        <v>67</v>
      </c>
      <c r="U3" s="132"/>
      <c r="V3" s="170" t="s">
        <v>101</v>
      </c>
      <c r="W3" s="137"/>
      <c r="X3" s="148"/>
      <c r="Y3" s="141" t="s">
        <v>66</v>
      </c>
      <c r="Z3" s="134" t="s">
        <v>88</v>
      </c>
      <c r="AA3" s="132"/>
      <c r="AB3" s="141" t="s">
        <v>81</v>
      </c>
      <c r="AC3" s="134" t="s">
        <v>88</v>
      </c>
      <c r="AD3" s="148"/>
    </row>
    <row r="4" spans="1:30" ht="15.6">
      <c r="A4" s="145" t="s">
        <v>49</v>
      </c>
      <c r="B4" s="135" t="s">
        <v>69</v>
      </c>
      <c r="C4" s="133"/>
      <c r="D4" s="166" t="s">
        <v>128</v>
      </c>
      <c r="E4" s="135"/>
      <c r="F4" s="133"/>
      <c r="G4" s="144"/>
      <c r="H4" s="135" t="s">
        <v>69</v>
      </c>
      <c r="I4" s="133"/>
      <c r="J4" s="166" t="s">
        <v>138</v>
      </c>
      <c r="K4" s="135"/>
      <c r="L4" s="151"/>
      <c r="M4" s="144"/>
      <c r="N4" s="135" t="s">
        <v>69</v>
      </c>
      <c r="O4" s="133"/>
      <c r="P4" s="166" t="s">
        <v>138</v>
      </c>
      <c r="Q4" s="135"/>
      <c r="R4" s="151"/>
      <c r="S4" s="144"/>
      <c r="T4" s="135" t="s">
        <v>69</v>
      </c>
      <c r="U4" s="133"/>
      <c r="V4" s="166" t="s">
        <v>138</v>
      </c>
      <c r="W4" s="135"/>
      <c r="X4" s="151"/>
      <c r="Y4" s="144"/>
      <c r="Z4" s="135" t="s">
        <v>67</v>
      </c>
      <c r="AA4" s="133"/>
      <c r="AB4" s="144"/>
      <c r="AC4" s="135" t="s">
        <v>67</v>
      </c>
      <c r="AD4" s="133"/>
    </row>
    <row r="5" spans="1:30" ht="15.6">
      <c r="A5" s="145" t="s">
        <v>49</v>
      </c>
      <c r="B5" s="135" t="s">
        <v>70</v>
      </c>
      <c r="C5" s="133"/>
      <c r="D5" s="163" t="s">
        <v>129</v>
      </c>
      <c r="E5" s="135"/>
      <c r="F5" s="133"/>
      <c r="G5" s="144"/>
      <c r="H5" s="135" t="s">
        <v>70</v>
      </c>
      <c r="I5" s="133"/>
      <c r="J5" s="166" t="s">
        <v>139</v>
      </c>
      <c r="K5" s="135"/>
      <c r="L5" s="149"/>
      <c r="M5" s="144"/>
      <c r="N5" s="135" t="s">
        <v>70</v>
      </c>
      <c r="O5" s="133"/>
      <c r="P5" s="166" t="s">
        <v>139</v>
      </c>
      <c r="Q5" s="135"/>
      <c r="R5" s="149"/>
      <c r="S5" s="144"/>
      <c r="T5" s="135" t="s">
        <v>70</v>
      </c>
      <c r="U5" s="133"/>
      <c r="V5" s="166" t="s">
        <v>139</v>
      </c>
      <c r="W5" s="135"/>
      <c r="X5" s="149"/>
      <c r="Y5" s="144"/>
      <c r="Z5" s="135" t="s">
        <v>89</v>
      </c>
      <c r="AA5" s="133"/>
      <c r="AB5" s="144"/>
      <c r="AC5" s="135" t="s">
        <v>89</v>
      </c>
      <c r="AD5" s="133"/>
    </row>
    <row r="6" spans="1:30" ht="15.6">
      <c r="A6" s="145" t="s">
        <v>49</v>
      </c>
      <c r="B6" s="135" t="s">
        <v>72</v>
      </c>
      <c r="C6" s="133"/>
      <c r="D6" s="166" t="s">
        <v>130</v>
      </c>
      <c r="E6" s="135"/>
      <c r="F6" s="133"/>
      <c r="G6" s="144"/>
      <c r="H6" s="135" t="s">
        <v>71</v>
      </c>
      <c r="I6" s="133"/>
      <c r="J6" s="166" t="s">
        <v>140</v>
      </c>
      <c r="K6" s="135"/>
      <c r="L6" s="133"/>
      <c r="M6" s="144"/>
      <c r="N6" s="135" t="s">
        <v>71</v>
      </c>
      <c r="O6" s="133"/>
      <c r="P6" s="166" t="s">
        <v>140</v>
      </c>
      <c r="Q6" s="135"/>
      <c r="R6" s="133"/>
      <c r="S6" s="144"/>
      <c r="T6" s="135" t="s">
        <v>71</v>
      </c>
      <c r="U6" s="133"/>
      <c r="V6" s="166" t="s">
        <v>140</v>
      </c>
      <c r="W6" s="135"/>
      <c r="X6" s="133"/>
      <c r="Y6" s="144"/>
      <c r="Z6" s="135" t="s">
        <v>69</v>
      </c>
      <c r="AA6" s="133"/>
      <c r="AB6" s="144"/>
      <c r="AC6" s="135" t="s">
        <v>69</v>
      </c>
      <c r="AD6" s="133"/>
    </row>
    <row r="7" spans="1:30" ht="15.6">
      <c r="A7" s="145" t="s">
        <v>49</v>
      </c>
      <c r="B7" s="135" t="s">
        <v>73</v>
      </c>
      <c r="C7" s="133"/>
      <c r="D7" s="166" t="s">
        <v>131</v>
      </c>
      <c r="E7" s="135"/>
      <c r="F7" s="133"/>
      <c r="G7" s="144"/>
      <c r="H7" s="135" t="s">
        <v>72</v>
      </c>
      <c r="I7" s="133"/>
      <c r="J7" s="166" t="s">
        <v>141</v>
      </c>
      <c r="K7" s="135"/>
      <c r="L7" s="133"/>
      <c r="M7" s="144"/>
      <c r="N7" s="135" t="s">
        <v>72</v>
      </c>
      <c r="O7" s="133"/>
      <c r="P7" s="166" t="s">
        <v>141</v>
      </c>
      <c r="Q7" s="135"/>
      <c r="R7" s="133"/>
      <c r="S7" s="144"/>
      <c r="T7" s="135" t="s">
        <v>72</v>
      </c>
      <c r="U7" s="133"/>
      <c r="V7" s="166" t="s">
        <v>141</v>
      </c>
      <c r="W7" s="135"/>
      <c r="X7" s="133"/>
      <c r="Y7" s="144"/>
      <c r="Z7" s="135" t="s">
        <v>90</v>
      </c>
      <c r="AA7" s="133"/>
      <c r="AB7" s="144"/>
      <c r="AC7" s="135" t="s">
        <v>90</v>
      </c>
      <c r="AD7" s="133"/>
    </row>
    <row r="8" spans="1:30" ht="16.2" thickBot="1">
      <c r="A8" s="146"/>
      <c r="B8" s="136" t="s">
        <v>74</v>
      </c>
      <c r="C8" s="131"/>
      <c r="D8" s="163" t="s">
        <v>132</v>
      </c>
      <c r="E8" s="135"/>
      <c r="F8" s="133"/>
      <c r="G8" s="144"/>
      <c r="H8" s="135" t="s">
        <v>73</v>
      </c>
      <c r="I8" s="133"/>
      <c r="J8" s="166" t="s">
        <v>31</v>
      </c>
      <c r="K8" s="135"/>
      <c r="L8" s="151"/>
      <c r="M8" s="144"/>
      <c r="N8" s="135" t="s">
        <v>73</v>
      </c>
      <c r="O8" s="133"/>
      <c r="P8" s="166" t="s">
        <v>31</v>
      </c>
      <c r="Q8" s="135"/>
      <c r="R8" s="151"/>
      <c r="S8" s="144"/>
      <c r="T8" s="135" t="s">
        <v>73</v>
      </c>
      <c r="U8" s="133"/>
      <c r="V8" s="166" t="s">
        <v>31</v>
      </c>
      <c r="W8" s="135"/>
      <c r="X8" s="151"/>
      <c r="Y8" s="144"/>
      <c r="Z8" s="135" t="s">
        <v>145</v>
      </c>
      <c r="AA8" s="133"/>
      <c r="AB8" s="144"/>
      <c r="AC8" s="135" t="s">
        <v>145</v>
      </c>
      <c r="AD8" s="133"/>
    </row>
    <row r="9" spans="1:30" ht="16.2" thickBot="1">
      <c r="A9" s="157" t="s">
        <v>75</v>
      </c>
      <c r="B9" s="134" t="s">
        <v>67</v>
      </c>
      <c r="C9" s="132"/>
      <c r="D9" s="167" t="s">
        <v>133</v>
      </c>
      <c r="E9" s="135"/>
      <c r="F9" s="133"/>
      <c r="G9" s="143"/>
      <c r="H9" s="161" t="s">
        <v>74</v>
      </c>
      <c r="I9" s="162"/>
      <c r="J9" s="166" t="s">
        <v>142</v>
      </c>
      <c r="K9" s="135"/>
      <c r="L9" s="152"/>
      <c r="M9" s="143"/>
      <c r="N9" s="161" t="s">
        <v>74</v>
      </c>
      <c r="O9" s="162"/>
      <c r="P9" s="166" t="s">
        <v>142</v>
      </c>
      <c r="Q9" s="135"/>
      <c r="R9" s="152"/>
      <c r="S9" s="143"/>
      <c r="T9" s="161" t="s">
        <v>74</v>
      </c>
      <c r="U9" s="162"/>
      <c r="V9" s="166" t="s">
        <v>142</v>
      </c>
      <c r="W9" s="135"/>
      <c r="X9" s="152"/>
      <c r="Y9" s="144"/>
      <c r="Z9" s="135" t="s">
        <v>146</v>
      </c>
      <c r="AA9" s="133"/>
      <c r="AB9" s="144"/>
      <c r="AC9" s="135" t="s">
        <v>146</v>
      </c>
      <c r="AD9" s="133"/>
    </row>
    <row r="10" spans="1:30" ht="16.2" thickBot="1">
      <c r="A10" s="144"/>
      <c r="B10" s="135" t="s">
        <v>69</v>
      </c>
      <c r="C10" s="133"/>
      <c r="D10" s="167" t="s">
        <v>134</v>
      </c>
      <c r="E10" s="135"/>
      <c r="F10" s="133"/>
      <c r="G10" s="142" t="s">
        <v>75</v>
      </c>
      <c r="H10" s="139" t="s">
        <v>67</v>
      </c>
      <c r="I10" s="154"/>
      <c r="J10" s="166" t="s">
        <v>133</v>
      </c>
      <c r="K10" s="135"/>
      <c r="L10" s="133"/>
      <c r="M10" s="142" t="s">
        <v>75</v>
      </c>
      <c r="N10" s="139" t="s">
        <v>67</v>
      </c>
      <c r="O10" s="154"/>
      <c r="P10" s="166" t="s">
        <v>133</v>
      </c>
      <c r="Q10" s="135"/>
      <c r="R10" s="133"/>
      <c r="S10" s="142" t="s">
        <v>75</v>
      </c>
      <c r="T10" s="139" t="s">
        <v>67</v>
      </c>
      <c r="U10" s="154"/>
      <c r="V10" s="166" t="s">
        <v>133</v>
      </c>
      <c r="W10" s="135"/>
      <c r="X10" s="133"/>
      <c r="Y10" s="143"/>
      <c r="Z10" s="161" t="s">
        <v>147</v>
      </c>
      <c r="AA10" s="162"/>
      <c r="AB10" s="143"/>
      <c r="AC10" s="161" t="s">
        <v>147</v>
      </c>
      <c r="AD10" s="162"/>
    </row>
    <row r="11" spans="1:30" ht="15.6">
      <c r="A11" s="144"/>
      <c r="B11" s="135" t="s">
        <v>70</v>
      </c>
      <c r="C11" s="133"/>
      <c r="D11" s="167" t="s">
        <v>135</v>
      </c>
      <c r="E11" s="135"/>
      <c r="F11" s="133"/>
      <c r="G11" s="144"/>
      <c r="H11" s="135" t="s">
        <v>69</v>
      </c>
      <c r="I11" s="151"/>
      <c r="J11" s="166"/>
      <c r="K11" s="135"/>
      <c r="L11" s="133"/>
      <c r="M11" s="144"/>
      <c r="N11" s="135" t="s">
        <v>69</v>
      </c>
      <c r="O11" s="151"/>
      <c r="P11" s="166"/>
      <c r="Q11" s="135"/>
      <c r="R11" s="133"/>
      <c r="S11" s="144"/>
      <c r="T11" s="135" t="s">
        <v>69</v>
      </c>
      <c r="U11" s="151"/>
      <c r="V11" s="166"/>
      <c r="W11" s="135"/>
      <c r="X11" s="133"/>
      <c r="Y11" s="142" t="s">
        <v>98</v>
      </c>
      <c r="Z11" s="139" t="s">
        <v>88</v>
      </c>
      <c r="AA11" s="154"/>
      <c r="AB11" s="141" t="s">
        <v>94</v>
      </c>
      <c r="AC11" s="134" t="s">
        <v>88</v>
      </c>
      <c r="AD11" s="148"/>
    </row>
    <row r="12" spans="1:30" ht="15">
      <c r="A12" s="144"/>
      <c r="B12" s="135" t="s">
        <v>72</v>
      </c>
      <c r="C12" s="133"/>
      <c r="D12" s="167" t="s">
        <v>136</v>
      </c>
      <c r="E12" s="135"/>
      <c r="F12" s="133"/>
      <c r="G12" s="144"/>
      <c r="H12" s="135" t="s">
        <v>70</v>
      </c>
      <c r="I12" s="151"/>
      <c r="J12" s="166"/>
      <c r="K12" s="135"/>
      <c r="L12" s="133"/>
      <c r="M12" s="144"/>
      <c r="N12" s="135" t="s">
        <v>70</v>
      </c>
      <c r="O12" s="151"/>
      <c r="P12" s="166"/>
      <c r="Q12" s="135"/>
      <c r="R12" s="133"/>
      <c r="S12" s="144"/>
      <c r="T12" s="135" t="s">
        <v>70</v>
      </c>
      <c r="U12" s="151"/>
      <c r="V12" s="166"/>
      <c r="W12" s="135"/>
      <c r="X12" s="133"/>
      <c r="Y12" s="144"/>
      <c r="Z12" s="135" t="s">
        <v>67</v>
      </c>
      <c r="AA12" s="133"/>
      <c r="AB12" s="144"/>
      <c r="AC12" s="135" t="s">
        <v>67</v>
      </c>
      <c r="AD12" s="133"/>
    </row>
    <row r="13" spans="1:30" ht="15.6" thickBot="1">
      <c r="A13" s="144"/>
      <c r="B13" s="135" t="s">
        <v>73</v>
      </c>
      <c r="C13" s="133"/>
      <c r="D13" s="167" t="s">
        <v>137</v>
      </c>
      <c r="E13" s="135"/>
      <c r="F13" s="133"/>
      <c r="G13" s="144"/>
      <c r="H13" s="135" t="s">
        <v>71</v>
      </c>
      <c r="I13" s="151"/>
      <c r="J13" s="171"/>
      <c r="K13" s="161"/>
      <c r="L13" s="162"/>
      <c r="M13" s="144"/>
      <c r="N13" s="135" t="s">
        <v>71</v>
      </c>
      <c r="O13" s="151"/>
      <c r="P13" s="171"/>
      <c r="Q13" s="161"/>
      <c r="R13" s="162"/>
      <c r="S13" s="144"/>
      <c r="T13" s="135" t="s">
        <v>71</v>
      </c>
      <c r="U13" s="151"/>
      <c r="V13" s="171"/>
      <c r="W13" s="161"/>
      <c r="X13" s="162"/>
      <c r="Y13" s="144"/>
      <c r="Z13" s="135" t="s">
        <v>89</v>
      </c>
      <c r="AA13" s="133"/>
      <c r="AB13" s="144"/>
      <c r="AC13" s="135" t="s">
        <v>89</v>
      </c>
      <c r="AD13" s="133"/>
    </row>
    <row r="14" spans="1:30" ht="16.2" thickBot="1">
      <c r="A14" s="143"/>
      <c r="B14" s="136" t="s">
        <v>74</v>
      </c>
      <c r="C14" s="131"/>
      <c r="D14" s="167"/>
      <c r="E14" s="135"/>
      <c r="F14" s="133"/>
      <c r="G14" s="144"/>
      <c r="H14" s="135" t="s">
        <v>72</v>
      </c>
      <c r="I14" s="133"/>
      <c r="J14" s="129" t="s">
        <v>54</v>
      </c>
      <c r="K14" s="139"/>
      <c r="L14" s="154"/>
      <c r="M14" s="144"/>
      <c r="N14" s="135" t="s">
        <v>72</v>
      </c>
      <c r="O14" s="133"/>
      <c r="P14" s="129" t="s">
        <v>54</v>
      </c>
      <c r="Q14" s="139"/>
      <c r="R14" s="154"/>
      <c r="S14" s="144"/>
      <c r="T14" s="135" t="s">
        <v>72</v>
      </c>
      <c r="U14" s="133"/>
      <c r="V14" s="129" t="s">
        <v>54</v>
      </c>
      <c r="W14" s="139"/>
      <c r="X14" s="154"/>
      <c r="Y14" s="144"/>
      <c r="Z14" s="135" t="s">
        <v>69</v>
      </c>
      <c r="AA14" s="133"/>
      <c r="AB14" s="144"/>
      <c r="AC14" s="135" t="s">
        <v>69</v>
      </c>
      <c r="AD14" s="133"/>
    </row>
    <row r="15" spans="1:30" ht="15.6">
      <c r="A15" s="142" t="s">
        <v>77</v>
      </c>
      <c r="B15" s="134" t="s">
        <v>67</v>
      </c>
      <c r="C15" s="132"/>
      <c r="D15" s="168"/>
      <c r="E15" s="153"/>
      <c r="F15" s="133"/>
      <c r="G15" s="144"/>
      <c r="H15" s="135" t="s">
        <v>73</v>
      </c>
      <c r="I15" s="133"/>
      <c r="J15" s="128"/>
      <c r="K15" s="153"/>
      <c r="L15" s="133"/>
      <c r="M15" s="144"/>
      <c r="N15" s="135" t="s">
        <v>73</v>
      </c>
      <c r="O15" s="133"/>
      <c r="P15" s="128"/>
      <c r="Q15" s="153"/>
      <c r="R15" s="133"/>
      <c r="S15" s="144"/>
      <c r="T15" s="135" t="s">
        <v>73</v>
      </c>
      <c r="U15" s="133"/>
      <c r="V15" s="128"/>
      <c r="W15" s="153"/>
      <c r="X15" s="133"/>
      <c r="Y15" s="144"/>
      <c r="Z15" s="135" t="s">
        <v>90</v>
      </c>
      <c r="AA15" s="133"/>
      <c r="AB15" s="144"/>
      <c r="AC15" s="135" t="s">
        <v>90</v>
      </c>
      <c r="AD15" s="133"/>
    </row>
    <row r="16" spans="1:30" ht="16.2" thickBot="1">
      <c r="A16" s="144"/>
      <c r="B16" s="135" t="s">
        <v>69</v>
      </c>
      <c r="C16" s="133"/>
      <c r="D16" s="169"/>
      <c r="E16" s="147"/>
      <c r="F16" s="150"/>
      <c r="G16" s="143"/>
      <c r="H16" s="161" t="s">
        <v>74</v>
      </c>
      <c r="I16" s="162"/>
      <c r="J16" s="159"/>
      <c r="K16" s="135"/>
      <c r="L16" s="133"/>
      <c r="M16" s="143"/>
      <c r="N16" s="161" t="s">
        <v>74</v>
      </c>
      <c r="O16" s="162"/>
      <c r="P16" s="159"/>
      <c r="Q16" s="135"/>
      <c r="R16" s="133"/>
      <c r="S16" s="143"/>
      <c r="T16" s="161" t="s">
        <v>74</v>
      </c>
      <c r="U16" s="162"/>
      <c r="V16" s="159"/>
      <c r="W16" s="135"/>
      <c r="X16" s="133"/>
      <c r="Y16" s="144"/>
      <c r="Z16" s="135" t="s">
        <v>145</v>
      </c>
      <c r="AA16" s="133"/>
      <c r="AB16" s="144"/>
      <c r="AC16" s="135" t="s">
        <v>145</v>
      </c>
      <c r="AD16" s="133"/>
    </row>
    <row r="17" spans="1:30" ht="15.6">
      <c r="A17" s="144"/>
      <c r="B17" s="135" t="s">
        <v>70</v>
      </c>
      <c r="C17" s="133"/>
      <c r="D17" s="129" t="s">
        <v>54</v>
      </c>
      <c r="E17" s="134"/>
      <c r="F17" s="132"/>
      <c r="G17" s="142" t="s">
        <v>77</v>
      </c>
      <c r="H17" s="139" t="s">
        <v>67</v>
      </c>
      <c r="I17" s="154"/>
      <c r="J17" s="159"/>
      <c r="K17" s="135"/>
      <c r="L17" s="133"/>
      <c r="M17" s="142" t="s">
        <v>77</v>
      </c>
      <c r="N17" s="139" t="s">
        <v>67</v>
      </c>
      <c r="O17" s="154"/>
      <c r="P17" s="159"/>
      <c r="Q17" s="135"/>
      <c r="R17" s="133"/>
      <c r="S17" s="142" t="s">
        <v>77</v>
      </c>
      <c r="T17" s="139" t="s">
        <v>67</v>
      </c>
      <c r="U17" s="154"/>
      <c r="V17" s="159"/>
      <c r="W17" s="135"/>
      <c r="X17" s="133"/>
      <c r="Y17" s="144"/>
      <c r="Z17" s="135" t="s">
        <v>146</v>
      </c>
      <c r="AA17" s="133"/>
      <c r="AB17" s="144"/>
      <c r="AC17" s="135" t="s">
        <v>146</v>
      </c>
      <c r="AD17" s="133"/>
    </row>
    <row r="18" spans="1:30" ht="16.2" thickBot="1">
      <c r="A18" s="144"/>
      <c r="B18" s="135" t="s">
        <v>72</v>
      </c>
      <c r="C18" s="133"/>
      <c r="D18" s="128"/>
      <c r="E18" s="135"/>
      <c r="F18" s="133"/>
      <c r="G18" s="144"/>
      <c r="H18" s="135" t="s">
        <v>69</v>
      </c>
      <c r="I18" s="133"/>
      <c r="J18" s="159"/>
      <c r="K18" s="135"/>
      <c r="L18" s="133"/>
      <c r="M18" s="144"/>
      <c r="N18" s="135" t="s">
        <v>69</v>
      </c>
      <c r="O18" s="133"/>
      <c r="P18" s="159"/>
      <c r="Q18" s="135"/>
      <c r="R18" s="133"/>
      <c r="S18" s="144"/>
      <c r="T18" s="135" t="s">
        <v>69</v>
      </c>
      <c r="U18" s="133"/>
      <c r="V18" s="159"/>
      <c r="W18" s="135"/>
      <c r="X18" s="133"/>
      <c r="Y18" s="143"/>
      <c r="Z18" s="161" t="s">
        <v>147</v>
      </c>
      <c r="AA18" s="162"/>
      <c r="AB18" s="143"/>
      <c r="AC18" s="161" t="s">
        <v>147</v>
      </c>
      <c r="AD18" s="162"/>
    </row>
    <row r="19" spans="1:30" ht="15.6">
      <c r="A19" s="144"/>
      <c r="B19" s="135" t="s">
        <v>73</v>
      </c>
      <c r="C19" s="133"/>
      <c r="D19" s="159"/>
      <c r="E19" s="135"/>
      <c r="F19" s="133"/>
      <c r="G19" s="144"/>
      <c r="H19" s="135" t="s">
        <v>70</v>
      </c>
      <c r="I19" s="133"/>
      <c r="J19" s="159"/>
      <c r="K19" s="135"/>
      <c r="L19" s="133"/>
      <c r="M19" s="144"/>
      <c r="N19" s="135" t="s">
        <v>70</v>
      </c>
      <c r="O19" s="133"/>
      <c r="P19" s="159"/>
      <c r="Q19" s="135"/>
      <c r="R19" s="133"/>
      <c r="S19" s="144"/>
      <c r="T19" s="135" t="s">
        <v>70</v>
      </c>
      <c r="U19" s="133"/>
      <c r="V19" s="159"/>
      <c r="W19" s="135"/>
      <c r="X19" s="133"/>
      <c r="Y19" s="142" t="s">
        <v>99</v>
      </c>
      <c r="Z19" s="139" t="s">
        <v>88</v>
      </c>
      <c r="AA19" s="154"/>
      <c r="AB19" s="141" t="s">
        <v>148</v>
      </c>
      <c r="AC19" s="134" t="s">
        <v>88</v>
      </c>
      <c r="AD19" s="148"/>
    </row>
    <row r="20" spans="1:30" ht="16.2" thickBot="1">
      <c r="A20" s="143"/>
      <c r="B20" s="136" t="s">
        <v>74</v>
      </c>
      <c r="C20" s="131"/>
      <c r="D20" s="160"/>
      <c r="E20" s="135"/>
      <c r="F20" s="133"/>
      <c r="G20" s="144"/>
      <c r="H20" s="135" t="s">
        <v>72</v>
      </c>
      <c r="I20" s="133"/>
      <c r="J20" s="159"/>
      <c r="K20" s="135"/>
      <c r="L20" s="133"/>
      <c r="M20" s="144"/>
      <c r="N20" s="135" t="s">
        <v>72</v>
      </c>
      <c r="O20" s="133"/>
      <c r="P20" s="159"/>
      <c r="Q20" s="135"/>
      <c r="R20" s="133"/>
      <c r="S20" s="144"/>
      <c r="T20" s="135" t="s">
        <v>72</v>
      </c>
      <c r="U20" s="133"/>
      <c r="V20" s="159"/>
      <c r="W20" s="135"/>
      <c r="X20" s="133"/>
      <c r="Y20" s="144"/>
      <c r="Z20" s="135" t="s">
        <v>67</v>
      </c>
      <c r="AA20" s="133"/>
      <c r="AB20" s="173" t="s">
        <v>149</v>
      </c>
      <c r="AC20" s="135" t="s">
        <v>67</v>
      </c>
      <c r="AD20" s="133"/>
    </row>
    <row r="21" spans="1:30" ht="15.6">
      <c r="A21" s="142" t="s">
        <v>78</v>
      </c>
      <c r="B21" s="134" t="s">
        <v>67</v>
      </c>
      <c r="C21" s="132"/>
      <c r="D21" s="159"/>
      <c r="E21" s="135"/>
      <c r="F21" s="133"/>
      <c r="G21" s="144"/>
      <c r="H21" s="135" t="s">
        <v>73</v>
      </c>
      <c r="I21" s="133"/>
      <c r="J21" s="159"/>
      <c r="K21" s="135"/>
      <c r="L21" s="133"/>
      <c r="M21" s="144"/>
      <c r="N21" s="135" t="s">
        <v>73</v>
      </c>
      <c r="O21" s="133"/>
      <c r="P21" s="159"/>
      <c r="Q21" s="135"/>
      <c r="R21" s="133"/>
      <c r="S21" s="144"/>
      <c r="T21" s="135" t="s">
        <v>73</v>
      </c>
      <c r="U21" s="133"/>
      <c r="V21" s="159"/>
      <c r="W21" s="135"/>
      <c r="X21" s="133"/>
      <c r="Y21" s="144"/>
      <c r="Z21" s="135" t="s">
        <v>89</v>
      </c>
      <c r="AA21" s="133"/>
      <c r="AB21" s="173" t="s">
        <v>150</v>
      </c>
      <c r="AC21" s="135" t="s">
        <v>89</v>
      </c>
      <c r="AD21" s="133"/>
    </row>
    <row r="22" spans="1:30" ht="16.2" thickBot="1">
      <c r="A22" s="144"/>
      <c r="B22" s="135" t="s">
        <v>69</v>
      </c>
      <c r="C22" s="133"/>
      <c r="D22" s="159"/>
      <c r="E22" s="135"/>
      <c r="F22" s="133"/>
      <c r="G22" s="143"/>
      <c r="H22" s="161" t="s">
        <v>74</v>
      </c>
      <c r="I22" s="162"/>
      <c r="J22" s="159"/>
      <c r="K22" s="135"/>
      <c r="L22" s="133"/>
      <c r="M22" s="143"/>
      <c r="N22" s="161" t="s">
        <v>74</v>
      </c>
      <c r="O22" s="162"/>
      <c r="P22" s="159"/>
      <c r="Q22" s="135"/>
      <c r="R22" s="133"/>
      <c r="S22" s="143"/>
      <c r="T22" s="161" t="s">
        <v>74</v>
      </c>
      <c r="U22" s="162"/>
      <c r="V22" s="159"/>
      <c r="W22" s="135"/>
      <c r="X22" s="133"/>
      <c r="Y22" s="144"/>
      <c r="Z22" s="135" t="s">
        <v>69</v>
      </c>
      <c r="AA22" s="133"/>
      <c r="AB22" s="144"/>
      <c r="AC22" s="135" t="s">
        <v>69</v>
      </c>
      <c r="AD22" s="133"/>
    </row>
    <row r="23" spans="1:30" ht="15.6">
      <c r="A23" s="144"/>
      <c r="B23" s="135" t="s">
        <v>70</v>
      </c>
      <c r="C23" s="133"/>
      <c r="D23" s="159"/>
      <c r="E23" s="135"/>
      <c r="F23" s="133"/>
      <c r="G23" s="142" t="s">
        <v>78</v>
      </c>
      <c r="H23" s="139" t="s">
        <v>67</v>
      </c>
      <c r="I23" s="154"/>
      <c r="J23" s="159"/>
      <c r="K23" s="135"/>
      <c r="L23" s="133"/>
      <c r="M23" s="142" t="s">
        <v>78</v>
      </c>
      <c r="N23" s="139" t="s">
        <v>67</v>
      </c>
      <c r="O23" s="154"/>
      <c r="P23" s="159"/>
      <c r="Q23" s="135"/>
      <c r="R23" s="133"/>
      <c r="S23" s="142" t="s">
        <v>78</v>
      </c>
      <c r="T23" s="139" t="s">
        <v>67</v>
      </c>
      <c r="U23" s="154"/>
      <c r="V23" s="159"/>
      <c r="W23" s="135"/>
      <c r="X23" s="133"/>
      <c r="Y23" s="144"/>
      <c r="Z23" s="135" t="s">
        <v>90</v>
      </c>
      <c r="AA23" s="133"/>
      <c r="AB23" s="144"/>
      <c r="AC23" s="135" t="s">
        <v>90</v>
      </c>
      <c r="AD23" s="133"/>
    </row>
    <row r="24" spans="1:30" ht="15.6">
      <c r="A24" s="144"/>
      <c r="B24" s="135" t="s">
        <v>72</v>
      </c>
      <c r="C24" s="133"/>
      <c r="D24" s="159"/>
      <c r="E24" s="135"/>
      <c r="F24" s="133"/>
      <c r="G24" s="144"/>
      <c r="H24" s="135" t="s">
        <v>69</v>
      </c>
      <c r="I24" s="133"/>
      <c r="J24" s="159"/>
      <c r="K24" s="135"/>
      <c r="L24" s="133"/>
      <c r="M24" s="144"/>
      <c r="N24" s="135" t="s">
        <v>69</v>
      </c>
      <c r="O24" s="133"/>
      <c r="P24" s="159"/>
      <c r="Q24" s="135"/>
      <c r="R24" s="133"/>
      <c r="S24" s="144"/>
      <c r="T24" s="135" t="s">
        <v>69</v>
      </c>
      <c r="U24" s="133"/>
      <c r="V24" s="159"/>
      <c r="W24" s="135"/>
      <c r="X24" s="133"/>
      <c r="Y24" s="144"/>
      <c r="Z24" s="135" t="s">
        <v>145</v>
      </c>
      <c r="AA24" s="133"/>
      <c r="AB24" s="144"/>
      <c r="AC24" s="135" t="s">
        <v>145</v>
      </c>
      <c r="AD24" s="133"/>
    </row>
    <row r="25" spans="1:30" ht="15.6">
      <c r="A25" s="144"/>
      <c r="B25" s="135" t="s">
        <v>73</v>
      </c>
      <c r="C25" s="133"/>
      <c r="D25" s="159"/>
      <c r="E25" s="135"/>
      <c r="F25" s="133"/>
      <c r="G25" s="144"/>
      <c r="H25" s="135" t="s">
        <v>70</v>
      </c>
      <c r="I25" s="133"/>
      <c r="J25" s="159"/>
      <c r="K25" s="135"/>
      <c r="L25" s="133"/>
      <c r="M25" s="144"/>
      <c r="N25" s="135" t="s">
        <v>70</v>
      </c>
      <c r="O25" s="133"/>
      <c r="P25" s="159"/>
      <c r="Q25" s="135"/>
      <c r="R25" s="133"/>
      <c r="S25" s="144"/>
      <c r="T25" s="135" t="s">
        <v>70</v>
      </c>
      <c r="U25" s="133"/>
      <c r="V25" s="159"/>
      <c r="W25" s="135"/>
      <c r="X25" s="133"/>
      <c r="Y25" s="144"/>
      <c r="Z25" s="135" t="s">
        <v>146</v>
      </c>
      <c r="AA25" s="133"/>
      <c r="AB25" s="144"/>
      <c r="AC25" s="135" t="s">
        <v>146</v>
      </c>
      <c r="AD25" s="133"/>
    </row>
    <row r="26" spans="1:30" ht="16.2" thickBot="1">
      <c r="A26" s="143"/>
      <c r="B26" s="136" t="s">
        <v>74</v>
      </c>
      <c r="C26" s="131"/>
      <c r="D26" s="159"/>
      <c r="E26" s="135"/>
      <c r="F26" s="133"/>
      <c r="G26" s="144"/>
      <c r="H26" s="135" t="s">
        <v>72</v>
      </c>
      <c r="I26" s="133"/>
      <c r="J26" s="159"/>
      <c r="K26" s="135"/>
      <c r="L26" s="133"/>
      <c r="M26" s="144"/>
      <c r="N26" s="135" t="s">
        <v>72</v>
      </c>
      <c r="O26" s="133"/>
      <c r="P26" s="159"/>
      <c r="Q26" s="135"/>
      <c r="R26" s="133"/>
      <c r="S26" s="144"/>
      <c r="T26" s="135" t="s">
        <v>72</v>
      </c>
      <c r="U26" s="133"/>
      <c r="V26" s="159"/>
      <c r="W26" s="135"/>
      <c r="X26" s="133"/>
      <c r="Y26" s="143"/>
      <c r="Z26" s="161" t="s">
        <v>147</v>
      </c>
      <c r="AA26" s="162"/>
      <c r="AB26" s="143"/>
      <c r="AC26" s="161" t="s">
        <v>147</v>
      </c>
      <c r="AD26" s="162"/>
    </row>
    <row r="27" spans="1:30" ht="15.6">
      <c r="A27" s="141" t="s">
        <v>84</v>
      </c>
      <c r="B27" s="137" t="s">
        <v>70</v>
      </c>
      <c r="C27" s="132"/>
      <c r="D27" s="159"/>
      <c r="E27" s="135"/>
      <c r="F27" s="133"/>
      <c r="G27" s="144"/>
      <c r="H27" s="135" t="s">
        <v>73</v>
      </c>
      <c r="I27" s="133"/>
      <c r="J27" s="159"/>
      <c r="K27" s="135"/>
      <c r="L27" s="133"/>
      <c r="M27" s="144"/>
      <c r="N27" s="135" t="s">
        <v>73</v>
      </c>
      <c r="O27" s="133"/>
      <c r="P27" s="159"/>
      <c r="Q27" s="135"/>
      <c r="R27" s="133"/>
      <c r="S27" s="144"/>
      <c r="T27" s="135" t="s">
        <v>73</v>
      </c>
      <c r="U27" s="133"/>
      <c r="V27" s="159"/>
      <c r="W27" s="135"/>
      <c r="X27" s="133"/>
      <c r="Y27" s="142" t="s">
        <v>77</v>
      </c>
      <c r="Z27" s="139" t="s">
        <v>88</v>
      </c>
      <c r="AA27" s="154"/>
      <c r="AB27" s="174" t="s">
        <v>128</v>
      </c>
      <c r="AC27" s="135"/>
      <c r="AD27" s="133"/>
    </row>
    <row r="28" spans="1:30" ht="16.2" thickBot="1">
      <c r="A28" s="142" t="s">
        <v>110</v>
      </c>
      <c r="B28" s="135" t="s">
        <v>72</v>
      </c>
      <c r="C28" s="133"/>
      <c r="D28" s="159"/>
      <c r="E28" s="135"/>
      <c r="F28" s="133"/>
      <c r="G28" s="143"/>
      <c r="H28" s="161" t="s">
        <v>74</v>
      </c>
      <c r="I28" s="162"/>
      <c r="J28" s="159"/>
      <c r="K28" s="135"/>
      <c r="L28" s="133"/>
      <c r="M28" s="143"/>
      <c r="N28" s="161" t="s">
        <v>74</v>
      </c>
      <c r="O28" s="162"/>
      <c r="P28" s="159"/>
      <c r="Q28" s="135"/>
      <c r="R28" s="133"/>
      <c r="S28" s="143"/>
      <c r="T28" s="161" t="s">
        <v>74</v>
      </c>
      <c r="U28" s="162"/>
      <c r="V28" s="159"/>
      <c r="W28" s="135"/>
      <c r="X28" s="133"/>
      <c r="Y28" s="144"/>
      <c r="Z28" s="135" t="s">
        <v>67</v>
      </c>
      <c r="AA28" s="133"/>
      <c r="AB28" s="158"/>
      <c r="AC28" s="135"/>
      <c r="AD28" s="133"/>
    </row>
    <row r="29" spans="1:30" ht="16.2" thickBot="1">
      <c r="A29" s="142" t="s">
        <v>111</v>
      </c>
      <c r="B29" s="140" t="s">
        <v>73</v>
      </c>
      <c r="C29" s="133"/>
      <c r="D29" s="159"/>
      <c r="E29" s="135"/>
      <c r="F29" s="133"/>
      <c r="G29" s="142" t="s">
        <v>81</v>
      </c>
      <c r="H29" s="139" t="s">
        <v>67</v>
      </c>
      <c r="I29" s="154"/>
      <c r="J29" s="159"/>
      <c r="K29" s="135"/>
      <c r="L29" s="133"/>
      <c r="M29" s="142" t="s">
        <v>81</v>
      </c>
      <c r="N29" s="139" t="s">
        <v>67</v>
      </c>
      <c r="O29" s="154"/>
      <c r="P29" s="159"/>
      <c r="Q29" s="135"/>
      <c r="R29" s="133"/>
      <c r="S29" s="142" t="s">
        <v>81</v>
      </c>
      <c r="T29" s="139" t="s">
        <v>67</v>
      </c>
      <c r="U29" s="154"/>
      <c r="V29" s="159"/>
      <c r="W29" s="135"/>
      <c r="X29" s="133"/>
      <c r="Y29" s="144"/>
      <c r="Z29" s="135" t="s">
        <v>89</v>
      </c>
      <c r="AA29" s="133"/>
      <c r="AB29" s="165"/>
      <c r="AC29" s="161"/>
      <c r="AD29" s="162"/>
    </row>
    <row r="30" spans="1:30" ht="16.2" thickBot="1">
      <c r="A30" s="144"/>
      <c r="B30" s="161" t="s">
        <v>83</v>
      </c>
      <c r="C30" s="162"/>
      <c r="D30" s="159"/>
      <c r="E30" s="135"/>
      <c r="F30" s="133"/>
      <c r="G30" s="144"/>
      <c r="H30" s="135" t="s">
        <v>69</v>
      </c>
      <c r="I30" s="133"/>
      <c r="J30" s="160"/>
      <c r="K30" s="135"/>
      <c r="L30" s="133"/>
      <c r="M30" s="144"/>
      <c r="N30" s="135" t="s">
        <v>69</v>
      </c>
      <c r="O30" s="133"/>
      <c r="P30" s="160"/>
      <c r="Q30" s="135"/>
      <c r="R30" s="133"/>
      <c r="S30" s="144"/>
      <c r="T30" s="135" t="s">
        <v>69</v>
      </c>
      <c r="U30" s="133"/>
      <c r="V30" s="160"/>
      <c r="W30" s="135"/>
      <c r="X30" s="133"/>
      <c r="Y30" s="144"/>
      <c r="Z30" s="135" t="s">
        <v>69</v>
      </c>
      <c r="AA30" s="133"/>
      <c r="AB30" s="174" t="s">
        <v>54</v>
      </c>
      <c r="AC30" s="139"/>
      <c r="AD30" s="154"/>
    </row>
    <row r="31" spans="1:30" ht="15.6">
      <c r="A31" s="141" t="s">
        <v>81</v>
      </c>
      <c r="B31" s="139" t="s">
        <v>67</v>
      </c>
      <c r="C31" s="154"/>
      <c r="D31" s="159"/>
      <c r="E31" s="135"/>
      <c r="F31" s="133"/>
      <c r="G31" s="144"/>
      <c r="H31" s="135" t="s">
        <v>70</v>
      </c>
      <c r="I31" s="133"/>
      <c r="J31" s="159"/>
      <c r="K31" s="135"/>
      <c r="L31" s="133"/>
      <c r="M31" s="144"/>
      <c r="N31" s="135" t="s">
        <v>70</v>
      </c>
      <c r="O31" s="133"/>
      <c r="P31" s="159"/>
      <c r="Q31" s="135"/>
      <c r="R31" s="133"/>
      <c r="S31" s="144"/>
      <c r="T31" s="135" t="s">
        <v>70</v>
      </c>
      <c r="U31" s="133"/>
      <c r="V31" s="159"/>
      <c r="W31" s="135"/>
      <c r="X31" s="133"/>
      <c r="Y31" s="144"/>
      <c r="Z31" s="135" t="s">
        <v>90</v>
      </c>
      <c r="AA31" s="133"/>
      <c r="AB31" s="158"/>
      <c r="AC31" s="135"/>
      <c r="AD31" s="133"/>
    </row>
    <row r="32" spans="1:30" ht="15.6">
      <c r="A32" s="144"/>
      <c r="B32" s="135" t="s">
        <v>69</v>
      </c>
      <c r="C32" s="133"/>
      <c r="D32" s="142"/>
      <c r="E32" s="135"/>
      <c r="F32" s="133"/>
      <c r="G32" s="144"/>
      <c r="H32" s="135" t="s">
        <v>72</v>
      </c>
      <c r="I32" s="133"/>
      <c r="J32" s="159"/>
      <c r="K32" s="135"/>
      <c r="L32" s="133"/>
      <c r="M32" s="144"/>
      <c r="N32" s="135" t="s">
        <v>72</v>
      </c>
      <c r="O32" s="133"/>
      <c r="P32" s="159"/>
      <c r="Q32" s="135"/>
      <c r="R32" s="133"/>
      <c r="S32" s="144"/>
      <c r="T32" s="135" t="s">
        <v>72</v>
      </c>
      <c r="U32" s="133"/>
      <c r="V32" s="159"/>
      <c r="W32" s="135"/>
      <c r="X32" s="133"/>
      <c r="Y32" s="144"/>
      <c r="Z32" s="135" t="s">
        <v>145</v>
      </c>
      <c r="AA32" s="133"/>
      <c r="AB32" s="159"/>
      <c r="AC32" s="135"/>
      <c r="AD32" s="133"/>
    </row>
    <row r="33" spans="1:30" ht="15.6">
      <c r="A33" s="142" t="s">
        <v>49</v>
      </c>
      <c r="B33" s="135" t="s">
        <v>70</v>
      </c>
      <c r="C33" s="133"/>
      <c r="D33" s="159"/>
      <c r="E33" s="135"/>
      <c r="F33" s="133"/>
      <c r="G33" s="144"/>
      <c r="H33" s="135" t="s">
        <v>73</v>
      </c>
      <c r="I33" s="133"/>
      <c r="J33" s="159"/>
      <c r="K33" s="135"/>
      <c r="L33" s="133"/>
      <c r="M33" s="144"/>
      <c r="N33" s="135" t="s">
        <v>73</v>
      </c>
      <c r="O33" s="133"/>
      <c r="P33" s="159"/>
      <c r="Q33" s="135"/>
      <c r="R33" s="133"/>
      <c r="S33" s="144"/>
      <c r="T33" s="135" t="s">
        <v>73</v>
      </c>
      <c r="U33" s="133"/>
      <c r="V33" s="159"/>
      <c r="W33" s="135"/>
      <c r="X33" s="133"/>
      <c r="Y33" s="144"/>
      <c r="Z33" s="135" t="s">
        <v>146</v>
      </c>
      <c r="AA33" s="133"/>
      <c r="AB33" s="159"/>
      <c r="AC33" s="135"/>
      <c r="AD33" s="133"/>
    </row>
    <row r="34" spans="1:30" ht="16.2" thickBot="1">
      <c r="A34" s="144"/>
      <c r="B34" s="135" t="s">
        <v>72</v>
      </c>
      <c r="C34" s="133"/>
      <c r="D34" s="159"/>
      <c r="E34" s="135"/>
      <c r="F34" s="133"/>
      <c r="G34" s="143"/>
      <c r="H34" s="161" t="s">
        <v>74</v>
      </c>
      <c r="I34" s="162"/>
      <c r="J34" s="159"/>
      <c r="K34" s="135"/>
      <c r="L34" s="133"/>
      <c r="M34" s="143"/>
      <c r="N34" s="161" t="s">
        <v>74</v>
      </c>
      <c r="O34" s="162"/>
      <c r="P34" s="159"/>
      <c r="Q34" s="135"/>
      <c r="R34" s="133"/>
      <c r="S34" s="143"/>
      <c r="T34" s="161" t="s">
        <v>74</v>
      </c>
      <c r="U34" s="162"/>
      <c r="V34" s="159"/>
      <c r="W34" s="135"/>
      <c r="X34" s="133"/>
      <c r="Y34" s="143"/>
      <c r="Z34" s="161" t="s">
        <v>147</v>
      </c>
      <c r="AA34" s="162"/>
      <c r="AB34" s="160"/>
      <c r="AC34" s="135"/>
      <c r="AD34" s="133"/>
    </row>
    <row r="35" spans="1:30" ht="16.2" thickBot="1">
      <c r="A35" s="143"/>
      <c r="B35" s="161" t="s">
        <v>73</v>
      </c>
      <c r="C35" s="162"/>
      <c r="D35" s="159"/>
      <c r="E35" s="135"/>
      <c r="F35" s="133"/>
      <c r="G35" s="142" t="s">
        <v>79</v>
      </c>
      <c r="H35" s="139"/>
      <c r="I35" s="154"/>
      <c r="J35" s="159"/>
      <c r="K35" s="135"/>
      <c r="L35" s="133"/>
      <c r="M35" s="142" t="s">
        <v>79</v>
      </c>
      <c r="N35" s="139"/>
      <c r="O35" s="154"/>
      <c r="P35" s="159"/>
      <c r="Q35" s="135"/>
      <c r="R35" s="133"/>
      <c r="S35" s="142" t="s">
        <v>79</v>
      </c>
      <c r="T35" s="139"/>
      <c r="U35" s="154"/>
      <c r="V35" s="159"/>
      <c r="W35" s="135"/>
      <c r="X35" s="133"/>
      <c r="Y35" s="142" t="s">
        <v>79</v>
      </c>
      <c r="Z35" s="139"/>
      <c r="AA35" s="154"/>
      <c r="AB35" s="159"/>
      <c r="AC35" s="135"/>
      <c r="AD35" s="133"/>
    </row>
    <row r="36" spans="1:30" ht="15.6">
      <c r="A36" s="142" t="s">
        <v>79</v>
      </c>
      <c r="B36" s="134"/>
      <c r="C36" s="132"/>
      <c r="D36" s="159"/>
      <c r="E36" s="135"/>
      <c r="F36" s="133"/>
      <c r="G36" s="144"/>
      <c r="H36" s="135"/>
      <c r="I36" s="133"/>
      <c r="J36" s="159"/>
      <c r="K36" s="135"/>
      <c r="L36" s="133"/>
      <c r="M36" s="144"/>
      <c r="N36" s="135"/>
      <c r="O36" s="133"/>
      <c r="P36" s="159"/>
      <c r="Q36" s="135"/>
      <c r="R36" s="133"/>
      <c r="S36" s="144"/>
      <c r="T36" s="135"/>
      <c r="U36" s="133"/>
      <c r="V36" s="159"/>
      <c r="W36" s="135"/>
      <c r="X36" s="133"/>
      <c r="Y36" s="144"/>
      <c r="Z36" s="135"/>
      <c r="AA36" s="133"/>
      <c r="AB36" s="159"/>
      <c r="AC36" s="135"/>
      <c r="AD36" s="133"/>
    </row>
    <row r="37" spans="1:30" ht="15.6">
      <c r="A37" s="144"/>
      <c r="B37" s="135"/>
      <c r="C37" s="133"/>
      <c r="D37" s="159"/>
      <c r="E37" s="135"/>
      <c r="F37" s="133"/>
      <c r="G37" s="159"/>
      <c r="H37" s="135"/>
      <c r="I37" s="133"/>
      <c r="J37" s="159"/>
      <c r="K37" s="135"/>
      <c r="L37" s="133"/>
      <c r="M37" s="159"/>
      <c r="N37" s="135"/>
      <c r="O37" s="133"/>
      <c r="P37" s="159"/>
      <c r="Q37" s="135"/>
      <c r="R37" s="133"/>
      <c r="S37" s="159"/>
      <c r="T37" s="135"/>
      <c r="U37" s="133"/>
      <c r="V37" s="159"/>
      <c r="W37" s="135"/>
      <c r="X37" s="133"/>
      <c r="Y37" s="160"/>
      <c r="Z37" s="135"/>
      <c r="AA37" s="133"/>
      <c r="AB37" s="159"/>
      <c r="AC37" s="135"/>
      <c r="AD37" s="133"/>
    </row>
    <row r="38" spans="1:30" ht="15.6">
      <c r="A38" s="144"/>
      <c r="B38" s="135"/>
      <c r="C38" s="133"/>
      <c r="D38" s="159"/>
      <c r="E38" s="135"/>
      <c r="F38" s="133"/>
      <c r="G38" s="159"/>
      <c r="H38" s="135"/>
      <c r="I38" s="133"/>
      <c r="J38" s="159"/>
      <c r="K38" s="135"/>
      <c r="L38" s="133"/>
      <c r="M38" s="159"/>
      <c r="N38" s="135"/>
      <c r="O38" s="133"/>
      <c r="P38" s="159"/>
      <c r="Q38" s="135"/>
      <c r="R38" s="133"/>
      <c r="S38" s="159"/>
      <c r="T38" s="135"/>
      <c r="U38" s="133"/>
      <c r="V38" s="159"/>
      <c r="W38" s="135"/>
      <c r="X38" s="133"/>
      <c r="Y38" s="160"/>
      <c r="Z38" s="135"/>
      <c r="AA38" s="133"/>
      <c r="AB38" s="159"/>
      <c r="AC38" s="135"/>
      <c r="AD38" s="133"/>
    </row>
    <row r="39" spans="1:30" ht="15.6">
      <c r="A39" s="145"/>
      <c r="B39" s="153"/>
      <c r="C39" s="133"/>
      <c r="D39" s="159"/>
      <c r="E39" s="135"/>
      <c r="F39" s="133"/>
      <c r="G39" s="159"/>
      <c r="H39" s="135"/>
      <c r="I39" s="133"/>
      <c r="J39" s="159"/>
      <c r="K39" s="135"/>
      <c r="L39" s="133"/>
      <c r="M39" s="159"/>
      <c r="N39" s="135"/>
      <c r="O39" s="133"/>
      <c r="P39" s="159"/>
      <c r="Q39" s="135"/>
      <c r="R39" s="133"/>
      <c r="S39" s="159"/>
      <c r="T39" s="135"/>
      <c r="U39" s="133"/>
      <c r="V39" s="159"/>
      <c r="W39" s="135"/>
      <c r="X39" s="133"/>
      <c r="Y39" s="160"/>
      <c r="Z39" s="135"/>
      <c r="AA39" s="133"/>
      <c r="AB39" s="159"/>
      <c r="AC39" s="135"/>
      <c r="AD39" s="133"/>
    </row>
    <row r="40" spans="1:30" ht="15.6">
      <c r="A40" s="145"/>
      <c r="B40" s="153"/>
      <c r="C40" s="133"/>
      <c r="D40" s="159"/>
      <c r="E40" s="135"/>
      <c r="F40" s="133"/>
      <c r="G40" s="159"/>
      <c r="H40" s="135"/>
      <c r="I40" s="133"/>
      <c r="J40" s="159"/>
      <c r="K40" s="135"/>
      <c r="L40" s="133"/>
      <c r="M40" s="159"/>
      <c r="N40" s="135"/>
      <c r="O40" s="133"/>
      <c r="P40" s="159"/>
      <c r="Q40" s="135"/>
      <c r="R40" s="133"/>
      <c r="S40" s="159"/>
      <c r="T40" s="135"/>
      <c r="U40" s="133"/>
      <c r="V40" s="159"/>
      <c r="W40" s="135"/>
      <c r="X40" s="133"/>
      <c r="Y40" s="160"/>
      <c r="Z40" s="135"/>
      <c r="AA40" s="133"/>
      <c r="AB40" s="159"/>
      <c r="AC40" s="135"/>
      <c r="AD40" s="133"/>
    </row>
    <row r="41" spans="1:30" ht="15.6">
      <c r="A41" s="144"/>
      <c r="B41" s="138"/>
      <c r="C41" s="172"/>
      <c r="D41" s="164"/>
      <c r="E41" s="138"/>
      <c r="F41" s="172"/>
      <c r="G41" s="144"/>
      <c r="H41" s="138"/>
      <c r="I41" s="172"/>
      <c r="J41" s="164"/>
      <c r="K41" s="138"/>
      <c r="L41" s="172"/>
      <c r="M41" s="144"/>
      <c r="N41" s="138"/>
      <c r="O41" s="172"/>
      <c r="P41" s="164"/>
      <c r="Q41" s="138"/>
      <c r="R41" s="172"/>
      <c r="S41" s="144"/>
      <c r="T41" s="138"/>
      <c r="U41" s="172"/>
      <c r="V41" s="164"/>
      <c r="W41" s="138"/>
      <c r="X41" s="172"/>
      <c r="Y41" s="144"/>
      <c r="Z41" s="138"/>
      <c r="AA41" s="172"/>
      <c r="AB41" s="144"/>
      <c r="AC41" s="138"/>
      <c r="AD41" s="172"/>
    </row>
    <row r="43" spans="1:30" ht="15.6">
      <c r="A43" s="125"/>
      <c r="B43" s="126"/>
      <c r="C43" s="127"/>
      <c r="D43" s="125"/>
      <c r="E43" s="126"/>
      <c r="F43" s="127"/>
      <c r="G43" s="125"/>
      <c r="H43" s="126"/>
      <c r="I43" s="127"/>
      <c r="J43" s="125"/>
      <c r="K43" s="126"/>
      <c r="L43" s="127"/>
      <c r="M43" s="125"/>
      <c r="N43" s="126"/>
      <c r="O43" s="127"/>
      <c r="P43" s="125"/>
      <c r="Q43" s="126"/>
      <c r="R43" s="127"/>
      <c r="S43" s="125"/>
      <c r="T43" s="126"/>
      <c r="U43" s="127"/>
      <c r="V43" s="125"/>
      <c r="W43" s="126"/>
      <c r="X43" s="127"/>
      <c r="Y43" s="125"/>
      <c r="Z43" s="126"/>
      <c r="AA43" s="127"/>
      <c r="AB43" s="125"/>
      <c r="AC43" s="126"/>
      <c r="AD43" s="127"/>
    </row>
    <row r="44" spans="1:30" ht="15">
      <c r="A44" s="128"/>
      <c r="B44" s="126"/>
      <c r="C44" s="126"/>
      <c r="D44" s="128"/>
      <c r="E44" s="126"/>
      <c r="F44" s="126"/>
      <c r="G44" s="128"/>
      <c r="H44" s="126"/>
      <c r="I44" s="126"/>
      <c r="J44" s="128"/>
      <c r="K44" s="126"/>
      <c r="L44" s="126"/>
      <c r="M44" s="128"/>
      <c r="N44" s="126"/>
      <c r="O44" s="126"/>
      <c r="P44" s="128"/>
      <c r="Q44" s="126"/>
      <c r="R44" s="126"/>
      <c r="S44" s="128"/>
      <c r="T44" s="126"/>
      <c r="U44" s="126"/>
      <c r="V44" s="128"/>
      <c r="W44" s="126"/>
      <c r="X44" s="126"/>
      <c r="Y44" s="128"/>
      <c r="Z44" s="126"/>
      <c r="AA44" s="126"/>
      <c r="AB44" s="128"/>
      <c r="AC44" s="126"/>
      <c r="AD44" s="126"/>
    </row>
    <row r="45" spans="1:30">
      <c r="A45" s="121"/>
      <c r="B45" s="122"/>
      <c r="C45" s="123"/>
      <c r="D45" s="121"/>
      <c r="E45" s="122"/>
      <c r="F45" s="123"/>
      <c r="G45" s="121"/>
      <c r="H45" s="122"/>
      <c r="I45" s="123"/>
      <c r="J45" s="121"/>
      <c r="K45" s="122"/>
      <c r="L45" s="123"/>
      <c r="M45" s="121"/>
      <c r="N45" s="122"/>
      <c r="O45" s="123"/>
      <c r="P45" s="121"/>
      <c r="Q45" s="122"/>
      <c r="R45" s="123"/>
      <c r="S45" s="121"/>
      <c r="T45" s="122"/>
      <c r="U45" s="123"/>
      <c r="V45" s="121"/>
      <c r="W45" s="122"/>
      <c r="X45" s="123"/>
      <c r="Y45" s="121"/>
      <c r="Z45" s="122"/>
      <c r="AA45" s="123"/>
      <c r="AB45" s="121"/>
      <c r="AC45" s="122"/>
      <c r="AD45" s="123"/>
    </row>
    <row r="46" spans="1:30">
      <c r="A46" s="124"/>
      <c r="B46" s="122"/>
      <c r="C46" s="123"/>
      <c r="D46" s="124"/>
      <c r="E46" s="122"/>
      <c r="F46" s="123"/>
      <c r="G46" s="124"/>
      <c r="H46" s="122"/>
      <c r="I46" s="123"/>
      <c r="J46" s="124"/>
      <c r="K46" s="122"/>
      <c r="L46" s="123"/>
      <c r="M46" s="124"/>
      <c r="N46" s="122"/>
      <c r="O46" s="123"/>
      <c r="P46" s="124"/>
      <c r="Q46" s="122"/>
      <c r="R46" s="123"/>
      <c r="S46" s="124"/>
      <c r="T46" s="122"/>
      <c r="U46" s="123"/>
      <c r="V46" s="124"/>
      <c r="W46" s="122"/>
      <c r="X46" s="123"/>
      <c r="Y46" s="124"/>
      <c r="Z46" s="122"/>
      <c r="AA46" s="123"/>
      <c r="AB46" s="124"/>
      <c r="AC46" s="122"/>
      <c r="AD46" s="123"/>
    </row>
    <row r="47" spans="1:30">
      <c r="A47" s="124"/>
      <c r="B47" s="122"/>
      <c r="C47" s="123"/>
      <c r="D47" s="124"/>
      <c r="E47" s="122"/>
      <c r="F47" s="123"/>
      <c r="G47" s="124"/>
      <c r="H47" s="122"/>
      <c r="I47" s="123"/>
      <c r="J47" s="124"/>
      <c r="K47" s="122"/>
      <c r="L47" s="123"/>
      <c r="M47" s="124"/>
      <c r="N47" s="122"/>
      <c r="O47" s="123"/>
      <c r="P47" s="124"/>
      <c r="Q47" s="122"/>
      <c r="R47" s="123"/>
      <c r="S47" s="124"/>
      <c r="T47" s="122"/>
      <c r="U47" s="123"/>
      <c r="V47" s="124"/>
      <c r="W47" s="122"/>
      <c r="X47" s="123"/>
      <c r="Y47" s="124"/>
      <c r="Z47" s="122"/>
      <c r="AA47" s="123"/>
      <c r="AB47" s="124"/>
      <c r="AC47" s="122"/>
      <c r="AD47" s="123"/>
    </row>
    <row r="48" spans="1:30">
      <c r="A48" s="124"/>
      <c r="B48" s="122"/>
      <c r="C48" s="123"/>
      <c r="D48" s="124"/>
      <c r="E48" s="122"/>
      <c r="F48" s="123"/>
      <c r="G48" s="124"/>
      <c r="H48" s="122"/>
      <c r="I48" s="123"/>
      <c r="J48" s="124"/>
      <c r="K48" s="122"/>
      <c r="L48" s="123"/>
      <c r="M48" s="124"/>
      <c r="N48" s="122"/>
      <c r="O48" s="123"/>
      <c r="P48" s="124"/>
      <c r="Q48" s="122"/>
      <c r="R48" s="123"/>
      <c r="S48" s="124"/>
      <c r="T48" s="122"/>
      <c r="U48" s="123"/>
      <c r="V48" s="124"/>
      <c r="W48" s="122"/>
      <c r="X48" s="123"/>
      <c r="Y48" s="124"/>
      <c r="Z48" s="122"/>
      <c r="AA48" s="123"/>
      <c r="AB48" s="124"/>
      <c r="AC48" s="122"/>
      <c r="AD48" s="123"/>
    </row>
    <row r="49" spans="1:30">
      <c r="A49" s="124"/>
      <c r="B49" s="122"/>
      <c r="C49" s="123"/>
      <c r="D49" s="124"/>
      <c r="E49" s="122"/>
      <c r="F49" s="123"/>
      <c r="G49" s="124"/>
      <c r="H49" s="122"/>
      <c r="I49" s="123"/>
      <c r="J49" s="124"/>
      <c r="K49" s="122"/>
      <c r="L49" s="123"/>
      <c r="M49" s="124"/>
      <c r="N49" s="122"/>
      <c r="O49" s="123"/>
      <c r="P49" s="124"/>
      <c r="Q49" s="122"/>
      <c r="R49" s="123"/>
      <c r="S49" s="124"/>
      <c r="T49" s="122"/>
      <c r="U49" s="123"/>
      <c r="V49" s="124"/>
      <c r="W49" s="122"/>
      <c r="X49" s="123"/>
      <c r="Y49" s="124"/>
      <c r="Z49" s="122"/>
      <c r="AA49" s="123"/>
      <c r="AB49" s="124"/>
      <c r="AC49" s="122"/>
      <c r="AD49" s="123"/>
    </row>
    <row r="50" spans="1:30">
      <c r="A50" s="124"/>
      <c r="B50" s="122"/>
      <c r="C50" s="123"/>
      <c r="D50" s="124"/>
      <c r="E50" s="122"/>
      <c r="F50" s="123"/>
      <c r="G50" s="124"/>
      <c r="H50" s="122"/>
      <c r="I50" s="123"/>
      <c r="J50" s="124"/>
      <c r="K50" s="122"/>
      <c r="L50" s="123"/>
      <c r="M50" s="124"/>
      <c r="N50" s="122"/>
      <c r="O50" s="123"/>
      <c r="P50" s="124"/>
      <c r="Q50" s="122"/>
      <c r="R50" s="123"/>
      <c r="S50" s="124"/>
      <c r="T50" s="122"/>
      <c r="U50" s="123"/>
      <c r="V50" s="124"/>
      <c r="W50" s="122"/>
      <c r="X50" s="123"/>
      <c r="Y50" s="124"/>
      <c r="Z50" s="122"/>
      <c r="AA50" s="123"/>
      <c r="AB50" s="124"/>
      <c r="AC50" s="122"/>
      <c r="AD50" s="123"/>
    </row>
    <row r="51" spans="1:30">
      <c r="A51" s="124"/>
      <c r="B51" s="122"/>
      <c r="C51" s="123"/>
      <c r="D51" s="124"/>
      <c r="E51" s="122"/>
      <c r="F51" s="123"/>
      <c r="G51" s="124"/>
      <c r="H51" s="122"/>
      <c r="I51" s="123"/>
      <c r="J51" s="124"/>
      <c r="K51" s="122"/>
      <c r="L51" s="123"/>
      <c r="M51" s="124"/>
      <c r="N51" s="122"/>
      <c r="O51" s="123"/>
      <c r="P51" s="124"/>
      <c r="Q51" s="122"/>
      <c r="R51" s="123"/>
      <c r="S51" s="124"/>
      <c r="T51" s="122"/>
      <c r="U51" s="123"/>
      <c r="V51" s="124"/>
      <c r="W51" s="122"/>
      <c r="X51" s="123"/>
      <c r="Y51" s="124"/>
      <c r="Z51" s="122"/>
      <c r="AA51" s="123"/>
      <c r="AB51" s="124"/>
      <c r="AC51" s="122"/>
      <c r="AD51" s="123"/>
    </row>
    <row r="52" spans="1:30">
      <c r="A52" s="124"/>
      <c r="B52" s="122"/>
      <c r="C52" s="123"/>
      <c r="D52" s="124"/>
      <c r="E52" s="122"/>
      <c r="F52" s="123"/>
      <c r="G52" s="124"/>
      <c r="H52" s="122"/>
      <c r="I52" s="123"/>
      <c r="J52" s="124"/>
      <c r="K52" s="122"/>
      <c r="L52" s="123"/>
      <c r="M52" s="124"/>
      <c r="N52" s="122"/>
      <c r="O52" s="123"/>
      <c r="P52" s="124"/>
      <c r="Q52" s="122"/>
      <c r="R52" s="123"/>
      <c r="S52" s="124"/>
      <c r="T52" s="122"/>
      <c r="U52" s="123"/>
      <c r="V52" s="124"/>
      <c r="W52" s="122"/>
      <c r="X52" s="123"/>
      <c r="Y52" s="124"/>
      <c r="Z52" s="122"/>
      <c r="AA52" s="123"/>
      <c r="AB52" s="124"/>
      <c r="AC52" s="122"/>
      <c r="AD52" s="123"/>
    </row>
    <row r="53" spans="1:30">
      <c r="A53" s="124"/>
      <c r="B53" s="122"/>
      <c r="C53" s="123"/>
      <c r="D53" s="124"/>
      <c r="E53" s="122"/>
      <c r="F53" s="123"/>
      <c r="G53" s="124"/>
      <c r="H53" s="122"/>
      <c r="I53" s="123"/>
      <c r="J53" s="124"/>
      <c r="K53" s="122"/>
      <c r="L53" s="123"/>
      <c r="M53" s="124"/>
      <c r="N53" s="122"/>
      <c r="O53" s="123"/>
      <c r="P53" s="124"/>
      <c r="Q53" s="122"/>
      <c r="R53" s="123"/>
      <c r="S53" s="124"/>
      <c r="T53" s="122"/>
      <c r="U53" s="123"/>
      <c r="V53" s="124"/>
      <c r="W53" s="122"/>
      <c r="X53" s="123"/>
      <c r="Y53" s="124"/>
      <c r="Z53" s="122"/>
      <c r="AA53" s="123"/>
      <c r="AB53" s="124"/>
      <c r="AC53" s="122"/>
      <c r="AD53" s="123"/>
    </row>
    <row r="54" spans="1:30">
      <c r="A54" s="124"/>
      <c r="B54" s="122"/>
      <c r="C54" s="123"/>
      <c r="D54" s="124"/>
      <c r="E54" s="122"/>
      <c r="F54" s="123"/>
      <c r="G54" s="124"/>
      <c r="H54" s="122"/>
      <c r="I54" s="123"/>
      <c r="J54" s="124"/>
      <c r="K54" s="122"/>
      <c r="L54" s="123"/>
      <c r="M54" s="124"/>
      <c r="N54" s="122"/>
      <c r="O54" s="123"/>
      <c r="P54" s="124"/>
      <c r="Q54" s="122"/>
      <c r="R54" s="123"/>
      <c r="S54" s="124"/>
      <c r="T54" s="122"/>
      <c r="U54" s="123"/>
      <c r="V54" s="124"/>
      <c r="W54" s="122"/>
      <c r="X54" s="123"/>
      <c r="Y54" s="124"/>
      <c r="Z54" s="122"/>
      <c r="AA54" s="123"/>
      <c r="AB54" s="124"/>
      <c r="AC54" s="122"/>
      <c r="AD54" s="123"/>
    </row>
    <row r="55" spans="1:30">
      <c r="A55" s="124" t="s">
        <v>49</v>
      </c>
      <c r="B55" s="122"/>
      <c r="C55" s="122"/>
      <c r="D55" s="124"/>
      <c r="E55" s="122"/>
      <c r="F55" s="122"/>
      <c r="G55" s="124"/>
      <c r="H55" s="122"/>
      <c r="I55" s="122"/>
      <c r="J55" s="124"/>
      <c r="K55" s="122"/>
      <c r="L55" s="122"/>
      <c r="M55" s="124"/>
      <c r="N55" s="122"/>
      <c r="O55" s="122"/>
      <c r="P55" s="124"/>
      <c r="Q55" s="122"/>
      <c r="R55" s="122"/>
      <c r="S55" s="124"/>
      <c r="T55" s="122"/>
      <c r="U55" s="122"/>
      <c r="V55" s="124"/>
      <c r="W55" s="122"/>
      <c r="X55" s="122"/>
      <c r="Y55" s="124"/>
      <c r="Z55" s="122"/>
      <c r="AA55" s="122"/>
      <c r="AB55" s="124"/>
      <c r="AC55" s="122"/>
      <c r="AD55" s="122"/>
    </row>
  </sheetData>
  <sheetProtection sheet="1" objects="1" scenarios="1" selectLockedCells="1"/>
  <mergeCells count="5">
    <mergeCell ref="A1:F1"/>
    <mergeCell ref="G1:L1"/>
    <mergeCell ref="S1:X1"/>
    <mergeCell ref="Y1:AD1"/>
    <mergeCell ref="M1:R1"/>
  </mergeCells>
  <phoneticPr fontId="50" type="noConversion"/>
  <pageMargins left="1.36" right="0.75" top="0.64" bottom="1" header="0.5" footer="0.5"/>
  <pageSetup orientation="portrait" r:id="rId1"/>
  <headerFooter alignWithMargins="0"/>
  <rowBreaks count="1" manualBreakCount="1">
    <brk id="41" max="16383" man="1"/>
  </rowBreaks>
  <colBreaks count="1" manualBreakCount="1">
    <brk id="18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 filterMode="1">
    <pageSetUpPr fitToPage="1"/>
  </sheetPr>
  <dimension ref="A2:N155"/>
  <sheetViews>
    <sheetView workbookViewId="0">
      <selection activeCell="D27" sqref="D27"/>
    </sheetView>
  </sheetViews>
  <sheetFormatPr defaultRowHeight="14.4"/>
  <cols>
    <col min="1" max="1" width="9.109375" style="432"/>
    <col min="2" max="2" width="10.109375" style="433" bestFit="1" customWidth="1"/>
    <col min="3" max="3" width="24.88671875" style="432" bestFit="1" customWidth="1"/>
    <col min="4" max="5" width="8.5546875" style="432" customWidth="1"/>
    <col min="6" max="6" width="12.5546875" style="435" bestFit="1" customWidth="1"/>
    <col min="7" max="9" width="12" style="435" customWidth="1"/>
    <col min="10" max="10" width="12.5546875" style="435" customWidth="1"/>
    <col min="11" max="11" width="2.33203125" style="432" customWidth="1"/>
    <col min="12" max="12" width="1" style="432" customWidth="1"/>
    <col min="13" max="13" width="11.109375" style="433" customWidth="1"/>
    <col min="14" max="14" width="24" style="432" customWidth="1"/>
    <col min="15" max="239" width="9.109375" style="432"/>
    <col min="240" max="240" width="10.109375" style="432" bestFit="1" customWidth="1"/>
    <col min="241" max="241" width="24.88671875" style="432" bestFit="1" customWidth="1"/>
    <col min="242" max="242" width="8.5546875" style="432" customWidth="1"/>
    <col min="243" max="243" width="12.5546875" style="432" bestFit="1" customWidth="1"/>
    <col min="244" max="246" width="12" style="432" customWidth="1"/>
    <col min="247" max="247" width="12.5546875" style="432" customWidth="1"/>
    <col min="248" max="248" width="2.33203125" style="432" customWidth="1"/>
    <col min="249" max="249" width="8.44140625" style="432" customWidth="1"/>
    <col min="250" max="250" width="11.5546875" style="432" bestFit="1" customWidth="1"/>
    <col min="251" max="251" width="11.33203125" style="432" customWidth="1"/>
    <col min="252" max="252" width="1.6640625" style="432" customWidth="1"/>
    <col min="253" max="253" width="9.109375" style="432"/>
    <col min="254" max="254" width="10.6640625" style="432" bestFit="1" customWidth="1"/>
    <col min="255" max="255" width="12.33203125" style="432" customWidth="1"/>
    <col min="256" max="256" width="1.109375" style="432" customWidth="1"/>
    <col min="257" max="258" width="9.109375" style="432"/>
    <col min="259" max="259" width="12" style="432" customWidth="1"/>
    <col min="260" max="260" width="1" style="432" customWidth="1"/>
    <col min="261" max="262" width="9.109375" style="432"/>
    <col min="263" max="263" width="12.109375" style="432" customWidth="1"/>
    <col min="264" max="264" width="1.109375" style="432" customWidth="1"/>
    <col min="265" max="265" width="9.109375" style="432"/>
    <col min="266" max="266" width="11" style="432" customWidth="1"/>
    <col min="267" max="267" width="13.109375" style="432" customWidth="1"/>
    <col min="268" max="268" width="1" style="432" customWidth="1"/>
    <col min="269" max="269" width="11.109375" style="432" customWidth="1"/>
    <col min="270" max="270" width="24" style="432" customWidth="1"/>
    <col min="271" max="495" width="9.109375" style="432"/>
    <col min="496" max="496" width="10.109375" style="432" bestFit="1" customWidth="1"/>
    <col min="497" max="497" width="24.88671875" style="432" bestFit="1" customWidth="1"/>
    <col min="498" max="498" width="8.5546875" style="432" customWidth="1"/>
    <col min="499" max="499" width="12.5546875" style="432" bestFit="1" customWidth="1"/>
    <col min="500" max="502" width="12" style="432" customWidth="1"/>
    <col min="503" max="503" width="12.5546875" style="432" customWidth="1"/>
    <col min="504" max="504" width="2.33203125" style="432" customWidth="1"/>
    <col min="505" max="505" width="8.44140625" style="432" customWidth="1"/>
    <col min="506" max="506" width="11.5546875" style="432" bestFit="1" customWidth="1"/>
    <col min="507" max="507" width="11.33203125" style="432" customWidth="1"/>
    <col min="508" max="508" width="1.6640625" style="432" customWidth="1"/>
    <col min="509" max="509" width="9.109375" style="432"/>
    <col min="510" max="510" width="10.6640625" style="432" bestFit="1" customWidth="1"/>
    <col min="511" max="511" width="12.33203125" style="432" customWidth="1"/>
    <col min="512" max="512" width="1.109375" style="432" customWidth="1"/>
    <col min="513" max="514" width="9.109375" style="432"/>
    <col min="515" max="515" width="12" style="432" customWidth="1"/>
    <col min="516" max="516" width="1" style="432" customWidth="1"/>
    <col min="517" max="518" width="9.109375" style="432"/>
    <col min="519" max="519" width="12.109375" style="432" customWidth="1"/>
    <col min="520" max="520" width="1.109375" style="432" customWidth="1"/>
    <col min="521" max="521" width="9.109375" style="432"/>
    <col min="522" max="522" width="11" style="432" customWidth="1"/>
    <col min="523" max="523" width="13.109375" style="432" customWidth="1"/>
    <col min="524" max="524" width="1" style="432" customWidth="1"/>
    <col min="525" max="525" width="11.109375" style="432" customWidth="1"/>
    <col min="526" max="526" width="24" style="432" customWidth="1"/>
    <col min="527" max="751" width="9.109375" style="432"/>
    <col min="752" max="752" width="10.109375" style="432" bestFit="1" customWidth="1"/>
    <col min="753" max="753" width="24.88671875" style="432" bestFit="1" customWidth="1"/>
    <col min="754" max="754" width="8.5546875" style="432" customWidth="1"/>
    <col min="755" max="755" width="12.5546875" style="432" bestFit="1" customWidth="1"/>
    <col min="756" max="758" width="12" style="432" customWidth="1"/>
    <col min="759" max="759" width="12.5546875" style="432" customWidth="1"/>
    <col min="760" max="760" width="2.33203125" style="432" customWidth="1"/>
    <col min="761" max="761" width="8.44140625" style="432" customWidth="1"/>
    <col min="762" max="762" width="11.5546875" style="432" bestFit="1" customWidth="1"/>
    <col min="763" max="763" width="11.33203125" style="432" customWidth="1"/>
    <col min="764" max="764" width="1.6640625" style="432" customWidth="1"/>
    <col min="765" max="765" width="9.109375" style="432"/>
    <col min="766" max="766" width="10.6640625" style="432" bestFit="1" customWidth="1"/>
    <col min="767" max="767" width="12.33203125" style="432" customWidth="1"/>
    <col min="768" max="768" width="1.109375" style="432" customWidth="1"/>
    <col min="769" max="770" width="9.109375" style="432"/>
    <col min="771" max="771" width="12" style="432" customWidth="1"/>
    <col min="772" max="772" width="1" style="432" customWidth="1"/>
    <col min="773" max="774" width="9.109375" style="432"/>
    <col min="775" max="775" width="12.109375" style="432" customWidth="1"/>
    <col min="776" max="776" width="1.109375" style="432" customWidth="1"/>
    <col min="777" max="777" width="9.109375" style="432"/>
    <col min="778" max="778" width="11" style="432" customWidth="1"/>
    <col min="779" max="779" width="13.109375" style="432" customWidth="1"/>
    <col min="780" max="780" width="1" style="432" customWidth="1"/>
    <col min="781" max="781" width="11.109375" style="432" customWidth="1"/>
    <col min="782" max="782" width="24" style="432" customWidth="1"/>
    <col min="783" max="1007" width="9.109375" style="432"/>
    <col min="1008" max="1008" width="10.109375" style="432" bestFit="1" customWidth="1"/>
    <col min="1009" max="1009" width="24.88671875" style="432" bestFit="1" customWidth="1"/>
    <col min="1010" max="1010" width="8.5546875" style="432" customWidth="1"/>
    <col min="1011" max="1011" width="12.5546875" style="432" bestFit="1" customWidth="1"/>
    <col min="1012" max="1014" width="12" style="432" customWidth="1"/>
    <col min="1015" max="1015" width="12.5546875" style="432" customWidth="1"/>
    <col min="1016" max="1016" width="2.33203125" style="432" customWidth="1"/>
    <col min="1017" max="1017" width="8.44140625" style="432" customWidth="1"/>
    <col min="1018" max="1018" width="11.5546875" style="432" bestFit="1" customWidth="1"/>
    <col min="1019" max="1019" width="11.33203125" style="432" customWidth="1"/>
    <col min="1020" max="1020" width="1.6640625" style="432" customWidth="1"/>
    <col min="1021" max="1021" width="9.109375" style="432"/>
    <col min="1022" max="1022" width="10.6640625" style="432" bestFit="1" customWidth="1"/>
    <col min="1023" max="1023" width="12.33203125" style="432" customWidth="1"/>
    <col min="1024" max="1024" width="1.109375" style="432" customWidth="1"/>
    <col min="1025" max="1026" width="9.109375" style="432"/>
    <col min="1027" max="1027" width="12" style="432" customWidth="1"/>
    <col min="1028" max="1028" width="1" style="432" customWidth="1"/>
    <col min="1029" max="1030" width="9.109375" style="432"/>
    <col min="1031" max="1031" width="12.109375" style="432" customWidth="1"/>
    <col min="1032" max="1032" width="1.109375" style="432" customWidth="1"/>
    <col min="1033" max="1033" width="9.109375" style="432"/>
    <col min="1034" max="1034" width="11" style="432" customWidth="1"/>
    <col min="1035" max="1035" width="13.109375" style="432" customWidth="1"/>
    <col min="1036" max="1036" width="1" style="432" customWidth="1"/>
    <col min="1037" max="1037" width="11.109375" style="432" customWidth="1"/>
    <col min="1038" max="1038" width="24" style="432" customWidth="1"/>
    <col min="1039" max="1263" width="9.109375" style="432"/>
    <col min="1264" max="1264" width="10.109375" style="432" bestFit="1" customWidth="1"/>
    <col min="1265" max="1265" width="24.88671875" style="432" bestFit="1" customWidth="1"/>
    <col min="1266" max="1266" width="8.5546875" style="432" customWidth="1"/>
    <col min="1267" max="1267" width="12.5546875" style="432" bestFit="1" customWidth="1"/>
    <col min="1268" max="1270" width="12" style="432" customWidth="1"/>
    <col min="1271" max="1271" width="12.5546875" style="432" customWidth="1"/>
    <col min="1272" max="1272" width="2.33203125" style="432" customWidth="1"/>
    <col min="1273" max="1273" width="8.44140625" style="432" customWidth="1"/>
    <col min="1274" max="1274" width="11.5546875" style="432" bestFit="1" customWidth="1"/>
    <col min="1275" max="1275" width="11.33203125" style="432" customWidth="1"/>
    <col min="1276" max="1276" width="1.6640625" style="432" customWidth="1"/>
    <col min="1277" max="1277" width="9.109375" style="432"/>
    <col min="1278" max="1278" width="10.6640625" style="432" bestFit="1" customWidth="1"/>
    <col min="1279" max="1279" width="12.33203125" style="432" customWidth="1"/>
    <col min="1280" max="1280" width="1.109375" style="432" customWidth="1"/>
    <col min="1281" max="1282" width="9.109375" style="432"/>
    <col min="1283" max="1283" width="12" style="432" customWidth="1"/>
    <col min="1284" max="1284" width="1" style="432" customWidth="1"/>
    <col min="1285" max="1286" width="9.109375" style="432"/>
    <col min="1287" max="1287" width="12.109375" style="432" customWidth="1"/>
    <col min="1288" max="1288" width="1.109375" style="432" customWidth="1"/>
    <col min="1289" max="1289" width="9.109375" style="432"/>
    <col min="1290" max="1290" width="11" style="432" customWidth="1"/>
    <col min="1291" max="1291" width="13.109375" style="432" customWidth="1"/>
    <col min="1292" max="1292" width="1" style="432" customWidth="1"/>
    <col min="1293" max="1293" width="11.109375" style="432" customWidth="1"/>
    <col min="1294" max="1294" width="24" style="432" customWidth="1"/>
    <col min="1295" max="1519" width="9.109375" style="432"/>
    <col min="1520" max="1520" width="10.109375" style="432" bestFit="1" customWidth="1"/>
    <col min="1521" max="1521" width="24.88671875" style="432" bestFit="1" customWidth="1"/>
    <col min="1522" max="1522" width="8.5546875" style="432" customWidth="1"/>
    <col min="1523" max="1523" width="12.5546875" style="432" bestFit="1" customWidth="1"/>
    <col min="1524" max="1526" width="12" style="432" customWidth="1"/>
    <col min="1527" max="1527" width="12.5546875" style="432" customWidth="1"/>
    <col min="1528" max="1528" width="2.33203125" style="432" customWidth="1"/>
    <col min="1529" max="1529" width="8.44140625" style="432" customWidth="1"/>
    <col min="1530" max="1530" width="11.5546875" style="432" bestFit="1" customWidth="1"/>
    <col min="1531" max="1531" width="11.33203125" style="432" customWidth="1"/>
    <col min="1532" max="1532" width="1.6640625" style="432" customWidth="1"/>
    <col min="1533" max="1533" width="9.109375" style="432"/>
    <col min="1534" max="1534" width="10.6640625" style="432" bestFit="1" customWidth="1"/>
    <col min="1535" max="1535" width="12.33203125" style="432" customWidth="1"/>
    <col min="1536" max="1536" width="1.109375" style="432" customWidth="1"/>
    <col min="1537" max="1538" width="9.109375" style="432"/>
    <col min="1539" max="1539" width="12" style="432" customWidth="1"/>
    <col min="1540" max="1540" width="1" style="432" customWidth="1"/>
    <col min="1541" max="1542" width="9.109375" style="432"/>
    <col min="1543" max="1543" width="12.109375" style="432" customWidth="1"/>
    <col min="1544" max="1544" width="1.109375" style="432" customWidth="1"/>
    <col min="1545" max="1545" width="9.109375" style="432"/>
    <col min="1546" max="1546" width="11" style="432" customWidth="1"/>
    <col min="1547" max="1547" width="13.109375" style="432" customWidth="1"/>
    <col min="1548" max="1548" width="1" style="432" customWidth="1"/>
    <col min="1549" max="1549" width="11.109375" style="432" customWidth="1"/>
    <col min="1550" max="1550" width="24" style="432" customWidth="1"/>
    <col min="1551" max="1775" width="9.109375" style="432"/>
    <col min="1776" max="1776" width="10.109375" style="432" bestFit="1" customWidth="1"/>
    <col min="1777" max="1777" width="24.88671875" style="432" bestFit="1" customWidth="1"/>
    <col min="1778" max="1778" width="8.5546875" style="432" customWidth="1"/>
    <col min="1779" max="1779" width="12.5546875" style="432" bestFit="1" customWidth="1"/>
    <col min="1780" max="1782" width="12" style="432" customWidth="1"/>
    <col min="1783" max="1783" width="12.5546875" style="432" customWidth="1"/>
    <col min="1784" max="1784" width="2.33203125" style="432" customWidth="1"/>
    <col min="1785" max="1785" width="8.44140625" style="432" customWidth="1"/>
    <col min="1786" max="1786" width="11.5546875" style="432" bestFit="1" customWidth="1"/>
    <col min="1787" max="1787" width="11.33203125" style="432" customWidth="1"/>
    <col min="1788" max="1788" width="1.6640625" style="432" customWidth="1"/>
    <col min="1789" max="1789" width="9.109375" style="432"/>
    <col min="1790" max="1790" width="10.6640625" style="432" bestFit="1" customWidth="1"/>
    <col min="1791" max="1791" width="12.33203125" style="432" customWidth="1"/>
    <col min="1792" max="1792" width="1.109375" style="432" customWidth="1"/>
    <col min="1793" max="1794" width="9.109375" style="432"/>
    <col min="1795" max="1795" width="12" style="432" customWidth="1"/>
    <col min="1796" max="1796" width="1" style="432" customWidth="1"/>
    <col min="1797" max="1798" width="9.109375" style="432"/>
    <col min="1799" max="1799" width="12.109375" style="432" customWidth="1"/>
    <col min="1800" max="1800" width="1.109375" style="432" customWidth="1"/>
    <col min="1801" max="1801" width="9.109375" style="432"/>
    <col min="1802" max="1802" width="11" style="432" customWidth="1"/>
    <col min="1803" max="1803" width="13.109375" style="432" customWidth="1"/>
    <col min="1804" max="1804" width="1" style="432" customWidth="1"/>
    <col min="1805" max="1805" width="11.109375" style="432" customWidth="1"/>
    <col min="1806" max="1806" width="24" style="432" customWidth="1"/>
    <col min="1807" max="2031" width="9.109375" style="432"/>
    <col min="2032" max="2032" width="10.109375" style="432" bestFit="1" customWidth="1"/>
    <col min="2033" max="2033" width="24.88671875" style="432" bestFit="1" customWidth="1"/>
    <col min="2034" max="2034" width="8.5546875" style="432" customWidth="1"/>
    <col min="2035" max="2035" width="12.5546875" style="432" bestFit="1" customWidth="1"/>
    <col min="2036" max="2038" width="12" style="432" customWidth="1"/>
    <col min="2039" max="2039" width="12.5546875" style="432" customWidth="1"/>
    <col min="2040" max="2040" width="2.33203125" style="432" customWidth="1"/>
    <col min="2041" max="2041" width="8.44140625" style="432" customWidth="1"/>
    <col min="2042" max="2042" width="11.5546875" style="432" bestFit="1" customWidth="1"/>
    <col min="2043" max="2043" width="11.33203125" style="432" customWidth="1"/>
    <col min="2044" max="2044" width="1.6640625" style="432" customWidth="1"/>
    <col min="2045" max="2045" width="9.109375" style="432"/>
    <col min="2046" max="2046" width="10.6640625" style="432" bestFit="1" customWidth="1"/>
    <col min="2047" max="2047" width="12.33203125" style="432" customWidth="1"/>
    <col min="2048" max="2048" width="1.109375" style="432" customWidth="1"/>
    <col min="2049" max="2050" width="9.109375" style="432"/>
    <col min="2051" max="2051" width="12" style="432" customWidth="1"/>
    <col min="2052" max="2052" width="1" style="432" customWidth="1"/>
    <col min="2053" max="2054" width="9.109375" style="432"/>
    <col min="2055" max="2055" width="12.109375" style="432" customWidth="1"/>
    <col min="2056" max="2056" width="1.109375" style="432" customWidth="1"/>
    <col min="2057" max="2057" width="9.109375" style="432"/>
    <col min="2058" max="2058" width="11" style="432" customWidth="1"/>
    <col min="2059" max="2059" width="13.109375" style="432" customWidth="1"/>
    <col min="2060" max="2060" width="1" style="432" customWidth="1"/>
    <col min="2061" max="2061" width="11.109375" style="432" customWidth="1"/>
    <col min="2062" max="2062" width="24" style="432" customWidth="1"/>
    <col min="2063" max="2287" width="9.109375" style="432"/>
    <col min="2288" max="2288" width="10.109375" style="432" bestFit="1" customWidth="1"/>
    <col min="2289" max="2289" width="24.88671875" style="432" bestFit="1" customWidth="1"/>
    <col min="2290" max="2290" width="8.5546875" style="432" customWidth="1"/>
    <col min="2291" max="2291" width="12.5546875" style="432" bestFit="1" customWidth="1"/>
    <col min="2292" max="2294" width="12" style="432" customWidth="1"/>
    <col min="2295" max="2295" width="12.5546875" style="432" customWidth="1"/>
    <col min="2296" max="2296" width="2.33203125" style="432" customWidth="1"/>
    <col min="2297" max="2297" width="8.44140625" style="432" customWidth="1"/>
    <col min="2298" max="2298" width="11.5546875" style="432" bestFit="1" customWidth="1"/>
    <col min="2299" max="2299" width="11.33203125" style="432" customWidth="1"/>
    <col min="2300" max="2300" width="1.6640625" style="432" customWidth="1"/>
    <col min="2301" max="2301" width="9.109375" style="432"/>
    <col min="2302" max="2302" width="10.6640625" style="432" bestFit="1" customWidth="1"/>
    <col min="2303" max="2303" width="12.33203125" style="432" customWidth="1"/>
    <col min="2304" max="2304" width="1.109375" style="432" customWidth="1"/>
    <col min="2305" max="2306" width="9.109375" style="432"/>
    <col min="2307" max="2307" width="12" style="432" customWidth="1"/>
    <col min="2308" max="2308" width="1" style="432" customWidth="1"/>
    <col min="2309" max="2310" width="9.109375" style="432"/>
    <col min="2311" max="2311" width="12.109375" style="432" customWidth="1"/>
    <col min="2312" max="2312" width="1.109375" style="432" customWidth="1"/>
    <col min="2313" max="2313" width="9.109375" style="432"/>
    <col min="2314" max="2314" width="11" style="432" customWidth="1"/>
    <col min="2315" max="2315" width="13.109375" style="432" customWidth="1"/>
    <col min="2316" max="2316" width="1" style="432" customWidth="1"/>
    <col min="2317" max="2317" width="11.109375" style="432" customWidth="1"/>
    <col min="2318" max="2318" width="24" style="432" customWidth="1"/>
    <col min="2319" max="2543" width="9.109375" style="432"/>
    <col min="2544" max="2544" width="10.109375" style="432" bestFit="1" customWidth="1"/>
    <col min="2545" max="2545" width="24.88671875" style="432" bestFit="1" customWidth="1"/>
    <col min="2546" max="2546" width="8.5546875" style="432" customWidth="1"/>
    <col min="2547" max="2547" width="12.5546875" style="432" bestFit="1" customWidth="1"/>
    <col min="2548" max="2550" width="12" style="432" customWidth="1"/>
    <col min="2551" max="2551" width="12.5546875" style="432" customWidth="1"/>
    <col min="2552" max="2552" width="2.33203125" style="432" customWidth="1"/>
    <col min="2553" max="2553" width="8.44140625" style="432" customWidth="1"/>
    <col min="2554" max="2554" width="11.5546875" style="432" bestFit="1" customWidth="1"/>
    <col min="2555" max="2555" width="11.33203125" style="432" customWidth="1"/>
    <col min="2556" max="2556" width="1.6640625" style="432" customWidth="1"/>
    <col min="2557" max="2557" width="9.109375" style="432"/>
    <col min="2558" max="2558" width="10.6640625" style="432" bestFit="1" customWidth="1"/>
    <col min="2559" max="2559" width="12.33203125" style="432" customWidth="1"/>
    <col min="2560" max="2560" width="1.109375" style="432" customWidth="1"/>
    <col min="2561" max="2562" width="9.109375" style="432"/>
    <col min="2563" max="2563" width="12" style="432" customWidth="1"/>
    <col min="2564" max="2564" width="1" style="432" customWidth="1"/>
    <col min="2565" max="2566" width="9.109375" style="432"/>
    <col min="2567" max="2567" width="12.109375" style="432" customWidth="1"/>
    <col min="2568" max="2568" width="1.109375" style="432" customWidth="1"/>
    <col min="2569" max="2569" width="9.109375" style="432"/>
    <col min="2570" max="2570" width="11" style="432" customWidth="1"/>
    <col min="2571" max="2571" width="13.109375" style="432" customWidth="1"/>
    <col min="2572" max="2572" width="1" style="432" customWidth="1"/>
    <col min="2573" max="2573" width="11.109375" style="432" customWidth="1"/>
    <col min="2574" max="2574" width="24" style="432" customWidth="1"/>
    <col min="2575" max="2799" width="9.109375" style="432"/>
    <col min="2800" max="2800" width="10.109375" style="432" bestFit="1" customWidth="1"/>
    <col min="2801" max="2801" width="24.88671875" style="432" bestFit="1" customWidth="1"/>
    <col min="2802" max="2802" width="8.5546875" style="432" customWidth="1"/>
    <col min="2803" max="2803" width="12.5546875" style="432" bestFit="1" customWidth="1"/>
    <col min="2804" max="2806" width="12" style="432" customWidth="1"/>
    <col min="2807" max="2807" width="12.5546875" style="432" customWidth="1"/>
    <col min="2808" max="2808" width="2.33203125" style="432" customWidth="1"/>
    <col min="2809" max="2809" width="8.44140625" style="432" customWidth="1"/>
    <col min="2810" max="2810" width="11.5546875" style="432" bestFit="1" customWidth="1"/>
    <col min="2811" max="2811" width="11.33203125" style="432" customWidth="1"/>
    <col min="2812" max="2812" width="1.6640625" style="432" customWidth="1"/>
    <col min="2813" max="2813" width="9.109375" style="432"/>
    <col min="2814" max="2814" width="10.6640625" style="432" bestFit="1" customWidth="1"/>
    <col min="2815" max="2815" width="12.33203125" style="432" customWidth="1"/>
    <col min="2816" max="2816" width="1.109375" style="432" customWidth="1"/>
    <col min="2817" max="2818" width="9.109375" style="432"/>
    <col min="2819" max="2819" width="12" style="432" customWidth="1"/>
    <col min="2820" max="2820" width="1" style="432" customWidth="1"/>
    <col min="2821" max="2822" width="9.109375" style="432"/>
    <col min="2823" max="2823" width="12.109375" style="432" customWidth="1"/>
    <col min="2824" max="2824" width="1.109375" style="432" customWidth="1"/>
    <col min="2825" max="2825" width="9.109375" style="432"/>
    <col min="2826" max="2826" width="11" style="432" customWidth="1"/>
    <col min="2827" max="2827" width="13.109375" style="432" customWidth="1"/>
    <col min="2828" max="2828" width="1" style="432" customWidth="1"/>
    <col min="2829" max="2829" width="11.109375" style="432" customWidth="1"/>
    <col min="2830" max="2830" width="24" style="432" customWidth="1"/>
    <col min="2831" max="3055" width="9.109375" style="432"/>
    <col min="3056" max="3056" width="10.109375" style="432" bestFit="1" customWidth="1"/>
    <col min="3057" max="3057" width="24.88671875" style="432" bestFit="1" customWidth="1"/>
    <col min="3058" max="3058" width="8.5546875" style="432" customWidth="1"/>
    <col min="3059" max="3059" width="12.5546875" style="432" bestFit="1" customWidth="1"/>
    <col min="3060" max="3062" width="12" style="432" customWidth="1"/>
    <col min="3063" max="3063" width="12.5546875" style="432" customWidth="1"/>
    <col min="3064" max="3064" width="2.33203125" style="432" customWidth="1"/>
    <col min="3065" max="3065" width="8.44140625" style="432" customWidth="1"/>
    <col min="3066" max="3066" width="11.5546875" style="432" bestFit="1" customWidth="1"/>
    <col min="3067" max="3067" width="11.33203125" style="432" customWidth="1"/>
    <col min="3068" max="3068" width="1.6640625" style="432" customWidth="1"/>
    <col min="3069" max="3069" width="9.109375" style="432"/>
    <col min="3070" max="3070" width="10.6640625" style="432" bestFit="1" customWidth="1"/>
    <col min="3071" max="3071" width="12.33203125" style="432" customWidth="1"/>
    <col min="3072" max="3072" width="1.109375" style="432" customWidth="1"/>
    <col min="3073" max="3074" width="9.109375" style="432"/>
    <col min="3075" max="3075" width="12" style="432" customWidth="1"/>
    <col min="3076" max="3076" width="1" style="432" customWidth="1"/>
    <col min="3077" max="3078" width="9.109375" style="432"/>
    <col min="3079" max="3079" width="12.109375" style="432" customWidth="1"/>
    <col min="3080" max="3080" width="1.109375" style="432" customWidth="1"/>
    <col min="3081" max="3081" width="9.109375" style="432"/>
    <col min="3082" max="3082" width="11" style="432" customWidth="1"/>
    <col min="3083" max="3083" width="13.109375" style="432" customWidth="1"/>
    <col min="3084" max="3084" width="1" style="432" customWidth="1"/>
    <col min="3085" max="3085" width="11.109375" style="432" customWidth="1"/>
    <col min="3086" max="3086" width="24" style="432" customWidth="1"/>
    <col min="3087" max="3311" width="9.109375" style="432"/>
    <col min="3312" max="3312" width="10.109375" style="432" bestFit="1" customWidth="1"/>
    <col min="3313" max="3313" width="24.88671875" style="432" bestFit="1" customWidth="1"/>
    <col min="3314" max="3314" width="8.5546875" style="432" customWidth="1"/>
    <col min="3315" max="3315" width="12.5546875" style="432" bestFit="1" customWidth="1"/>
    <col min="3316" max="3318" width="12" style="432" customWidth="1"/>
    <col min="3319" max="3319" width="12.5546875" style="432" customWidth="1"/>
    <col min="3320" max="3320" width="2.33203125" style="432" customWidth="1"/>
    <col min="3321" max="3321" width="8.44140625" style="432" customWidth="1"/>
    <col min="3322" max="3322" width="11.5546875" style="432" bestFit="1" customWidth="1"/>
    <col min="3323" max="3323" width="11.33203125" style="432" customWidth="1"/>
    <col min="3324" max="3324" width="1.6640625" style="432" customWidth="1"/>
    <col min="3325" max="3325" width="9.109375" style="432"/>
    <col min="3326" max="3326" width="10.6640625" style="432" bestFit="1" customWidth="1"/>
    <col min="3327" max="3327" width="12.33203125" style="432" customWidth="1"/>
    <col min="3328" max="3328" width="1.109375" style="432" customWidth="1"/>
    <col min="3329" max="3330" width="9.109375" style="432"/>
    <col min="3331" max="3331" width="12" style="432" customWidth="1"/>
    <col min="3332" max="3332" width="1" style="432" customWidth="1"/>
    <col min="3333" max="3334" width="9.109375" style="432"/>
    <col min="3335" max="3335" width="12.109375" style="432" customWidth="1"/>
    <col min="3336" max="3336" width="1.109375" style="432" customWidth="1"/>
    <col min="3337" max="3337" width="9.109375" style="432"/>
    <col min="3338" max="3338" width="11" style="432" customWidth="1"/>
    <col min="3339" max="3339" width="13.109375" style="432" customWidth="1"/>
    <col min="3340" max="3340" width="1" style="432" customWidth="1"/>
    <col min="3341" max="3341" width="11.109375" style="432" customWidth="1"/>
    <col min="3342" max="3342" width="24" style="432" customWidth="1"/>
    <col min="3343" max="3567" width="9.109375" style="432"/>
    <col min="3568" max="3568" width="10.109375" style="432" bestFit="1" customWidth="1"/>
    <col min="3569" max="3569" width="24.88671875" style="432" bestFit="1" customWidth="1"/>
    <col min="3570" max="3570" width="8.5546875" style="432" customWidth="1"/>
    <col min="3571" max="3571" width="12.5546875" style="432" bestFit="1" customWidth="1"/>
    <col min="3572" max="3574" width="12" style="432" customWidth="1"/>
    <col min="3575" max="3575" width="12.5546875" style="432" customWidth="1"/>
    <col min="3576" max="3576" width="2.33203125" style="432" customWidth="1"/>
    <col min="3577" max="3577" width="8.44140625" style="432" customWidth="1"/>
    <col min="3578" max="3578" width="11.5546875" style="432" bestFit="1" customWidth="1"/>
    <col min="3579" max="3579" width="11.33203125" style="432" customWidth="1"/>
    <col min="3580" max="3580" width="1.6640625" style="432" customWidth="1"/>
    <col min="3581" max="3581" width="9.109375" style="432"/>
    <col min="3582" max="3582" width="10.6640625" style="432" bestFit="1" customWidth="1"/>
    <col min="3583" max="3583" width="12.33203125" style="432" customWidth="1"/>
    <col min="3584" max="3584" width="1.109375" style="432" customWidth="1"/>
    <col min="3585" max="3586" width="9.109375" style="432"/>
    <col min="3587" max="3587" width="12" style="432" customWidth="1"/>
    <col min="3588" max="3588" width="1" style="432" customWidth="1"/>
    <col min="3589" max="3590" width="9.109375" style="432"/>
    <col min="3591" max="3591" width="12.109375" style="432" customWidth="1"/>
    <col min="3592" max="3592" width="1.109375" style="432" customWidth="1"/>
    <col min="3593" max="3593" width="9.109375" style="432"/>
    <col min="3594" max="3594" width="11" style="432" customWidth="1"/>
    <col min="3595" max="3595" width="13.109375" style="432" customWidth="1"/>
    <col min="3596" max="3596" width="1" style="432" customWidth="1"/>
    <col min="3597" max="3597" width="11.109375" style="432" customWidth="1"/>
    <col min="3598" max="3598" width="24" style="432" customWidth="1"/>
    <col min="3599" max="3823" width="9.109375" style="432"/>
    <col min="3824" max="3824" width="10.109375" style="432" bestFit="1" customWidth="1"/>
    <col min="3825" max="3825" width="24.88671875" style="432" bestFit="1" customWidth="1"/>
    <col min="3826" max="3826" width="8.5546875" style="432" customWidth="1"/>
    <col min="3827" max="3827" width="12.5546875" style="432" bestFit="1" customWidth="1"/>
    <col min="3828" max="3830" width="12" style="432" customWidth="1"/>
    <col min="3831" max="3831" width="12.5546875" style="432" customWidth="1"/>
    <col min="3832" max="3832" width="2.33203125" style="432" customWidth="1"/>
    <col min="3833" max="3833" width="8.44140625" style="432" customWidth="1"/>
    <col min="3834" max="3834" width="11.5546875" style="432" bestFit="1" customWidth="1"/>
    <col min="3835" max="3835" width="11.33203125" style="432" customWidth="1"/>
    <col min="3836" max="3836" width="1.6640625" style="432" customWidth="1"/>
    <col min="3837" max="3837" width="9.109375" style="432"/>
    <col min="3838" max="3838" width="10.6640625" style="432" bestFit="1" customWidth="1"/>
    <col min="3839" max="3839" width="12.33203125" style="432" customWidth="1"/>
    <col min="3840" max="3840" width="1.109375" style="432" customWidth="1"/>
    <col min="3841" max="3842" width="9.109375" style="432"/>
    <col min="3843" max="3843" width="12" style="432" customWidth="1"/>
    <col min="3844" max="3844" width="1" style="432" customWidth="1"/>
    <col min="3845" max="3846" width="9.109375" style="432"/>
    <col min="3847" max="3847" width="12.109375" style="432" customWidth="1"/>
    <col min="3848" max="3848" width="1.109375" style="432" customWidth="1"/>
    <col min="3849" max="3849" width="9.109375" style="432"/>
    <col min="3850" max="3850" width="11" style="432" customWidth="1"/>
    <col min="3851" max="3851" width="13.109375" style="432" customWidth="1"/>
    <col min="3852" max="3852" width="1" style="432" customWidth="1"/>
    <col min="3853" max="3853" width="11.109375" style="432" customWidth="1"/>
    <col min="3854" max="3854" width="24" style="432" customWidth="1"/>
    <col min="3855" max="4079" width="9.109375" style="432"/>
    <col min="4080" max="4080" width="10.109375" style="432" bestFit="1" customWidth="1"/>
    <col min="4081" max="4081" width="24.88671875" style="432" bestFit="1" customWidth="1"/>
    <col min="4082" max="4082" width="8.5546875" style="432" customWidth="1"/>
    <col min="4083" max="4083" width="12.5546875" style="432" bestFit="1" customWidth="1"/>
    <col min="4084" max="4086" width="12" style="432" customWidth="1"/>
    <col min="4087" max="4087" width="12.5546875" style="432" customWidth="1"/>
    <col min="4088" max="4088" width="2.33203125" style="432" customWidth="1"/>
    <col min="4089" max="4089" width="8.44140625" style="432" customWidth="1"/>
    <col min="4090" max="4090" width="11.5546875" style="432" bestFit="1" customWidth="1"/>
    <col min="4091" max="4091" width="11.33203125" style="432" customWidth="1"/>
    <col min="4092" max="4092" width="1.6640625" style="432" customWidth="1"/>
    <col min="4093" max="4093" width="9.109375" style="432"/>
    <col min="4094" max="4094" width="10.6640625" style="432" bestFit="1" customWidth="1"/>
    <col min="4095" max="4095" width="12.33203125" style="432" customWidth="1"/>
    <col min="4096" max="4096" width="1.109375" style="432" customWidth="1"/>
    <col min="4097" max="4098" width="9.109375" style="432"/>
    <col min="4099" max="4099" width="12" style="432" customWidth="1"/>
    <col min="4100" max="4100" width="1" style="432" customWidth="1"/>
    <col min="4101" max="4102" width="9.109375" style="432"/>
    <col min="4103" max="4103" width="12.109375" style="432" customWidth="1"/>
    <col min="4104" max="4104" width="1.109375" style="432" customWidth="1"/>
    <col min="4105" max="4105" width="9.109375" style="432"/>
    <col min="4106" max="4106" width="11" style="432" customWidth="1"/>
    <col min="4107" max="4107" width="13.109375" style="432" customWidth="1"/>
    <col min="4108" max="4108" width="1" style="432" customWidth="1"/>
    <col min="4109" max="4109" width="11.109375" style="432" customWidth="1"/>
    <col min="4110" max="4110" width="24" style="432" customWidth="1"/>
    <col min="4111" max="4335" width="9.109375" style="432"/>
    <col min="4336" max="4336" width="10.109375" style="432" bestFit="1" customWidth="1"/>
    <col min="4337" max="4337" width="24.88671875" style="432" bestFit="1" customWidth="1"/>
    <col min="4338" max="4338" width="8.5546875" style="432" customWidth="1"/>
    <col min="4339" max="4339" width="12.5546875" style="432" bestFit="1" customWidth="1"/>
    <col min="4340" max="4342" width="12" style="432" customWidth="1"/>
    <col min="4343" max="4343" width="12.5546875" style="432" customWidth="1"/>
    <col min="4344" max="4344" width="2.33203125" style="432" customWidth="1"/>
    <col min="4345" max="4345" width="8.44140625" style="432" customWidth="1"/>
    <col min="4346" max="4346" width="11.5546875" style="432" bestFit="1" customWidth="1"/>
    <col min="4347" max="4347" width="11.33203125" style="432" customWidth="1"/>
    <col min="4348" max="4348" width="1.6640625" style="432" customWidth="1"/>
    <col min="4349" max="4349" width="9.109375" style="432"/>
    <col min="4350" max="4350" width="10.6640625" style="432" bestFit="1" customWidth="1"/>
    <col min="4351" max="4351" width="12.33203125" style="432" customWidth="1"/>
    <col min="4352" max="4352" width="1.109375" style="432" customWidth="1"/>
    <col min="4353" max="4354" width="9.109375" style="432"/>
    <col min="4355" max="4355" width="12" style="432" customWidth="1"/>
    <col min="4356" max="4356" width="1" style="432" customWidth="1"/>
    <col min="4357" max="4358" width="9.109375" style="432"/>
    <col min="4359" max="4359" width="12.109375" style="432" customWidth="1"/>
    <col min="4360" max="4360" width="1.109375" style="432" customWidth="1"/>
    <col min="4361" max="4361" width="9.109375" style="432"/>
    <col min="4362" max="4362" width="11" style="432" customWidth="1"/>
    <col min="4363" max="4363" width="13.109375" style="432" customWidth="1"/>
    <col min="4364" max="4364" width="1" style="432" customWidth="1"/>
    <col min="4365" max="4365" width="11.109375" style="432" customWidth="1"/>
    <col min="4366" max="4366" width="24" style="432" customWidth="1"/>
    <col min="4367" max="4591" width="9.109375" style="432"/>
    <col min="4592" max="4592" width="10.109375" style="432" bestFit="1" customWidth="1"/>
    <col min="4593" max="4593" width="24.88671875" style="432" bestFit="1" customWidth="1"/>
    <col min="4594" max="4594" width="8.5546875" style="432" customWidth="1"/>
    <col min="4595" max="4595" width="12.5546875" style="432" bestFit="1" customWidth="1"/>
    <col min="4596" max="4598" width="12" style="432" customWidth="1"/>
    <col min="4599" max="4599" width="12.5546875" style="432" customWidth="1"/>
    <col min="4600" max="4600" width="2.33203125" style="432" customWidth="1"/>
    <col min="4601" max="4601" width="8.44140625" style="432" customWidth="1"/>
    <col min="4602" max="4602" width="11.5546875" style="432" bestFit="1" customWidth="1"/>
    <col min="4603" max="4603" width="11.33203125" style="432" customWidth="1"/>
    <col min="4604" max="4604" width="1.6640625" style="432" customWidth="1"/>
    <col min="4605" max="4605" width="9.109375" style="432"/>
    <col min="4606" max="4606" width="10.6640625" style="432" bestFit="1" customWidth="1"/>
    <col min="4607" max="4607" width="12.33203125" style="432" customWidth="1"/>
    <col min="4608" max="4608" width="1.109375" style="432" customWidth="1"/>
    <col min="4609" max="4610" width="9.109375" style="432"/>
    <col min="4611" max="4611" width="12" style="432" customWidth="1"/>
    <col min="4612" max="4612" width="1" style="432" customWidth="1"/>
    <col min="4613" max="4614" width="9.109375" style="432"/>
    <col min="4615" max="4615" width="12.109375" style="432" customWidth="1"/>
    <col min="4616" max="4616" width="1.109375" style="432" customWidth="1"/>
    <col min="4617" max="4617" width="9.109375" style="432"/>
    <col min="4618" max="4618" width="11" style="432" customWidth="1"/>
    <col min="4619" max="4619" width="13.109375" style="432" customWidth="1"/>
    <col min="4620" max="4620" width="1" style="432" customWidth="1"/>
    <col min="4621" max="4621" width="11.109375" style="432" customWidth="1"/>
    <col min="4622" max="4622" width="24" style="432" customWidth="1"/>
    <col min="4623" max="4847" width="9.109375" style="432"/>
    <col min="4848" max="4848" width="10.109375" style="432" bestFit="1" customWidth="1"/>
    <col min="4849" max="4849" width="24.88671875" style="432" bestFit="1" customWidth="1"/>
    <col min="4850" max="4850" width="8.5546875" style="432" customWidth="1"/>
    <col min="4851" max="4851" width="12.5546875" style="432" bestFit="1" customWidth="1"/>
    <col min="4852" max="4854" width="12" style="432" customWidth="1"/>
    <col min="4855" max="4855" width="12.5546875" style="432" customWidth="1"/>
    <col min="4856" max="4856" width="2.33203125" style="432" customWidth="1"/>
    <col min="4857" max="4857" width="8.44140625" style="432" customWidth="1"/>
    <col min="4858" max="4858" width="11.5546875" style="432" bestFit="1" customWidth="1"/>
    <col min="4859" max="4859" width="11.33203125" style="432" customWidth="1"/>
    <col min="4860" max="4860" width="1.6640625" style="432" customWidth="1"/>
    <col min="4861" max="4861" width="9.109375" style="432"/>
    <col min="4862" max="4862" width="10.6640625" style="432" bestFit="1" customWidth="1"/>
    <col min="4863" max="4863" width="12.33203125" style="432" customWidth="1"/>
    <col min="4864" max="4864" width="1.109375" style="432" customWidth="1"/>
    <col min="4865" max="4866" width="9.109375" style="432"/>
    <col min="4867" max="4867" width="12" style="432" customWidth="1"/>
    <col min="4868" max="4868" width="1" style="432" customWidth="1"/>
    <col min="4869" max="4870" width="9.109375" style="432"/>
    <col min="4871" max="4871" width="12.109375" style="432" customWidth="1"/>
    <col min="4872" max="4872" width="1.109375" style="432" customWidth="1"/>
    <col min="4873" max="4873" width="9.109375" style="432"/>
    <col min="4874" max="4874" width="11" style="432" customWidth="1"/>
    <col min="4875" max="4875" width="13.109375" style="432" customWidth="1"/>
    <col min="4876" max="4876" width="1" style="432" customWidth="1"/>
    <col min="4877" max="4877" width="11.109375" style="432" customWidth="1"/>
    <col min="4878" max="4878" width="24" style="432" customWidth="1"/>
    <col min="4879" max="5103" width="9.109375" style="432"/>
    <col min="5104" max="5104" width="10.109375" style="432" bestFit="1" customWidth="1"/>
    <col min="5105" max="5105" width="24.88671875" style="432" bestFit="1" customWidth="1"/>
    <col min="5106" max="5106" width="8.5546875" style="432" customWidth="1"/>
    <col min="5107" max="5107" width="12.5546875" style="432" bestFit="1" customWidth="1"/>
    <col min="5108" max="5110" width="12" style="432" customWidth="1"/>
    <col min="5111" max="5111" width="12.5546875" style="432" customWidth="1"/>
    <col min="5112" max="5112" width="2.33203125" style="432" customWidth="1"/>
    <col min="5113" max="5113" width="8.44140625" style="432" customWidth="1"/>
    <col min="5114" max="5114" width="11.5546875" style="432" bestFit="1" customWidth="1"/>
    <col min="5115" max="5115" width="11.33203125" style="432" customWidth="1"/>
    <col min="5116" max="5116" width="1.6640625" style="432" customWidth="1"/>
    <col min="5117" max="5117" width="9.109375" style="432"/>
    <col min="5118" max="5118" width="10.6640625" style="432" bestFit="1" customWidth="1"/>
    <col min="5119" max="5119" width="12.33203125" style="432" customWidth="1"/>
    <col min="5120" max="5120" width="1.109375" style="432" customWidth="1"/>
    <col min="5121" max="5122" width="9.109375" style="432"/>
    <col min="5123" max="5123" width="12" style="432" customWidth="1"/>
    <col min="5124" max="5124" width="1" style="432" customWidth="1"/>
    <col min="5125" max="5126" width="9.109375" style="432"/>
    <col min="5127" max="5127" width="12.109375" style="432" customWidth="1"/>
    <col min="5128" max="5128" width="1.109375" style="432" customWidth="1"/>
    <col min="5129" max="5129" width="9.109375" style="432"/>
    <col min="5130" max="5130" width="11" style="432" customWidth="1"/>
    <col min="5131" max="5131" width="13.109375" style="432" customWidth="1"/>
    <col min="5132" max="5132" width="1" style="432" customWidth="1"/>
    <col min="5133" max="5133" width="11.109375" style="432" customWidth="1"/>
    <col min="5134" max="5134" width="24" style="432" customWidth="1"/>
    <col min="5135" max="5359" width="9.109375" style="432"/>
    <col min="5360" max="5360" width="10.109375" style="432" bestFit="1" customWidth="1"/>
    <col min="5361" max="5361" width="24.88671875" style="432" bestFit="1" customWidth="1"/>
    <col min="5362" max="5362" width="8.5546875" style="432" customWidth="1"/>
    <col min="5363" max="5363" width="12.5546875" style="432" bestFit="1" customWidth="1"/>
    <col min="5364" max="5366" width="12" style="432" customWidth="1"/>
    <col min="5367" max="5367" width="12.5546875" style="432" customWidth="1"/>
    <col min="5368" max="5368" width="2.33203125" style="432" customWidth="1"/>
    <col min="5369" max="5369" width="8.44140625" style="432" customWidth="1"/>
    <col min="5370" max="5370" width="11.5546875" style="432" bestFit="1" customWidth="1"/>
    <col min="5371" max="5371" width="11.33203125" style="432" customWidth="1"/>
    <col min="5372" max="5372" width="1.6640625" style="432" customWidth="1"/>
    <col min="5373" max="5373" width="9.109375" style="432"/>
    <col min="5374" max="5374" width="10.6640625" style="432" bestFit="1" customWidth="1"/>
    <col min="5375" max="5375" width="12.33203125" style="432" customWidth="1"/>
    <col min="5376" max="5376" width="1.109375" style="432" customWidth="1"/>
    <col min="5377" max="5378" width="9.109375" style="432"/>
    <col min="5379" max="5379" width="12" style="432" customWidth="1"/>
    <col min="5380" max="5380" width="1" style="432" customWidth="1"/>
    <col min="5381" max="5382" width="9.109375" style="432"/>
    <col min="5383" max="5383" width="12.109375" style="432" customWidth="1"/>
    <col min="5384" max="5384" width="1.109375" style="432" customWidth="1"/>
    <col min="5385" max="5385" width="9.109375" style="432"/>
    <col min="5386" max="5386" width="11" style="432" customWidth="1"/>
    <col min="5387" max="5387" width="13.109375" style="432" customWidth="1"/>
    <col min="5388" max="5388" width="1" style="432" customWidth="1"/>
    <col min="5389" max="5389" width="11.109375" style="432" customWidth="1"/>
    <col min="5390" max="5390" width="24" style="432" customWidth="1"/>
    <col min="5391" max="5615" width="9.109375" style="432"/>
    <col min="5616" max="5616" width="10.109375" style="432" bestFit="1" customWidth="1"/>
    <col min="5617" max="5617" width="24.88671875" style="432" bestFit="1" customWidth="1"/>
    <col min="5618" max="5618" width="8.5546875" style="432" customWidth="1"/>
    <col min="5619" max="5619" width="12.5546875" style="432" bestFit="1" customWidth="1"/>
    <col min="5620" max="5622" width="12" style="432" customWidth="1"/>
    <col min="5623" max="5623" width="12.5546875" style="432" customWidth="1"/>
    <col min="5624" max="5624" width="2.33203125" style="432" customWidth="1"/>
    <col min="5625" max="5625" width="8.44140625" style="432" customWidth="1"/>
    <col min="5626" max="5626" width="11.5546875" style="432" bestFit="1" customWidth="1"/>
    <col min="5627" max="5627" width="11.33203125" style="432" customWidth="1"/>
    <col min="5628" max="5628" width="1.6640625" style="432" customWidth="1"/>
    <col min="5629" max="5629" width="9.109375" style="432"/>
    <col min="5630" max="5630" width="10.6640625" style="432" bestFit="1" customWidth="1"/>
    <col min="5631" max="5631" width="12.33203125" style="432" customWidth="1"/>
    <col min="5632" max="5632" width="1.109375" style="432" customWidth="1"/>
    <col min="5633" max="5634" width="9.109375" style="432"/>
    <col min="5635" max="5635" width="12" style="432" customWidth="1"/>
    <col min="5636" max="5636" width="1" style="432" customWidth="1"/>
    <col min="5637" max="5638" width="9.109375" style="432"/>
    <col min="5639" max="5639" width="12.109375" style="432" customWidth="1"/>
    <col min="5640" max="5640" width="1.109375" style="432" customWidth="1"/>
    <col min="5641" max="5641" width="9.109375" style="432"/>
    <col min="5642" max="5642" width="11" style="432" customWidth="1"/>
    <col min="5643" max="5643" width="13.109375" style="432" customWidth="1"/>
    <col min="5644" max="5644" width="1" style="432" customWidth="1"/>
    <col min="5645" max="5645" width="11.109375" style="432" customWidth="1"/>
    <col min="5646" max="5646" width="24" style="432" customWidth="1"/>
    <col min="5647" max="5871" width="9.109375" style="432"/>
    <col min="5872" max="5872" width="10.109375" style="432" bestFit="1" customWidth="1"/>
    <col min="5873" max="5873" width="24.88671875" style="432" bestFit="1" customWidth="1"/>
    <col min="5874" max="5874" width="8.5546875" style="432" customWidth="1"/>
    <col min="5875" max="5875" width="12.5546875" style="432" bestFit="1" customWidth="1"/>
    <col min="5876" max="5878" width="12" style="432" customWidth="1"/>
    <col min="5879" max="5879" width="12.5546875" style="432" customWidth="1"/>
    <col min="5880" max="5880" width="2.33203125" style="432" customWidth="1"/>
    <col min="5881" max="5881" width="8.44140625" style="432" customWidth="1"/>
    <col min="5882" max="5882" width="11.5546875" style="432" bestFit="1" customWidth="1"/>
    <col min="5883" max="5883" width="11.33203125" style="432" customWidth="1"/>
    <col min="5884" max="5884" width="1.6640625" style="432" customWidth="1"/>
    <col min="5885" max="5885" width="9.109375" style="432"/>
    <col min="5886" max="5886" width="10.6640625" style="432" bestFit="1" customWidth="1"/>
    <col min="5887" max="5887" width="12.33203125" style="432" customWidth="1"/>
    <col min="5888" max="5888" width="1.109375" style="432" customWidth="1"/>
    <col min="5889" max="5890" width="9.109375" style="432"/>
    <col min="5891" max="5891" width="12" style="432" customWidth="1"/>
    <col min="5892" max="5892" width="1" style="432" customWidth="1"/>
    <col min="5893" max="5894" width="9.109375" style="432"/>
    <col min="5895" max="5895" width="12.109375" style="432" customWidth="1"/>
    <col min="5896" max="5896" width="1.109375" style="432" customWidth="1"/>
    <col min="5897" max="5897" width="9.109375" style="432"/>
    <col min="5898" max="5898" width="11" style="432" customWidth="1"/>
    <col min="5899" max="5899" width="13.109375" style="432" customWidth="1"/>
    <col min="5900" max="5900" width="1" style="432" customWidth="1"/>
    <col min="5901" max="5901" width="11.109375" style="432" customWidth="1"/>
    <col min="5902" max="5902" width="24" style="432" customWidth="1"/>
    <col min="5903" max="6127" width="9.109375" style="432"/>
    <col min="6128" max="6128" width="10.109375" style="432" bestFit="1" customWidth="1"/>
    <col min="6129" max="6129" width="24.88671875" style="432" bestFit="1" customWidth="1"/>
    <col min="6130" max="6130" width="8.5546875" style="432" customWidth="1"/>
    <col min="6131" max="6131" width="12.5546875" style="432" bestFit="1" customWidth="1"/>
    <col min="6132" max="6134" width="12" style="432" customWidth="1"/>
    <col min="6135" max="6135" width="12.5546875" style="432" customWidth="1"/>
    <col min="6136" max="6136" width="2.33203125" style="432" customWidth="1"/>
    <col min="6137" max="6137" width="8.44140625" style="432" customWidth="1"/>
    <col min="6138" max="6138" width="11.5546875" style="432" bestFit="1" customWidth="1"/>
    <col min="6139" max="6139" width="11.33203125" style="432" customWidth="1"/>
    <col min="6140" max="6140" width="1.6640625" style="432" customWidth="1"/>
    <col min="6141" max="6141" width="9.109375" style="432"/>
    <col min="6142" max="6142" width="10.6640625" style="432" bestFit="1" customWidth="1"/>
    <col min="6143" max="6143" width="12.33203125" style="432" customWidth="1"/>
    <col min="6144" max="6144" width="1.109375" style="432" customWidth="1"/>
    <col min="6145" max="6146" width="9.109375" style="432"/>
    <col min="6147" max="6147" width="12" style="432" customWidth="1"/>
    <col min="6148" max="6148" width="1" style="432" customWidth="1"/>
    <col min="6149" max="6150" width="9.109375" style="432"/>
    <col min="6151" max="6151" width="12.109375" style="432" customWidth="1"/>
    <col min="6152" max="6152" width="1.109375" style="432" customWidth="1"/>
    <col min="6153" max="6153" width="9.109375" style="432"/>
    <col min="6154" max="6154" width="11" style="432" customWidth="1"/>
    <col min="6155" max="6155" width="13.109375" style="432" customWidth="1"/>
    <col min="6156" max="6156" width="1" style="432" customWidth="1"/>
    <col min="6157" max="6157" width="11.109375" style="432" customWidth="1"/>
    <col min="6158" max="6158" width="24" style="432" customWidth="1"/>
    <col min="6159" max="6383" width="9.109375" style="432"/>
    <col min="6384" max="6384" width="10.109375" style="432" bestFit="1" customWidth="1"/>
    <col min="6385" max="6385" width="24.88671875" style="432" bestFit="1" customWidth="1"/>
    <col min="6386" max="6386" width="8.5546875" style="432" customWidth="1"/>
    <col min="6387" max="6387" width="12.5546875" style="432" bestFit="1" customWidth="1"/>
    <col min="6388" max="6390" width="12" style="432" customWidth="1"/>
    <col min="6391" max="6391" width="12.5546875" style="432" customWidth="1"/>
    <col min="6392" max="6392" width="2.33203125" style="432" customWidth="1"/>
    <col min="6393" max="6393" width="8.44140625" style="432" customWidth="1"/>
    <col min="6394" max="6394" width="11.5546875" style="432" bestFit="1" customWidth="1"/>
    <col min="6395" max="6395" width="11.33203125" style="432" customWidth="1"/>
    <col min="6396" max="6396" width="1.6640625" style="432" customWidth="1"/>
    <col min="6397" max="6397" width="9.109375" style="432"/>
    <col min="6398" max="6398" width="10.6640625" style="432" bestFit="1" customWidth="1"/>
    <col min="6399" max="6399" width="12.33203125" style="432" customWidth="1"/>
    <col min="6400" max="6400" width="1.109375" style="432" customWidth="1"/>
    <col min="6401" max="6402" width="9.109375" style="432"/>
    <col min="6403" max="6403" width="12" style="432" customWidth="1"/>
    <col min="6404" max="6404" width="1" style="432" customWidth="1"/>
    <col min="6405" max="6406" width="9.109375" style="432"/>
    <col min="6407" max="6407" width="12.109375" style="432" customWidth="1"/>
    <col min="6408" max="6408" width="1.109375" style="432" customWidth="1"/>
    <col min="6409" max="6409" width="9.109375" style="432"/>
    <col min="6410" max="6410" width="11" style="432" customWidth="1"/>
    <col min="6411" max="6411" width="13.109375" style="432" customWidth="1"/>
    <col min="6412" max="6412" width="1" style="432" customWidth="1"/>
    <col min="6413" max="6413" width="11.109375" style="432" customWidth="1"/>
    <col min="6414" max="6414" width="24" style="432" customWidth="1"/>
    <col min="6415" max="6639" width="9.109375" style="432"/>
    <col min="6640" max="6640" width="10.109375" style="432" bestFit="1" customWidth="1"/>
    <col min="6641" max="6641" width="24.88671875" style="432" bestFit="1" customWidth="1"/>
    <col min="6642" max="6642" width="8.5546875" style="432" customWidth="1"/>
    <col min="6643" max="6643" width="12.5546875" style="432" bestFit="1" customWidth="1"/>
    <col min="6644" max="6646" width="12" style="432" customWidth="1"/>
    <col min="6647" max="6647" width="12.5546875" style="432" customWidth="1"/>
    <col min="6648" max="6648" width="2.33203125" style="432" customWidth="1"/>
    <col min="6649" max="6649" width="8.44140625" style="432" customWidth="1"/>
    <col min="6650" max="6650" width="11.5546875" style="432" bestFit="1" customWidth="1"/>
    <col min="6651" max="6651" width="11.33203125" style="432" customWidth="1"/>
    <col min="6652" max="6652" width="1.6640625" style="432" customWidth="1"/>
    <col min="6653" max="6653" width="9.109375" style="432"/>
    <col min="6654" max="6654" width="10.6640625" style="432" bestFit="1" customWidth="1"/>
    <col min="6655" max="6655" width="12.33203125" style="432" customWidth="1"/>
    <col min="6656" max="6656" width="1.109375" style="432" customWidth="1"/>
    <col min="6657" max="6658" width="9.109375" style="432"/>
    <col min="6659" max="6659" width="12" style="432" customWidth="1"/>
    <col min="6660" max="6660" width="1" style="432" customWidth="1"/>
    <col min="6661" max="6662" width="9.109375" style="432"/>
    <col min="6663" max="6663" width="12.109375" style="432" customWidth="1"/>
    <col min="6664" max="6664" width="1.109375" style="432" customWidth="1"/>
    <col min="6665" max="6665" width="9.109375" style="432"/>
    <col min="6666" max="6666" width="11" style="432" customWidth="1"/>
    <col min="6667" max="6667" width="13.109375" style="432" customWidth="1"/>
    <col min="6668" max="6668" width="1" style="432" customWidth="1"/>
    <col min="6669" max="6669" width="11.109375" style="432" customWidth="1"/>
    <col min="6670" max="6670" width="24" style="432" customWidth="1"/>
    <col min="6671" max="6895" width="9.109375" style="432"/>
    <col min="6896" max="6896" width="10.109375" style="432" bestFit="1" customWidth="1"/>
    <col min="6897" max="6897" width="24.88671875" style="432" bestFit="1" customWidth="1"/>
    <col min="6898" max="6898" width="8.5546875" style="432" customWidth="1"/>
    <col min="6899" max="6899" width="12.5546875" style="432" bestFit="1" customWidth="1"/>
    <col min="6900" max="6902" width="12" style="432" customWidth="1"/>
    <col min="6903" max="6903" width="12.5546875" style="432" customWidth="1"/>
    <col min="6904" max="6904" width="2.33203125" style="432" customWidth="1"/>
    <col min="6905" max="6905" width="8.44140625" style="432" customWidth="1"/>
    <col min="6906" max="6906" width="11.5546875" style="432" bestFit="1" customWidth="1"/>
    <col min="6907" max="6907" width="11.33203125" style="432" customWidth="1"/>
    <col min="6908" max="6908" width="1.6640625" style="432" customWidth="1"/>
    <col min="6909" max="6909" width="9.109375" style="432"/>
    <col min="6910" max="6910" width="10.6640625" style="432" bestFit="1" customWidth="1"/>
    <col min="6911" max="6911" width="12.33203125" style="432" customWidth="1"/>
    <col min="6912" max="6912" width="1.109375" style="432" customWidth="1"/>
    <col min="6913" max="6914" width="9.109375" style="432"/>
    <col min="6915" max="6915" width="12" style="432" customWidth="1"/>
    <col min="6916" max="6916" width="1" style="432" customWidth="1"/>
    <col min="6917" max="6918" width="9.109375" style="432"/>
    <col min="6919" max="6919" width="12.109375" style="432" customWidth="1"/>
    <col min="6920" max="6920" width="1.109375" style="432" customWidth="1"/>
    <col min="6921" max="6921" width="9.109375" style="432"/>
    <col min="6922" max="6922" width="11" style="432" customWidth="1"/>
    <col min="6923" max="6923" width="13.109375" style="432" customWidth="1"/>
    <col min="6924" max="6924" width="1" style="432" customWidth="1"/>
    <col min="6925" max="6925" width="11.109375" style="432" customWidth="1"/>
    <col min="6926" max="6926" width="24" style="432" customWidth="1"/>
    <col min="6927" max="7151" width="9.109375" style="432"/>
    <col min="7152" max="7152" width="10.109375" style="432" bestFit="1" customWidth="1"/>
    <col min="7153" max="7153" width="24.88671875" style="432" bestFit="1" customWidth="1"/>
    <col min="7154" max="7154" width="8.5546875" style="432" customWidth="1"/>
    <col min="7155" max="7155" width="12.5546875" style="432" bestFit="1" customWidth="1"/>
    <col min="7156" max="7158" width="12" style="432" customWidth="1"/>
    <col min="7159" max="7159" width="12.5546875" style="432" customWidth="1"/>
    <col min="7160" max="7160" width="2.33203125" style="432" customWidth="1"/>
    <col min="7161" max="7161" width="8.44140625" style="432" customWidth="1"/>
    <col min="7162" max="7162" width="11.5546875" style="432" bestFit="1" customWidth="1"/>
    <col min="7163" max="7163" width="11.33203125" style="432" customWidth="1"/>
    <col min="7164" max="7164" width="1.6640625" style="432" customWidth="1"/>
    <col min="7165" max="7165" width="9.109375" style="432"/>
    <col min="7166" max="7166" width="10.6640625" style="432" bestFit="1" customWidth="1"/>
    <col min="7167" max="7167" width="12.33203125" style="432" customWidth="1"/>
    <col min="7168" max="7168" width="1.109375" style="432" customWidth="1"/>
    <col min="7169" max="7170" width="9.109375" style="432"/>
    <col min="7171" max="7171" width="12" style="432" customWidth="1"/>
    <col min="7172" max="7172" width="1" style="432" customWidth="1"/>
    <col min="7173" max="7174" width="9.109375" style="432"/>
    <col min="7175" max="7175" width="12.109375" style="432" customWidth="1"/>
    <col min="7176" max="7176" width="1.109375" style="432" customWidth="1"/>
    <col min="7177" max="7177" width="9.109375" style="432"/>
    <col min="7178" max="7178" width="11" style="432" customWidth="1"/>
    <col min="7179" max="7179" width="13.109375" style="432" customWidth="1"/>
    <col min="7180" max="7180" width="1" style="432" customWidth="1"/>
    <col min="7181" max="7181" width="11.109375" style="432" customWidth="1"/>
    <col min="7182" max="7182" width="24" style="432" customWidth="1"/>
    <col min="7183" max="7407" width="9.109375" style="432"/>
    <col min="7408" max="7408" width="10.109375" style="432" bestFit="1" customWidth="1"/>
    <col min="7409" max="7409" width="24.88671875" style="432" bestFit="1" customWidth="1"/>
    <col min="7410" max="7410" width="8.5546875" style="432" customWidth="1"/>
    <col min="7411" max="7411" width="12.5546875" style="432" bestFit="1" customWidth="1"/>
    <col min="7412" max="7414" width="12" style="432" customWidth="1"/>
    <col min="7415" max="7415" width="12.5546875" style="432" customWidth="1"/>
    <col min="7416" max="7416" width="2.33203125" style="432" customWidth="1"/>
    <col min="7417" max="7417" width="8.44140625" style="432" customWidth="1"/>
    <col min="7418" max="7418" width="11.5546875" style="432" bestFit="1" customWidth="1"/>
    <col min="7419" max="7419" width="11.33203125" style="432" customWidth="1"/>
    <col min="7420" max="7420" width="1.6640625" style="432" customWidth="1"/>
    <col min="7421" max="7421" width="9.109375" style="432"/>
    <col min="7422" max="7422" width="10.6640625" style="432" bestFit="1" customWidth="1"/>
    <col min="7423" max="7423" width="12.33203125" style="432" customWidth="1"/>
    <col min="7424" max="7424" width="1.109375" style="432" customWidth="1"/>
    <col min="7425" max="7426" width="9.109375" style="432"/>
    <col min="7427" max="7427" width="12" style="432" customWidth="1"/>
    <col min="7428" max="7428" width="1" style="432" customWidth="1"/>
    <col min="7429" max="7430" width="9.109375" style="432"/>
    <col min="7431" max="7431" width="12.109375" style="432" customWidth="1"/>
    <col min="7432" max="7432" width="1.109375" style="432" customWidth="1"/>
    <col min="7433" max="7433" width="9.109375" style="432"/>
    <col min="7434" max="7434" width="11" style="432" customWidth="1"/>
    <col min="7435" max="7435" width="13.109375" style="432" customWidth="1"/>
    <col min="7436" max="7436" width="1" style="432" customWidth="1"/>
    <col min="7437" max="7437" width="11.109375" style="432" customWidth="1"/>
    <col min="7438" max="7438" width="24" style="432" customWidth="1"/>
    <col min="7439" max="7663" width="9.109375" style="432"/>
    <col min="7664" max="7664" width="10.109375" style="432" bestFit="1" customWidth="1"/>
    <col min="7665" max="7665" width="24.88671875" style="432" bestFit="1" customWidth="1"/>
    <col min="7666" max="7666" width="8.5546875" style="432" customWidth="1"/>
    <col min="7667" max="7667" width="12.5546875" style="432" bestFit="1" customWidth="1"/>
    <col min="7668" max="7670" width="12" style="432" customWidth="1"/>
    <col min="7671" max="7671" width="12.5546875" style="432" customWidth="1"/>
    <col min="7672" max="7672" width="2.33203125" style="432" customWidth="1"/>
    <col min="7673" max="7673" width="8.44140625" style="432" customWidth="1"/>
    <col min="7674" max="7674" width="11.5546875" style="432" bestFit="1" customWidth="1"/>
    <col min="7675" max="7675" width="11.33203125" style="432" customWidth="1"/>
    <col min="7676" max="7676" width="1.6640625" style="432" customWidth="1"/>
    <col min="7677" max="7677" width="9.109375" style="432"/>
    <col min="7678" max="7678" width="10.6640625" style="432" bestFit="1" customWidth="1"/>
    <col min="7679" max="7679" width="12.33203125" style="432" customWidth="1"/>
    <col min="7680" max="7680" width="1.109375" style="432" customWidth="1"/>
    <col min="7681" max="7682" width="9.109375" style="432"/>
    <col min="7683" max="7683" width="12" style="432" customWidth="1"/>
    <col min="7684" max="7684" width="1" style="432" customWidth="1"/>
    <col min="7685" max="7686" width="9.109375" style="432"/>
    <col min="7687" max="7687" width="12.109375" style="432" customWidth="1"/>
    <col min="7688" max="7688" width="1.109375" style="432" customWidth="1"/>
    <col min="7689" max="7689" width="9.109375" style="432"/>
    <col min="7690" max="7690" width="11" style="432" customWidth="1"/>
    <col min="7691" max="7691" width="13.109375" style="432" customWidth="1"/>
    <col min="7692" max="7692" width="1" style="432" customWidth="1"/>
    <col min="7693" max="7693" width="11.109375" style="432" customWidth="1"/>
    <col min="7694" max="7694" width="24" style="432" customWidth="1"/>
    <col min="7695" max="7919" width="9.109375" style="432"/>
    <col min="7920" max="7920" width="10.109375" style="432" bestFit="1" customWidth="1"/>
    <col min="7921" max="7921" width="24.88671875" style="432" bestFit="1" customWidth="1"/>
    <col min="7922" max="7922" width="8.5546875" style="432" customWidth="1"/>
    <col min="7923" max="7923" width="12.5546875" style="432" bestFit="1" customWidth="1"/>
    <col min="7924" max="7926" width="12" style="432" customWidth="1"/>
    <col min="7927" max="7927" width="12.5546875" style="432" customWidth="1"/>
    <col min="7928" max="7928" width="2.33203125" style="432" customWidth="1"/>
    <col min="7929" max="7929" width="8.44140625" style="432" customWidth="1"/>
    <col min="7930" max="7930" width="11.5546875" style="432" bestFit="1" customWidth="1"/>
    <col min="7931" max="7931" width="11.33203125" style="432" customWidth="1"/>
    <col min="7932" max="7932" width="1.6640625" style="432" customWidth="1"/>
    <col min="7933" max="7933" width="9.109375" style="432"/>
    <col min="7934" max="7934" width="10.6640625" style="432" bestFit="1" customWidth="1"/>
    <col min="7935" max="7935" width="12.33203125" style="432" customWidth="1"/>
    <col min="7936" max="7936" width="1.109375" style="432" customWidth="1"/>
    <col min="7937" max="7938" width="9.109375" style="432"/>
    <col min="7939" max="7939" width="12" style="432" customWidth="1"/>
    <col min="7940" max="7940" width="1" style="432" customWidth="1"/>
    <col min="7941" max="7942" width="9.109375" style="432"/>
    <col min="7943" max="7943" width="12.109375" style="432" customWidth="1"/>
    <col min="7944" max="7944" width="1.109375" style="432" customWidth="1"/>
    <col min="7945" max="7945" width="9.109375" style="432"/>
    <col min="7946" max="7946" width="11" style="432" customWidth="1"/>
    <col min="7947" max="7947" width="13.109375" style="432" customWidth="1"/>
    <col min="7948" max="7948" width="1" style="432" customWidth="1"/>
    <col min="7949" max="7949" width="11.109375" style="432" customWidth="1"/>
    <col min="7950" max="7950" width="24" style="432" customWidth="1"/>
    <col min="7951" max="8175" width="9.109375" style="432"/>
    <col min="8176" max="8176" width="10.109375" style="432" bestFit="1" customWidth="1"/>
    <col min="8177" max="8177" width="24.88671875" style="432" bestFit="1" customWidth="1"/>
    <col min="8178" max="8178" width="8.5546875" style="432" customWidth="1"/>
    <col min="8179" max="8179" width="12.5546875" style="432" bestFit="1" customWidth="1"/>
    <col min="8180" max="8182" width="12" style="432" customWidth="1"/>
    <col min="8183" max="8183" width="12.5546875" style="432" customWidth="1"/>
    <col min="8184" max="8184" width="2.33203125" style="432" customWidth="1"/>
    <col min="8185" max="8185" width="8.44140625" style="432" customWidth="1"/>
    <col min="8186" max="8186" width="11.5546875" style="432" bestFit="1" customWidth="1"/>
    <col min="8187" max="8187" width="11.33203125" style="432" customWidth="1"/>
    <col min="8188" max="8188" width="1.6640625" style="432" customWidth="1"/>
    <col min="8189" max="8189" width="9.109375" style="432"/>
    <col min="8190" max="8190" width="10.6640625" style="432" bestFit="1" customWidth="1"/>
    <col min="8191" max="8191" width="12.33203125" style="432" customWidth="1"/>
    <col min="8192" max="8192" width="1.109375" style="432" customWidth="1"/>
    <col min="8193" max="8194" width="9.109375" style="432"/>
    <col min="8195" max="8195" width="12" style="432" customWidth="1"/>
    <col min="8196" max="8196" width="1" style="432" customWidth="1"/>
    <col min="8197" max="8198" width="9.109375" style="432"/>
    <col min="8199" max="8199" width="12.109375" style="432" customWidth="1"/>
    <col min="8200" max="8200" width="1.109375" style="432" customWidth="1"/>
    <col min="8201" max="8201" width="9.109375" style="432"/>
    <col min="8202" max="8202" width="11" style="432" customWidth="1"/>
    <col min="8203" max="8203" width="13.109375" style="432" customWidth="1"/>
    <col min="8204" max="8204" width="1" style="432" customWidth="1"/>
    <col min="8205" max="8205" width="11.109375" style="432" customWidth="1"/>
    <col min="8206" max="8206" width="24" style="432" customWidth="1"/>
    <col min="8207" max="8431" width="9.109375" style="432"/>
    <col min="8432" max="8432" width="10.109375" style="432" bestFit="1" customWidth="1"/>
    <col min="8433" max="8433" width="24.88671875" style="432" bestFit="1" customWidth="1"/>
    <col min="8434" max="8434" width="8.5546875" style="432" customWidth="1"/>
    <col min="8435" max="8435" width="12.5546875" style="432" bestFit="1" customWidth="1"/>
    <col min="8436" max="8438" width="12" style="432" customWidth="1"/>
    <col min="8439" max="8439" width="12.5546875" style="432" customWidth="1"/>
    <col min="8440" max="8440" width="2.33203125" style="432" customWidth="1"/>
    <col min="8441" max="8441" width="8.44140625" style="432" customWidth="1"/>
    <col min="8442" max="8442" width="11.5546875" style="432" bestFit="1" customWidth="1"/>
    <col min="8443" max="8443" width="11.33203125" style="432" customWidth="1"/>
    <col min="8444" max="8444" width="1.6640625" style="432" customWidth="1"/>
    <col min="8445" max="8445" width="9.109375" style="432"/>
    <col min="8446" max="8446" width="10.6640625" style="432" bestFit="1" customWidth="1"/>
    <col min="8447" max="8447" width="12.33203125" style="432" customWidth="1"/>
    <col min="8448" max="8448" width="1.109375" style="432" customWidth="1"/>
    <col min="8449" max="8450" width="9.109375" style="432"/>
    <col min="8451" max="8451" width="12" style="432" customWidth="1"/>
    <col min="8452" max="8452" width="1" style="432" customWidth="1"/>
    <col min="8453" max="8454" width="9.109375" style="432"/>
    <col min="8455" max="8455" width="12.109375" style="432" customWidth="1"/>
    <col min="8456" max="8456" width="1.109375" style="432" customWidth="1"/>
    <col min="8457" max="8457" width="9.109375" style="432"/>
    <col min="8458" max="8458" width="11" style="432" customWidth="1"/>
    <col min="8459" max="8459" width="13.109375" style="432" customWidth="1"/>
    <col min="8460" max="8460" width="1" style="432" customWidth="1"/>
    <col min="8461" max="8461" width="11.109375" style="432" customWidth="1"/>
    <col min="8462" max="8462" width="24" style="432" customWidth="1"/>
    <col min="8463" max="8687" width="9.109375" style="432"/>
    <col min="8688" max="8688" width="10.109375" style="432" bestFit="1" customWidth="1"/>
    <col min="8689" max="8689" width="24.88671875" style="432" bestFit="1" customWidth="1"/>
    <col min="8690" max="8690" width="8.5546875" style="432" customWidth="1"/>
    <col min="8691" max="8691" width="12.5546875" style="432" bestFit="1" customWidth="1"/>
    <col min="8692" max="8694" width="12" style="432" customWidth="1"/>
    <col min="8695" max="8695" width="12.5546875" style="432" customWidth="1"/>
    <col min="8696" max="8696" width="2.33203125" style="432" customWidth="1"/>
    <col min="8697" max="8697" width="8.44140625" style="432" customWidth="1"/>
    <col min="8698" max="8698" width="11.5546875" style="432" bestFit="1" customWidth="1"/>
    <col min="8699" max="8699" width="11.33203125" style="432" customWidth="1"/>
    <col min="8700" max="8700" width="1.6640625" style="432" customWidth="1"/>
    <col min="8701" max="8701" width="9.109375" style="432"/>
    <col min="8702" max="8702" width="10.6640625" style="432" bestFit="1" customWidth="1"/>
    <col min="8703" max="8703" width="12.33203125" style="432" customWidth="1"/>
    <col min="8704" max="8704" width="1.109375" style="432" customWidth="1"/>
    <col min="8705" max="8706" width="9.109375" style="432"/>
    <col min="8707" max="8707" width="12" style="432" customWidth="1"/>
    <col min="8708" max="8708" width="1" style="432" customWidth="1"/>
    <col min="8709" max="8710" width="9.109375" style="432"/>
    <col min="8711" max="8711" width="12.109375" style="432" customWidth="1"/>
    <col min="8712" max="8712" width="1.109375" style="432" customWidth="1"/>
    <col min="8713" max="8713" width="9.109375" style="432"/>
    <col min="8714" max="8714" width="11" style="432" customWidth="1"/>
    <col min="8715" max="8715" width="13.109375" style="432" customWidth="1"/>
    <col min="8716" max="8716" width="1" style="432" customWidth="1"/>
    <col min="8717" max="8717" width="11.109375" style="432" customWidth="1"/>
    <col min="8718" max="8718" width="24" style="432" customWidth="1"/>
    <col min="8719" max="8943" width="9.109375" style="432"/>
    <col min="8944" max="8944" width="10.109375" style="432" bestFit="1" customWidth="1"/>
    <col min="8945" max="8945" width="24.88671875" style="432" bestFit="1" customWidth="1"/>
    <col min="8946" max="8946" width="8.5546875" style="432" customWidth="1"/>
    <col min="8947" max="8947" width="12.5546875" style="432" bestFit="1" customWidth="1"/>
    <col min="8948" max="8950" width="12" style="432" customWidth="1"/>
    <col min="8951" max="8951" width="12.5546875" style="432" customWidth="1"/>
    <col min="8952" max="8952" width="2.33203125" style="432" customWidth="1"/>
    <col min="8953" max="8953" width="8.44140625" style="432" customWidth="1"/>
    <col min="8954" max="8954" width="11.5546875" style="432" bestFit="1" customWidth="1"/>
    <col min="8955" max="8955" width="11.33203125" style="432" customWidth="1"/>
    <col min="8956" max="8956" width="1.6640625" style="432" customWidth="1"/>
    <col min="8957" max="8957" width="9.109375" style="432"/>
    <col min="8958" max="8958" width="10.6640625" style="432" bestFit="1" customWidth="1"/>
    <col min="8959" max="8959" width="12.33203125" style="432" customWidth="1"/>
    <col min="8960" max="8960" width="1.109375" style="432" customWidth="1"/>
    <col min="8961" max="8962" width="9.109375" style="432"/>
    <col min="8963" max="8963" width="12" style="432" customWidth="1"/>
    <col min="8964" max="8964" width="1" style="432" customWidth="1"/>
    <col min="8965" max="8966" width="9.109375" style="432"/>
    <col min="8967" max="8967" width="12.109375" style="432" customWidth="1"/>
    <col min="8968" max="8968" width="1.109375" style="432" customWidth="1"/>
    <col min="8969" max="8969" width="9.109375" style="432"/>
    <col min="8970" max="8970" width="11" style="432" customWidth="1"/>
    <col min="8971" max="8971" width="13.109375" style="432" customWidth="1"/>
    <col min="8972" max="8972" width="1" style="432" customWidth="1"/>
    <col min="8973" max="8973" width="11.109375" style="432" customWidth="1"/>
    <col min="8974" max="8974" width="24" style="432" customWidth="1"/>
    <col min="8975" max="9199" width="9.109375" style="432"/>
    <col min="9200" max="9200" width="10.109375" style="432" bestFit="1" customWidth="1"/>
    <col min="9201" max="9201" width="24.88671875" style="432" bestFit="1" customWidth="1"/>
    <col min="9202" max="9202" width="8.5546875" style="432" customWidth="1"/>
    <col min="9203" max="9203" width="12.5546875" style="432" bestFit="1" customWidth="1"/>
    <col min="9204" max="9206" width="12" style="432" customWidth="1"/>
    <col min="9207" max="9207" width="12.5546875" style="432" customWidth="1"/>
    <col min="9208" max="9208" width="2.33203125" style="432" customWidth="1"/>
    <col min="9209" max="9209" width="8.44140625" style="432" customWidth="1"/>
    <col min="9210" max="9210" width="11.5546875" style="432" bestFit="1" customWidth="1"/>
    <col min="9211" max="9211" width="11.33203125" style="432" customWidth="1"/>
    <col min="9212" max="9212" width="1.6640625" style="432" customWidth="1"/>
    <col min="9213" max="9213" width="9.109375" style="432"/>
    <col min="9214" max="9214" width="10.6640625" style="432" bestFit="1" customWidth="1"/>
    <col min="9215" max="9215" width="12.33203125" style="432" customWidth="1"/>
    <col min="9216" max="9216" width="1.109375" style="432" customWidth="1"/>
    <col min="9217" max="9218" width="9.109375" style="432"/>
    <col min="9219" max="9219" width="12" style="432" customWidth="1"/>
    <col min="9220" max="9220" width="1" style="432" customWidth="1"/>
    <col min="9221" max="9222" width="9.109375" style="432"/>
    <col min="9223" max="9223" width="12.109375" style="432" customWidth="1"/>
    <col min="9224" max="9224" width="1.109375" style="432" customWidth="1"/>
    <col min="9225" max="9225" width="9.109375" style="432"/>
    <col min="9226" max="9226" width="11" style="432" customWidth="1"/>
    <col min="9227" max="9227" width="13.109375" style="432" customWidth="1"/>
    <col min="9228" max="9228" width="1" style="432" customWidth="1"/>
    <col min="9229" max="9229" width="11.109375" style="432" customWidth="1"/>
    <col min="9230" max="9230" width="24" style="432" customWidth="1"/>
    <col min="9231" max="9455" width="9.109375" style="432"/>
    <col min="9456" max="9456" width="10.109375" style="432" bestFit="1" customWidth="1"/>
    <col min="9457" max="9457" width="24.88671875" style="432" bestFit="1" customWidth="1"/>
    <col min="9458" max="9458" width="8.5546875" style="432" customWidth="1"/>
    <col min="9459" max="9459" width="12.5546875" style="432" bestFit="1" customWidth="1"/>
    <col min="9460" max="9462" width="12" style="432" customWidth="1"/>
    <col min="9463" max="9463" width="12.5546875" style="432" customWidth="1"/>
    <col min="9464" max="9464" width="2.33203125" style="432" customWidth="1"/>
    <col min="9465" max="9465" width="8.44140625" style="432" customWidth="1"/>
    <col min="9466" max="9466" width="11.5546875" style="432" bestFit="1" customWidth="1"/>
    <col min="9467" max="9467" width="11.33203125" style="432" customWidth="1"/>
    <col min="9468" max="9468" width="1.6640625" style="432" customWidth="1"/>
    <col min="9469" max="9469" width="9.109375" style="432"/>
    <col min="9470" max="9470" width="10.6640625" style="432" bestFit="1" customWidth="1"/>
    <col min="9471" max="9471" width="12.33203125" style="432" customWidth="1"/>
    <col min="9472" max="9472" width="1.109375" style="432" customWidth="1"/>
    <col min="9473" max="9474" width="9.109375" style="432"/>
    <col min="9475" max="9475" width="12" style="432" customWidth="1"/>
    <col min="9476" max="9476" width="1" style="432" customWidth="1"/>
    <col min="9477" max="9478" width="9.109375" style="432"/>
    <col min="9479" max="9479" width="12.109375" style="432" customWidth="1"/>
    <col min="9480" max="9480" width="1.109375" style="432" customWidth="1"/>
    <col min="9481" max="9481" width="9.109375" style="432"/>
    <col min="9482" max="9482" width="11" style="432" customWidth="1"/>
    <col min="9483" max="9483" width="13.109375" style="432" customWidth="1"/>
    <col min="9484" max="9484" width="1" style="432" customWidth="1"/>
    <col min="9485" max="9485" width="11.109375" style="432" customWidth="1"/>
    <col min="9486" max="9486" width="24" style="432" customWidth="1"/>
    <col min="9487" max="9711" width="9.109375" style="432"/>
    <col min="9712" max="9712" width="10.109375" style="432" bestFit="1" customWidth="1"/>
    <col min="9713" max="9713" width="24.88671875" style="432" bestFit="1" customWidth="1"/>
    <col min="9714" max="9714" width="8.5546875" style="432" customWidth="1"/>
    <col min="9715" max="9715" width="12.5546875" style="432" bestFit="1" customWidth="1"/>
    <col min="9716" max="9718" width="12" style="432" customWidth="1"/>
    <col min="9719" max="9719" width="12.5546875" style="432" customWidth="1"/>
    <col min="9720" max="9720" width="2.33203125" style="432" customWidth="1"/>
    <col min="9721" max="9721" width="8.44140625" style="432" customWidth="1"/>
    <col min="9722" max="9722" width="11.5546875" style="432" bestFit="1" customWidth="1"/>
    <col min="9723" max="9723" width="11.33203125" style="432" customWidth="1"/>
    <col min="9724" max="9724" width="1.6640625" style="432" customWidth="1"/>
    <col min="9725" max="9725" width="9.109375" style="432"/>
    <col min="9726" max="9726" width="10.6640625" style="432" bestFit="1" customWidth="1"/>
    <col min="9727" max="9727" width="12.33203125" style="432" customWidth="1"/>
    <col min="9728" max="9728" width="1.109375" style="432" customWidth="1"/>
    <col min="9729" max="9730" width="9.109375" style="432"/>
    <col min="9731" max="9731" width="12" style="432" customWidth="1"/>
    <col min="9732" max="9732" width="1" style="432" customWidth="1"/>
    <col min="9733" max="9734" width="9.109375" style="432"/>
    <col min="9735" max="9735" width="12.109375" style="432" customWidth="1"/>
    <col min="9736" max="9736" width="1.109375" style="432" customWidth="1"/>
    <col min="9737" max="9737" width="9.109375" style="432"/>
    <col min="9738" max="9738" width="11" style="432" customWidth="1"/>
    <col min="9739" max="9739" width="13.109375" style="432" customWidth="1"/>
    <col min="9740" max="9740" width="1" style="432" customWidth="1"/>
    <col min="9741" max="9741" width="11.109375" style="432" customWidth="1"/>
    <col min="9742" max="9742" width="24" style="432" customWidth="1"/>
    <col min="9743" max="9967" width="9.109375" style="432"/>
    <col min="9968" max="9968" width="10.109375" style="432" bestFit="1" customWidth="1"/>
    <col min="9969" max="9969" width="24.88671875" style="432" bestFit="1" customWidth="1"/>
    <col min="9970" max="9970" width="8.5546875" style="432" customWidth="1"/>
    <col min="9971" max="9971" width="12.5546875" style="432" bestFit="1" customWidth="1"/>
    <col min="9972" max="9974" width="12" style="432" customWidth="1"/>
    <col min="9975" max="9975" width="12.5546875" style="432" customWidth="1"/>
    <col min="9976" max="9976" width="2.33203125" style="432" customWidth="1"/>
    <col min="9977" max="9977" width="8.44140625" style="432" customWidth="1"/>
    <col min="9978" max="9978" width="11.5546875" style="432" bestFit="1" customWidth="1"/>
    <col min="9979" max="9979" width="11.33203125" style="432" customWidth="1"/>
    <col min="9980" max="9980" width="1.6640625" style="432" customWidth="1"/>
    <col min="9981" max="9981" width="9.109375" style="432"/>
    <col min="9982" max="9982" width="10.6640625" style="432" bestFit="1" customWidth="1"/>
    <col min="9983" max="9983" width="12.33203125" style="432" customWidth="1"/>
    <col min="9984" max="9984" width="1.109375" style="432" customWidth="1"/>
    <col min="9985" max="9986" width="9.109375" style="432"/>
    <col min="9987" max="9987" width="12" style="432" customWidth="1"/>
    <col min="9988" max="9988" width="1" style="432" customWidth="1"/>
    <col min="9989" max="9990" width="9.109375" style="432"/>
    <col min="9991" max="9991" width="12.109375" style="432" customWidth="1"/>
    <col min="9992" max="9992" width="1.109375" style="432" customWidth="1"/>
    <col min="9993" max="9993" width="9.109375" style="432"/>
    <col min="9994" max="9994" width="11" style="432" customWidth="1"/>
    <col min="9995" max="9995" width="13.109375" style="432" customWidth="1"/>
    <col min="9996" max="9996" width="1" style="432" customWidth="1"/>
    <col min="9997" max="9997" width="11.109375" style="432" customWidth="1"/>
    <col min="9998" max="9998" width="24" style="432" customWidth="1"/>
    <col min="9999" max="10223" width="9.109375" style="432"/>
    <col min="10224" max="10224" width="10.109375" style="432" bestFit="1" customWidth="1"/>
    <col min="10225" max="10225" width="24.88671875" style="432" bestFit="1" customWidth="1"/>
    <col min="10226" max="10226" width="8.5546875" style="432" customWidth="1"/>
    <col min="10227" max="10227" width="12.5546875" style="432" bestFit="1" customWidth="1"/>
    <col min="10228" max="10230" width="12" style="432" customWidth="1"/>
    <col min="10231" max="10231" width="12.5546875" style="432" customWidth="1"/>
    <col min="10232" max="10232" width="2.33203125" style="432" customWidth="1"/>
    <col min="10233" max="10233" width="8.44140625" style="432" customWidth="1"/>
    <col min="10234" max="10234" width="11.5546875" style="432" bestFit="1" customWidth="1"/>
    <col min="10235" max="10235" width="11.33203125" style="432" customWidth="1"/>
    <col min="10236" max="10236" width="1.6640625" style="432" customWidth="1"/>
    <col min="10237" max="10237" width="9.109375" style="432"/>
    <col min="10238" max="10238" width="10.6640625" style="432" bestFit="1" customWidth="1"/>
    <col min="10239" max="10239" width="12.33203125" style="432" customWidth="1"/>
    <col min="10240" max="10240" width="1.109375" style="432" customWidth="1"/>
    <col min="10241" max="10242" width="9.109375" style="432"/>
    <col min="10243" max="10243" width="12" style="432" customWidth="1"/>
    <col min="10244" max="10244" width="1" style="432" customWidth="1"/>
    <col min="10245" max="10246" width="9.109375" style="432"/>
    <col min="10247" max="10247" width="12.109375" style="432" customWidth="1"/>
    <col min="10248" max="10248" width="1.109375" style="432" customWidth="1"/>
    <col min="10249" max="10249" width="9.109375" style="432"/>
    <col min="10250" max="10250" width="11" style="432" customWidth="1"/>
    <col min="10251" max="10251" width="13.109375" style="432" customWidth="1"/>
    <col min="10252" max="10252" width="1" style="432" customWidth="1"/>
    <col min="10253" max="10253" width="11.109375" style="432" customWidth="1"/>
    <col min="10254" max="10254" width="24" style="432" customWidth="1"/>
    <col min="10255" max="10479" width="9.109375" style="432"/>
    <col min="10480" max="10480" width="10.109375" style="432" bestFit="1" customWidth="1"/>
    <col min="10481" max="10481" width="24.88671875" style="432" bestFit="1" customWidth="1"/>
    <col min="10482" max="10482" width="8.5546875" style="432" customWidth="1"/>
    <col min="10483" max="10483" width="12.5546875" style="432" bestFit="1" customWidth="1"/>
    <col min="10484" max="10486" width="12" style="432" customWidth="1"/>
    <col min="10487" max="10487" width="12.5546875" style="432" customWidth="1"/>
    <col min="10488" max="10488" width="2.33203125" style="432" customWidth="1"/>
    <col min="10489" max="10489" width="8.44140625" style="432" customWidth="1"/>
    <col min="10490" max="10490" width="11.5546875" style="432" bestFit="1" customWidth="1"/>
    <col min="10491" max="10491" width="11.33203125" style="432" customWidth="1"/>
    <col min="10492" max="10492" width="1.6640625" style="432" customWidth="1"/>
    <col min="10493" max="10493" width="9.109375" style="432"/>
    <col min="10494" max="10494" width="10.6640625" style="432" bestFit="1" customWidth="1"/>
    <col min="10495" max="10495" width="12.33203125" style="432" customWidth="1"/>
    <col min="10496" max="10496" width="1.109375" style="432" customWidth="1"/>
    <col min="10497" max="10498" width="9.109375" style="432"/>
    <col min="10499" max="10499" width="12" style="432" customWidth="1"/>
    <col min="10500" max="10500" width="1" style="432" customWidth="1"/>
    <col min="10501" max="10502" width="9.109375" style="432"/>
    <col min="10503" max="10503" width="12.109375" style="432" customWidth="1"/>
    <col min="10504" max="10504" width="1.109375" style="432" customWidth="1"/>
    <col min="10505" max="10505" width="9.109375" style="432"/>
    <col min="10506" max="10506" width="11" style="432" customWidth="1"/>
    <col min="10507" max="10507" width="13.109375" style="432" customWidth="1"/>
    <col min="10508" max="10508" width="1" style="432" customWidth="1"/>
    <col min="10509" max="10509" width="11.109375" style="432" customWidth="1"/>
    <col min="10510" max="10510" width="24" style="432" customWidth="1"/>
    <col min="10511" max="10735" width="9.109375" style="432"/>
    <col min="10736" max="10736" width="10.109375" style="432" bestFit="1" customWidth="1"/>
    <col min="10737" max="10737" width="24.88671875" style="432" bestFit="1" customWidth="1"/>
    <col min="10738" max="10738" width="8.5546875" style="432" customWidth="1"/>
    <col min="10739" max="10739" width="12.5546875" style="432" bestFit="1" customWidth="1"/>
    <col min="10740" max="10742" width="12" style="432" customWidth="1"/>
    <col min="10743" max="10743" width="12.5546875" style="432" customWidth="1"/>
    <col min="10744" max="10744" width="2.33203125" style="432" customWidth="1"/>
    <col min="10745" max="10745" width="8.44140625" style="432" customWidth="1"/>
    <col min="10746" max="10746" width="11.5546875" style="432" bestFit="1" customWidth="1"/>
    <col min="10747" max="10747" width="11.33203125" style="432" customWidth="1"/>
    <col min="10748" max="10748" width="1.6640625" style="432" customWidth="1"/>
    <col min="10749" max="10749" width="9.109375" style="432"/>
    <col min="10750" max="10750" width="10.6640625" style="432" bestFit="1" customWidth="1"/>
    <col min="10751" max="10751" width="12.33203125" style="432" customWidth="1"/>
    <col min="10752" max="10752" width="1.109375" style="432" customWidth="1"/>
    <col min="10753" max="10754" width="9.109375" style="432"/>
    <col min="10755" max="10755" width="12" style="432" customWidth="1"/>
    <col min="10756" max="10756" width="1" style="432" customWidth="1"/>
    <col min="10757" max="10758" width="9.109375" style="432"/>
    <col min="10759" max="10759" width="12.109375" style="432" customWidth="1"/>
    <col min="10760" max="10760" width="1.109375" style="432" customWidth="1"/>
    <col min="10761" max="10761" width="9.109375" style="432"/>
    <col min="10762" max="10762" width="11" style="432" customWidth="1"/>
    <col min="10763" max="10763" width="13.109375" style="432" customWidth="1"/>
    <col min="10764" max="10764" width="1" style="432" customWidth="1"/>
    <col min="10765" max="10765" width="11.109375" style="432" customWidth="1"/>
    <col min="10766" max="10766" width="24" style="432" customWidth="1"/>
    <col min="10767" max="10991" width="9.109375" style="432"/>
    <col min="10992" max="10992" width="10.109375" style="432" bestFit="1" customWidth="1"/>
    <col min="10993" max="10993" width="24.88671875" style="432" bestFit="1" customWidth="1"/>
    <col min="10994" max="10994" width="8.5546875" style="432" customWidth="1"/>
    <col min="10995" max="10995" width="12.5546875" style="432" bestFit="1" customWidth="1"/>
    <col min="10996" max="10998" width="12" style="432" customWidth="1"/>
    <col min="10999" max="10999" width="12.5546875" style="432" customWidth="1"/>
    <col min="11000" max="11000" width="2.33203125" style="432" customWidth="1"/>
    <col min="11001" max="11001" width="8.44140625" style="432" customWidth="1"/>
    <col min="11002" max="11002" width="11.5546875" style="432" bestFit="1" customWidth="1"/>
    <col min="11003" max="11003" width="11.33203125" style="432" customWidth="1"/>
    <col min="11004" max="11004" width="1.6640625" style="432" customWidth="1"/>
    <col min="11005" max="11005" width="9.109375" style="432"/>
    <col min="11006" max="11006" width="10.6640625" style="432" bestFit="1" customWidth="1"/>
    <col min="11007" max="11007" width="12.33203125" style="432" customWidth="1"/>
    <col min="11008" max="11008" width="1.109375" style="432" customWidth="1"/>
    <col min="11009" max="11010" width="9.109375" style="432"/>
    <col min="11011" max="11011" width="12" style="432" customWidth="1"/>
    <col min="11012" max="11012" width="1" style="432" customWidth="1"/>
    <col min="11013" max="11014" width="9.109375" style="432"/>
    <col min="11015" max="11015" width="12.109375" style="432" customWidth="1"/>
    <col min="11016" max="11016" width="1.109375" style="432" customWidth="1"/>
    <col min="11017" max="11017" width="9.109375" style="432"/>
    <col min="11018" max="11018" width="11" style="432" customWidth="1"/>
    <col min="11019" max="11019" width="13.109375" style="432" customWidth="1"/>
    <col min="11020" max="11020" width="1" style="432" customWidth="1"/>
    <col min="11021" max="11021" width="11.109375" style="432" customWidth="1"/>
    <col min="11022" max="11022" width="24" style="432" customWidth="1"/>
    <col min="11023" max="11247" width="9.109375" style="432"/>
    <col min="11248" max="11248" width="10.109375" style="432" bestFit="1" customWidth="1"/>
    <col min="11249" max="11249" width="24.88671875" style="432" bestFit="1" customWidth="1"/>
    <col min="11250" max="11250" width="8.5546875" style="432" customWidth="1"/>
    <col min="11251" max="11251" width="12.5546875" style="432" bestFit="1" customWidth="1"/>
    <col min="11252" max="11254" width="12" style="432" customWidth="1"/>
    <col min="11255" max="11255" width="12.5546875" style="432" customWidth="1"/>
    <col min="11256" max="11256" width="2.33203125" style="432" customWidth="1"/>
    <col min="11257" max="11257" width="8.44140625" style="432" customWidth="1"/>
    <col min="11258" max="11258" width="11.5546875" style="432" bestFit="1" customWidth="1"/>
    <col min="11259" max="11259" width="11.33203125" style="432" customWidth="1"/>
    <col min="11260" max="11260" width="1.6640625" style="432" customWidth="1"/>
    <col min="11261" max="11261" width="9.109375" style="432"/>
    <col min="11262" max="11262" width="10.6640625" style="432" bestFit="1" customWidth="1"/>
    <col min="11263" max="11263" width="12.33203125" style="432" customWidth="1"/>
    <col min="11264" max="11264" width="1.109375" style="432" customWidth="1"/>
    <col min="11265" max="11266" width="9.109375" style="432"/>
    <col min="11267" max="11267" width="12" style="432" customWidth="1"/>
    <col min="11268" max="11268" width="1" style="432" customWidth="1"/>
    <col min="11269" max="11270" width="9.109375" style="432"/>
    <col min="11271" max="11271" width="12.109375" style="432" customWidth="1"/>
    <col min="11272" max="11272" width="1.109375" style="432" customWidth="1"/>
    <col min="11273" max="11273" width="9.109375" style="432"/>
    <col min="11274" max="11274" width="11" style="432" customWidth="1"/>
    <col min="11275" max="11275" width="13.109375" style="432" customWidth="1"/>
    <col min="11276" max="11276" width="1" style="432" customWidth="1"/>
    <col min="11277" max="11277" width="11.109375" style="432" customWidth="1"/>
    <col min="11278" max="11278" width="24" style="432" customWidth="1"/>
    <col min="11279" max="11503" width="9.109375" style="432"/>
    <col min="11504" max="11504" width="10.109375" style="432" bestFit="1" customWidth="1"/>
    <col min="11505" max="11505" width="24.88671875" style="432" bestFit="1" customWidth="1"/>
    <col min="11506" max="11506" width="8.5546875" style="432" customWidth="1"/>
    <col min="11507" max="11507" width="12.5546875" style="432" bestFit="1" customWidth="1"/>
    <col min="11508" max="11510" width="12" style="432" customWidth="1"/>
    <col min="11511" max="11511" width="12.5546875" style="432" customWidth="1"/>
    <col min="11512" max="11512" width="2.33203125" style="432" customWidth="1"/>
    <col min="11513" max="11513" width="8.44140625" style="432" customWidth="1"/>
    <col min="11514" max="11514" width="11.5546875" style="432" bestFit="1" customWidth="1"/>
    <col min="11515" max="11515" width="11.33203125" style="432" customWidth="1"/>
    <col min="11516" max="11516" width="1.6640625" style="432" customWidth="1"/>
    <col min="11517" max="11517" width="9.109375" style="432"/>
    <col min="11518" max="11518" width="10.6640625" style="432" bestFit="1" customWidth="1"/>
    <col min="11519" max="11519" width="12.33203125" style="432" customWidth="1"/>
    <col min="11520" max="11520" width="1.109375" style="432" customWidth="1"/>
    <col min="11521" max="11522" width="9.109375" style="432"/>
    <col min="11523" max="11523" width="12" style="432" customWidth="1"/>
    <col min="11524" max="11524" width="1" style="432" customWidth="1"/>
    <col min="11525" max="11526" width="9.109375" style="432"/>
    <col min="11527" max="11527" width="12.109375" style="432" customWidth="1"/>
    <col min="11528" max="11528" width="1.109375" style="432" customWidth="1"/>
    <col min="11529" max="11529" width="9.109375" style="432"/>
    <col min="11530" max="11530" width="11" style="432" customWidth="1"/>
    <col min="11531" max="11531" width="13.109375" style="432" customWidth="1"/>
    <col min="11532" max="11532" width="1" style="432" customWidth="1"/>
    <col min="11533" max="11533" width="11.109375" style="432" customWidth="1"/>
    <col min="11534" max="11534" width="24" style="432" customWidth="1"/>
    <col min="11535" max="11759" width="9.109375" style="432"/>
    <col min="11760" max="11760" width="10.109375" style="432" bestFit="1" customWidth="1"/>
    <col min="11761" max="11761" width="24.88671875" style="432" bestFit="1" customWidth="1"/>
    <col min="11762" max="11762" width="8.5546875" style="432" customWidth="1"/>
    <col min="11763" max="11763" width="12.5546875" style="432" bestFit="1" customWidth="1"/>
    <col min="11764" max="11766" width="12" style="432" customWidth="1"/>
    <col min="11767" max="11767" width="12.5546875" style="432" customWidth="1"/>
    <col min="11768" max="11768" width="2.33203125" style="432" customWidth="1"/>
    <col min="11769" max="11769" width="8.44140625" style="432" customWidth="1"/>
    <col min="11770" max="11770" width="11.5546875" style="432" bestFit="1" customWidth="1"/>
    <col min="11771" max="11771" width="11.33203125" style="432" customWidth="1"/>
    <col min="11772" max="11772" width="1.6640625" style="432" customWidth="1"/>
    <col min="11773" max="11773" width="9.109375" style="432"/>
    <col min="11774" max="11774" width="10.6640625" style="432" bestFit="1" customWidth="1"/>
    <col min="11775" max="11775" width="12.33203125" style="432" customWidth="1"/>
    <col min="11776" max="11776" width="1.109375" style="432" customWidth="1"/>
    <col min="11777" max="11778" width="9.109375" style="432"/>
    <col min="11779" max="11779" width="12" style="432" customWidth="1"/>
    <col min="11780" max="11780" width="1" style="432" customWidth="1"/>
    <col min="11781" max="11782" width="9.109375" style="432"/>
    <col min="11783" max="11783" width="12.109375" style="432" customWidth="1"/>
    <col min="11784" max="11784" width="1.109375" style="432" customWidth="1"/>
    <col min="11785" max="11785" width="9.109375" style="432"/>
    <col min="11786" max="11786" width="11" style="432" customWidth="1"/>
    <col min="11787" max="11787" width="13.109375" style="432" customWidth="1"/>
    <col min="11788" max="11788" width="1" style="432" customWidth="1"/>
    <col min="11789" max="11789" width="11.109375" style="432" customWidth="1"/>
    <col min="11790" max="11790" width="24" style="432" customWidth="1"/>
    <col min="11791" max="12015" width="9.109375" style="432"/>
    <col min="12016" max="12016" width="10.109375" style="432" bestFit="1" customWidth="1"/>
    <col min="12017" max="12017" width="24.88671875" style="432" bestFit="1" customWidth="1"/>
    <col min="12018" max="12018" width="8.5546875" style="432" customWidth="1"/>
    <col min="12019" max="12019" width="12.5546875" style="432" bestFit="1" customWidth="1"/>
    <col min="12020" max="12022" width="12" style="432" customWidth="1"/>
    <col min="12023" max="12023" width="12.5546875" style="432" customWidth="1"/>
    <col min="12024" max="12024" width="2.33203125" style="432" customWidth="1"/>
    <col min="12025" max="12025" width="8.44140625" style="432" customWidth="1"/>
    <col min="12026" max="12026" width="11.5546875" style="432" bestFit="1" customWidth="1"/>
    <col min="12027" max="12027" width="11.33203125" style="432" customWidth="1"/>
    <col min="12028" max="12028" width="1.6640625" style="432" customWidth="1"/>
    <col min="12029" max="12029" width="9.109375" style="432"/>
    <col min="12030" max="12030" width="10.6640625" style="432" bestFit="1" customWidth="1"/>
    <col min="12031" max="12031" width="12.33203125" style="432" customWidth="1"/>
    <col min="12032" max="12032" width="1.109375" style="432" customWidth="1"/>
    <col min="12033" max="12034" width="9.109375" style="432"/>
    <col min="12035" max="12035" width="12" style="432" customWidth="1"/>
    <col min="12036" max="12036" width="1" style="432" customWidth="1"/>
    <col min="12037" max="12038" width="9.109375" style="432"/>
    <col min="12039" max="12039" width="12.109375" style="432" customWidth="1"/>
    <col min="12040" max="12040" width="1.109375" style="432" customWidth="1"/>
    <col min="12041" max="12041" width="9.109375" style="432"/>
    <col min="12042" max="12042" width="11" style="432" customWidth="1"/>
    <col min="12043" max="12043" width="13.109375" style="432" customWidth="1"/>
    <col min="12044" max="12044" width="1" style="432" customWidth="1"/>
    <col min="12045" max="12045" width="11.109375" style="432" customWidth="1"/>
    <col min="12046" max="12046" width="24" style="432" customWidth="1"/>
    <col min="12047" max="12271" width="9.109375" style="432"/>
    <col min="12272" max="12272" width="10.109375" style="432" bestFit="1" customWidth="1"/>
    <col min="12273" max="12273" width="24.88671875" style="432" bestFit="1" customWidth="1"/>
    <col min="12274" max="12274" width="8.5546875" style="432" customWidth="1"/>
    <col min="12275" max="12275" width="12.5546875" style="432" bestFit="1" customWidth="1"/>
    <col min="12276" max="12278" width="12" style="432" customWidth="1"/>
    <col min="12279" max="12279" width="12.5546875" style="432" customWidth="1"/>
    <col min="12280" max="12280" width="2.33203125" style="432" customWidth="1"/>
    <col min="12281" max="12281" width="8.44140625" style="432" customWidth="1"/>
    <col min="12282" max="12282" width="11.5546875" style="432" bestFit="1" customWidth="1"/>
    <col min="12283" max="12283" width="11.33203125" style="432" customWidth="1"/>
    <col min="12284" max="12284" width="1.6640625" style="432" customWidth="1"/>
    <col min="12285" max="12285" width="9.109375" style="432"/>
    <col min="12286" max="12286" width="10.6640625" style="432" bestFit="1" customWidth="1"/>
    <col min="12287" max="12287" width="12.33203125" style="432" customWidth="1"/>
    <col min="12288" max="12288" width="1.109375" style="432" customWidth="1"/>
    <col min="12289" max="12290" width="9.109375" style="432"/>
    <col min="12291" max="12291" width="12" style="432" customWidth="1"/>
    <col min="12292" max="12292" width="1" style="432" customWidth="1"/>
    <col min="12293" max="12294" width="9.109375" style="432"/>
    <col min="12295" max="12295" width="12.109375" style="432" customWidth="1"/>
    <col min="12296" max="12296" width="1.109375" style="432" customWidth="1"/>
    <col min="12297" max="12297" width="9.109375" style="432"/>
    <col min="12298" max="12298" width="11" style="432" customWidth="1"/>
    <col min="12299" max="12299" width="13.109375" style="432" customWidth="1"/>
    <col min="12300" max="12300" width="1" style="432" customWidth="1"/>
    <col min="12301" max="12301" width="11.109375" style="432" customWidth="1"/>
    <col min="12302" max="12302" width="24" style="432" customWidth="1"/>
    <col min="12303" max="12527" width="9.109375" style="432"/>
    <col min="12528" max="12528" width="10.109375" style="432" bestFit="1" customWidth="1"/>
    <col min="12529" max="12529" width="24.88671875" style="432" bestFit="1" customWidth="1"/>
    <col min="12530" max="12530" width="8.5546875" style="432" customWidth="1"/>
    <col min="12531" max="12531" width="12.5546875" style="432" bestFit="1" customWidth="1"/>
    <col min="12532" max="12534" width="12" style="432" customWidth="1"/>
    <col min="12535" max="12535" width="12.5546875" style="432" customWidth="1"/>
    <col min="12536" max="12536" width="2.33203125" style="432" customWidth="1"/>
    <col min="12537" max="12537" width="8.44140625" style="432" customWidth="1"/>
    <col min="12538" max="12538" width="11.5546875" style="432" bestFit="1" customWidth="1"/>
    <col min="12539" max="12539" width="11.33203125" style="432" customWidth="1"/>
    <col min="12540" max="12540" width="1.6640625" style="432" customWidth="1"/>
    <col min="12541" max="12541" width="9.109375" style="432"/>
    <col min="12542" max="12542" width="10.6640625" style="432" bestFit="1" customWidth="1"/>
    <col min="12543" max="12543" width="12.33203125" style="432" customWidth="1"/>
    <col min="12544" max="12544" width="1.109375" style="432" customWidth="1"/>
    <col min="12545" max="12546" width="9.109375" style="432"/>
    <col min="12547" max="12547" width="12" style="432" customWidth="1"/>
    <col min="12548" max="12548" width="1" style="432" customWidth="1"/>
    <col min="12549" max="12550" width="9.109375" style="432"/>
    <col min="12551" max="12551" width="12.109375" style="432" customWidth="1"/>
    <col min="12552" max="12552" width="1.109375" style="432" customWidth="1"/>
    <col min="12553" max="12553" width="9.109375" style="432"/>
    <col min="12554" max="12554" width="11" style="432" customWidth="1"/>
    <col min="12555" max="12555" width="13.109375" style="432" customWidth="1"/>
    <col min="12556" max="12556" width="1" style="432" customWidth="1"/>
    <col min="12557" max="12557" width="11.109375" style="432" customWidth="1"/>
    <col min="12558" max="12558" width="24" style="432" customWidth="1"/>
    <col min="12559" max="12783" width="9.109375" style="432"/>
    <col min="12784" max="12784" width="10.109375" style="432" bestFit="1" customWidth="1"/>
    <col min="12785" max="12785" width="24.88671875" style="432" bestFit="1" customWidth="1"/>
    <col min="12786" max="12786" width="8.5546875" style="432" customWidth="1"/>
    <col min="12787" max="12787" width="12.5546875" style="432" bestFit="1" customWidth="1"/>
    <col min="12788" max="12790" width="12" style="432" customWidth="1"/>
    <col min="12791" max="12791" width="12.5546875" style="432" customWidth="1"/>
    <col min="12792" max="12792" width="2.33203125" style="432" customWidth="1"/>
    <col min="12793" max="12793" width="8.44140625" style="432" customWidth="1"/>
    <col min="12794" max="12794" width="11.5546875" style="432" bestFit="1" customWidth="1"/>
    <col min="12795" max="12795" width="11.33203125" style="432" customWidth="1"/>
    <col min="12796" max="12796" width="1.6640625" style="432" customWidth="1"/>
    <col min="12797" max="12797" width="9.109375" style="432"/>
    <col min="12798" max="12798" width="10.6640625" style="432" bestFit="1" customWidth="1"/>
    <col min="12799" max="12799" width="12.33203125" style="432" customWidth="1"/>
    <col min="12800" max="12800" width="1.109375" style="432" customWidth="1"/>
    <col min="12801" max="12802" width="9.109375" style="432"/>
    <col min="12803" max="12803" width="12" style="432" customWidth="1"/>
    <col min="12804" max="12804" width="1" style="432" customWidth="1"/>
    <col min="12805" max="12806" width="9.109375" style="432"/>
    <col min="12807" max="12807" width="12.109375" style="432" customWidth="1"/>
    <col min="12808" max="12808" width="1.109375" style="432" customWidth="1"/>
    <col min="12809" max="12809" width="9.109375" style="432"/>
    <col min="12810" max="12810" width="11" style="432" customWidth="1"/>
    <col min="12811" max="12811" width="13.109375" style="432" customWidth="1"/>
    <col min="12812" max="12812" width="1" style="432" customWidth="1"/>
    <col min="12813" max="12813" width="11.109375" style="432" customWidth="1"/>
    <col min="12814" max="12814" width="24" style="432" customWidth="1"/>
    <col min="12815" max="13039" width="9.109375" style="432"/>
    <col min="13040" max="13040" width="10.109375" style="432" bestFit="1" customWidth="1"/>
    <col min="13041" max="13041" width="24.88671875" style="432" bestFit="1" customWidth="1"/>
    <col min="13042" max="13042" width="8.5546875" style="432" customWidth="1"/>
    <col min="13043" max="13043" width="12.5546875" style="432" bestFit="1" customWidth="1"/>
    <col min="13044" max="13046" width="12" style="432" customWidth="1"/>
    <col min="13047" max="13047" width="12.5546875" style="432" customWidth="1"/>
    <col min="13048" max="13048" width="2.33203125" style="432" customWidth="1"/>
    <col min="13049" max="13049" width="8.44140625" style="432" customWidth="1"/>
    <col min="13050" max="13050" width="11.5546875" style="432" bestFit="1" customWidth="1"/>
    <col min="13051" max="13051" width="11.33203125" style="432" customWidth="1"/>
    <col min="13052" max="13052" width="1.6640625" style="432" customWidth="1"/>
    <col min="13053" max="13053" width="9.109375" style="432"/>
    <col min="13054" max="13054" width="10.6640625" style="432" bestFit="1" customWidth="1"/>
    <col min="13055" max="13055" width="12.33203125" style="432" customWidth="1"/>
    <col min="13056" max="13056" width="1.109375" style="432" customWidth="1"/>
    <col min="13057" max="13058" width="9.109375" style="432"/>
    <col min="13059" max="13059" width="12" style="432" customWidth="1"/>
    <col min="13060" max="13060" width="1" style="432" customWidth="1"/>
    <col min="13061" max="13062" width="9.109375" style="432"/>
    <col min="13063" max="13063" width="12.109375" style="432" customWidth="1"/>
    <col min="13064" max="13064" width="1.109375" style="432" customWidth="1"/>
    <col min="13065" max="13065" width="9.109375" style="432"/>
    <col min="13066" max="13066" width="11" style="432" customWidth="1"/>
    <col min="13067" max="13067" width="13.109375" style="432" customWidth="1"/>
    <col min="13068" max="13068" width="1" style="432" customWidth="1"/>
    <col min="13069" max="13069" width="11.109375" style="432" customWidth="1"/>
    <col min="13070" max="13070" width="24" style="432" customWidth="1"/>
    <col min="13071" max="13295" width="9.109375" style="432"/>
    <col min="13296" max="13296" width="10.109375" style="432" bestFit="1" customWidth="1"/>
    <col min="13297" max="13297" width="24.88671875" style="432" bestFit="1" customWidth="1"/>
    <col min="13298" max="13298" width="8.5546875" style="432" customWidth="1"/>
    <col min="13299" max="13299" width="12.5546875" style="432" bestFit="1" customWidth="1"/>
    <col min="13300" max="13302" width="12" style="432" customWidth="1"/>
    <col min="13303" max="13303" width="12.5546875" style="432" customWidth="1"/>
    <col min="13304" max="13304" width="2.33203125" style="432" customWidth="1"/>
    <col min="13305" max="13305" width="8.44140625" style="432" customWidth="1"/>
    <col min="13306" max="13306" width="11.5546875" style="432" bestFit="1" customWidth="1"/>
    <col min="13307" max="13307" width="11.33203125" style="432" customWidth="1"/>
    <col min="13308" max="13308" width="1.6640625" style="432" customWidth="1"/>
    <col min="13309" max="13309" width="9.109375" style="432"/>
    <col min="13310" max="13310" width="10.6640625" style="432" bestFit="1" customWidth="1"/>
    <col min="13311" max="13311" width="12.33203125" style="432" customWidth="1"/>
    <col min="13312" max="13312" width="1.109375" style="432" customWidth="1"/>
    <col min="13313" max="13314" width="9.109375" style="432"/>
    <col min="13315" max="13315" width="12" style="432" customWidth="1"/>
    <col min="13316" max="13316" width="1" style="432" customWidth="1"/>
    <col min="13317" max="13318" width="9.109375" style="432"/>
    <col min="13319" max="13319" width="12.109375" style="432" customWidth="1"/>
    <col min="13320" max="13320" width="1.109375" style="432" customWidth="1"/>
    <col min="13321" max="13321" width="9.109375" style="432"/>
    <col min="13322" max="13322" width="11" style="432" customWidth="1"/>
    <col min="13323" max="13323" width="13.109375" style="432" customWidth="1"/>
    <col min="13324" max="13324" width="1" style="432" customWidth="1"/>
    <col min="13325" max="13325" width="11.109375" style="432" customWidth="1"/>
    <col min="13326" max="13326" width="24" style="432" customWidth="1"/>
    <col min="13327" max="13551" width="9.109375" style="432"/>
    <col min="13552" max="13552" width="10.109375" style="432" bestFit="1" customWidth="1"/>
    <col min="13553" max="13553" width="24.88671875" style="432" bestFit="1" customWidth="1"/>
    <col min="13554" max="13554" width="8.5546875" style="432" customWidth="1"/>
    <col min="13555" max="13555" width="12.5546875" style="432" bestFit="1" customWidth="1"/>
    <col min="13556" max="13558" width="12" style="432" customWidth="1"/>
    <col min="13559" max="13559" width="12.5546875" style="432" customWidth="1"/>
    <col min="13560" max="13560" width="2.33203125" style="432" customWidth="1"/>
    <col min="13561" max="13561" width="8.44140625" style="432" customWidth="1"/>
    <col min="13562" max="13562" width="11.5546875" style="432" bestFit="1" customWidth="1"/>
    <col min="13563" max="13563" width="11.33203125" style="432" customWidth="1"/>
    <col min="13564" max="13564" width="1.6640625" style="432" customWidth="1"/>
    <col min="13565" max="13565" width="9.109375" style="432"/>
    <col min="13566" max="13566" width="10.6640625" style="432" bestFit="1" customWidth="1"/>
    <col min="13567" max="13567" width="12.33203125" style="432" customWidth="1"/>
    <col min="13568" max="13568" width="1.109375" style="432" customWidth="1"/>
    <col min="13569" max="13570" width="9.109375" style="432"/>
    <col min="13571" max="13571" width="12" style="432" customWidth="1"/>
    <col min="13572" max="13572" width="1" style="432" customWidth="1"/>
    <col min="13573" max="13574" width="9.109375" style="432"/>
    <col min="13575" max="13575" width="12.109375" style="432" customWidth="1"/>
    <col min="13576" max="13576" width="1.109375" style="432" customWidth="1"/>
    <col min="13577" max="13577" width="9.109375" style="432"/>
    <col min="13578" max="13578" width="11" style="432" customWidth="1"/>
    <col min="13579" max="13579" width="13.109375" style="432" customWidth="1"/>
    <col min="13580" max="13580" width="1" style="432" customWidth="1"/>
    <col min="13581" max="13581" width="11.109375" style="432" customWidth="1"/>
    <col min="13582" max="13582" width="24" style="432" customWidth="1"/>
    <col min="13583" max="13807" width="9.109375" style="432"/>
    <col min="13808" max="13808" width="10.109375" style="432" bestFit="1" customWidth="1"/>
    <col min="13809" max="13809" width="24.88671875" style="432" bestFit="1" customWidth="1"/>
    <col min="13810" max="13810" width="8.5546875" style="432" customWidth="1"/>
    <col min="13811" max="13811" width="12.5546875" style="432" bestFit="1" customWidth="1"/>
    <col min="13812" max="13814" width="12" style="432" customWidth="1"/>
    <col min="13815" max="13815" width="12.5546875" style="432" customWidth="1"/>
    <col min="13816" max="13816" width="2.33203125" style="432" customWidth="1"/>
    <col min="13817" max="13817" width="8.44140625" style="432" customWidth="1"/>
    <col min="13818" max="13818" width="11.5546875" style="432" bestFit="1" customWidth="1"/>
    <col min="13819" max="13819" width="11.33203125" style="432" customWidth="1"/>
    <col min="13820" max="13820" width="1.6640625" style="432" customWidth="1"/>
    <col min="13821" max="13821" width="9.109375" style="432"/>
    <col min="13822" max="13822" width="10.6640625" style="432" bestFit="1" customWidth="1"/>
    <col min="13823" max="13823" width="12.33203125" style="432" customWidth="1"/>
    <col min="13824" max="13824" width="1.109375" style="432" customWidth="1"/>
    <col min="13825" max="13826" width="9.109375" style="432"/>
    <col min="13827" max="13827" width="12" style="432" customWidth="1"/>
    <col min="13828" max="13828" width="1" style="432" customWidth="1"/>
    <col min="13829" max="13830" width="9.109375" style="432"/>
    <col min="13831" max="13831" width="12.109375" style="432" customWidth="1"/>
    <col min="13832" max="13832" width="1.109375" style="432" customWidth="1"/>
    <col min="13833" max="13833" width="9.109375" style="432"/>
    <col min="13834" max="13834" width="11" style="432" customWidth="1"/>
    <col min="13835" max="13835" width="13.109375" style="432" customWidth="1"/>
    <col min="13836" max="13836" width="1" style="432" customWidth="1"/>
    <col min="13837" max="13837" width="11.109375" style="432" customWidth="1"/>
    <col min="13838" max="13838" width="24" style="432" customWidth="1"/>
    <col min="13839" max="14063" width="9.109375" style="432"/>
    <col min="14064" max="14064" width="10.109375" style="432" bestFit="1" customWidth="1"/>
    <col min="14065" max="14065" width="24.88671875" style="432" bestFit="1" customWidth="1"/>
    <col min="14066" max="14066" width="8.5546875" style="432" customWidth="1"/>
    <col min="14067" max="14067" width="12.5546875" style="432" bestFit="1" customWidth="1"/>
    <col min="14068" max="14070" width="12" style="432" customWidth="1"/>
    <col min="14071" max="14071" width="12.5546875" style="432" customWidth="1"/>
    <col min="14072" max="14072" width="2.33203125" style="432" customWidth="1"/>
    <col min="14073" max="14073" width="8.44140625" style="432" customWidth="1"/>
    <col min="14074" max="14074" width="11.5546875" style="432" bestFit="1" customWidth="1"/>
    <col min="14075" max="14075" width="11.33203125" style="432" customWidth="1"/>
    <col min="14076" max="14076" width="1.6640625" style="432" customWidth="1"/>
    <col min="14077" max="14077" width="9.109375" style="432"/>
    <col min="14078" max="14078" width="10.6640625" style="432" bestFit="1" customWidth="1"/>
    <col min="14079" max="14079" width="12.33203125" style="432" customWidth="1"/>
    <col min="14080" max="14080" width="1.109375" style="432" customWidth="1"/>
    <col min="14081" max="14082" width="9.109375" style="432"/>
    <col min="14083" max="14083" width="12" style="432" customWidth="1"/>
    <col min="14084" max="14084" width="1" style="432" customWidth="1"/>
    <col min="14085" max="14086" width="9.109375" style="432"/>
    <col min="14087" max="14087" width="12.109375" style="432" customWidth="1"/>
    <col min="14088" max="14088" width="1.109375" style="432" customWidth="1"/>
    <col min="14089" max="14089" width="9.109375" style="432"/>
    <col min="14090" max="14090" width="11" style="432" customWidth="1"/>
    <col min="14091" max="14091" width="13.109375" style="432" customWidth="1"/>
    <col min="14092" max="14092" width="1" style="432" customWidth="1"/>
    <col min="14093" max="14093" width="11.109375" style="432" customWidth="1"/>
    <col min="14094" max="14094" width="24" style="432" customWidth="1"/>
    <col min="14095" max="14319" width="9.109375" style="432"/>
    <col min="14320" max="14320" width="10.109375" style="432" bestFit="1" customWidth="1"/>
    <col min="14321" max="14321" width="24.88671875" style="432" bestFit="1" customWidth="1"/>
    <col min="14322" max="14322" width="8.5546875" style="432" customWidth="1"/>
    <col min="14323" max="14323" width="12.5546875" style="432" bestFit="1" customWidth="1"/>
    <col min="14324" max="14326" width="12" style="432" customWidth="1"/>
    <col min="14327" max="14327" width="12.5546875" style="432" customWidth="1"/>
    <col min="14328" max="14328" width="2.33203125" style="432" customWidth="1"/>
    <col min="14329" max="14329" width="8.44140625" style="432" customWidth="1"/>
    <col min="14330" max="14330" width="11.5546875" style="432" bestFit="1" customWidth="1"/>
    <col min="14331" max="14331" width="11.33203125" style="432" customWidth="1"/>
    <col min="14332" max="14332" width="1.6640625" style="432" customWidth="1"/>
    <col min="14333" max="14333" width="9.109375" style="432"/>
    <col min="14334" max="14334" width="10.6640625" style="432" bestFit="1" customWidth="1"/>
    <col min="14335" max="14335" width="12.33203125" style="432" customWidth="1"/>
    <col min="14336" max="14336" width="1.109375" style="432" customWidth="1"/>
    <col min="14337" max="14338" width="9.109375" style="432"/>
    <col min="14339" max="14339" width="12" style="432" customWidth="1"/>
    <col min="14340" max="14340" width="1" style="432" customWidth="1"/>
    <col min="14341" max="14342" width="9.109375" style="432"/>
    <col min="14343" max="14343" width="12.109375" style="432" customWidth="1"/>
    <col min="14344" max="14344" width="1.109375" style="432" customWidth="1"/>
    <col min="14345" max="14345" width="9.109375" style="432"/>
    <col min="14346" max="14346" width="11" style="432" customWidth="1"/>
    <col min="14347" max="14347" width="13.109375" style="432" customWidth="1"/>
    <col min="14348" max="14348" width="1" style="432" customWidth="1"/>
    <col min="14349" max="14349" width="11.109375" style="432" customWidth="1"/>
    <col min="14350" max="14350" width="24" style="432" customWidth="1"/>
    <col min="14351" max="14575" width="9.109375" style="432"/>
    <col min="14576" max="14576" width="10.109375" style="432" bestFit="1" customWidth="1"/>
    <col min="14577" max="14577" width="24.88671875" style="432" bestFit="1" customWidth="1"/>
    <col min="14578" max="14578" width="8.5546875" style="432" customWidth="1"/>
    <col min="14579" max="14579" width="12.5546875" style="432" bestFit="1" customWidth="1"/>
    <col min="14580" max="14582" width="12" style="432" customWidth="1"/>
    <col min="14583" max="14583" width="12.5546875" style="432" customWidth="1"/>
    <col min="14584" max="14584" width="2.33203125" style="432" customWidth="1"/>
    <col min="14585" max="14585" width="8.44140625" style="432" customWidth="1"/>
    <col min="14586" max="14586" width="11.5546875" style="432" bestFit="1" customWidth="1"/>
    <col min="14587" max="14587" width="11.33203125" style="432" customWidth="1"/>
    <col min="14588" max="14588" width="1.6640625" style="432" customWidth="1"/>
    <col min="14589" max="14589" width="9.109375" style="432"/>
    <col min="14590" max="14590" width="10.6640625" style="432" bestFit="1" customWidth="1"/>
    <col min="14591" max="14591" width="12.33203125" style="432" customWidth="1"/>
    <col min="14592" max="14592" width="1.109375" style="432" customWidth="1"/>
    <col min="14593" max="14594" width="9.109375" style="432"/>
    <col min="14595" max="14595" width="12" style="432" customWidth="1"/>
    <col min="14596" max="14596" width="1" style="432" customWidth="1"/>
    <col min="14597" max="14598" width="9.109375" style="432"/>
    <col min="14599" max="14599" width="12.109375" style="432" customWidth="1"/>
    <col min="14600" max="14600" width="1.109375" style="432" customWidth="1"/>
    <col min="14601" max="14601" width="9.109375" style="432"/>
    <col min="14602" max="14602" width="11" style="432" customWidth="1"/>
    <col min="14603" max="14603" width="13.109375" style="432" customWidth="1"/>
    <col min="14604" max="14604" width="1" style="432" customWidth="1"/>
    <col min="14605" max="14605" width="11.109375" style="432" customWidth="1"/>
    <col min="14606" max="14606" width="24" style="432" customWidth="1"/>
    <col min="14607" max="14831" width="9.109375" style="432"/>
    <col min="14832" max="14832" width="10.109375" style="432" bestFit="1" customWidth="1"/>
    <col min="14833" max="14833" width="24.88671875" style="432" bestFit="1" customWidth="1"/>
    <col min="14834" max="14834" width="8.5546875" style="432" customWidth="1"/>
    <col min="14835" max="14835" width="12.5546875" style="432" bestFit="1" customWidth="1"/>
    <col min="14836" max="14838" width="12" style="432" customWidth="1"/>
    <col min="14839" max="14839" width="12.5546875" style="432" customWidth="1"/>
    <col min="14840" max="14840" width="2.33203125" style="432" customWidth="1"/>
    <col min="14841" max="14841" width="8.44140625" style="432" customWidth="1"/>
    <col min="14842" max="14842" width="11.5546875" style="432" bestFit="1" customWidth="1"/>
    <col min="14843" max="14843" width="11.33203125" style="432" customWidth="1"/>
    <col min="14844" max="14844" width="1.6640625" style="432" customWidth="1"/>
    <col min="14845" max="14845" width="9.109375" style="432"/>
    <col min="14846" max="14846" width="10.6640625" style="432" bestFit="1" customWidth="1"/>
    <col min="14847" max="14847" width="12.33203125" style="432" customWidth="1"/>
    <col min="14848" max="14848" width="1.109375" style="432" customWidth="1"/>
    <col min="14849" max="14850" width="9.109375" style="432"/>
    <col min="14851" max="14851" width="12" style="432" customWidth="1"/>
    <col min="14852" max="14852" width="1" style="432" customWidth="1"/>
    <col min="14853" max="14854" width="9.109375" style="432"/>
    <col min="14855" max="14855" width="12.109375" style="432" customWidth="1"/>
    <col min="14856" max="14856" width="1.109375" style="432" customWidth="1"/>
    <col min="14857" max="14857" width="9.109375" style="432"/>
    <col min="14858" max="14858" width="11" style="432" customWidth="1"/>
    <col min="14859" max="14859" width="13.109375" style="432" customWidth="1"/>
    <col min="14860" max="14860" width="1" style="432" customWidth="1"/>
    <col min="14861" max="14861" width="11.109375" style="432" customWidth="1"/>
    <col min="14862" max="14862" width="24" style="432" customWidth="1"/>
    <col min="14863" max="15087" width="9.109375" style="432"/>
    <col min="15088" max="15088" width="10.109375" style="432" bestFit="1" customWidth="1"/>
    <col min="15089" max="15089" width="24.88671875" style="432" bestFit="1" customWidth="1"/>
    <col min="15090" max="15090" width="8.5546875" style="432" customWidth="1"/>
    <col min="15091" max="15091" width="12.5546875" style="432" bestFit="1" customWidth="1"/>
    <col min="15092" max="15094" width="12" style="432" customWidth="1"/>
    <col min="15095" max="15095" width="12.5546875" style="432" customWidth="1"/>
    <col min="15096" max="15096" width="2.33203125" style="432" customWidth="1"/>
    <col min="15097" max="15097" width="8.44140625" style="432" customWidth="1"/>
    <col min="15098" max="15098" width="11.5546875" style="432" bestFit="1" customWidth="1"/>
    <col min="15099" max="15099" width="11.33203125" style="432" customWidth="1"/>
    <col min="15100" max="15100" width="1.6640625" style="432" customWidth="1"/>
    <col min="15101" max="15101" width="9.109375" style="432"/>
    <col min="15102" max="15102" width="10.6640625" style="432" bestFit="1" customWidth="1"/>
    <col min="15103" max="15103" width="12.33203125" style="432" customWidth="1"/>
    <col min="15104" max="15104" width="1.109375" style="432" customWidth="1"/>
    <col min="15105" max="15106" width="9.109375" style="432"/>
    <col min="15107" max="15107" width="12" style="432" customWidth="1"/>
    <col min="15108" max="15108" width="1" style="432" customWidth="1"/>
    <col min="15109" max="15110" width="9.109375" style="432"/>
    <col min="15111" max="15111" width="12.109375" style="432" customWidth="1"/>
    <col min="15112" max="15112" width="1.109375" style="432" customWidth="1"/>
    <col min="15113" max="15113" width="9.109375" style="432"/>
    <col min="15114" max="15114" width="11" style="432" customWidth="1"/>
    <col min="15115" max="15115" width="13.109375" style="432" customWidth="1"/>
    <col min="15116" max="15116" width="1" style="432" customWidth="1"/>
    <col min="15117" max="15117" width="11.109375" style="432" customWidth="1"/>
    <col min="15118" max="15118" width="24" style="432" customWidth="1"/>
    <col min="15119" max="15343" width="9.109375" style="432"/>
    <col min="15344" max="15344" width="10.109375" style="432" bestFit="1" customWidth="1"/>
    <col min="15345" max="15345" width="24.88671875" style="432" bestFit="1" customWidth="1"/>
    <col min="15346" max="15346" width="8.5546875" style="432" customWidth="1"/>
    <col min="15347" max="15347" width="12.5546875" style="432" bestFit="1" customWidth="1"/>
    <col min="15348" max="15350" width="12" style="432" customWidth="1"/>
    <col min="15351" max="15351" width="12.5546875" style="432" customWidth="1"/>
    <col min="15352" max="15352" width="2.33203125" style="432" customWidth="1"/>
    <col min="15353" max="15353" width="8.44140625" style="432" customWidth="1"/>
    <col min="15354" max="15354" width="11.5546875" style="432" bestFit="1" customWidth="1"/>
    <col min="15355" max="15355" width="11.33203125" style="432" customWidth="1"/>
    <col min="15356" max="15356" width="1.6640625" style="432" customWidth="1"/>
    <col min="15357" max="15357" width="9.109375" style="432"/>
    <col min="15358" max="15358" width="10.6640625" style="432" bestFit="1" customWidth="1"/>
    <col min="15359" max="15359" width="12.33203125" style="432" customWidth="1"/>
    <col min="15360" max="15360" width="1.109375" style="432" customWidth="1"/>
    <col min="15361" max="15362" width="9.109375" style="432"/>
    <col min="15363" max="15363" width="12" style="432" customWidth="1"/>
    <col min="15364" max="15364" width="1" style="432" customWidth="1"/>
    <col min="15365" max="15366" width="9.109375" style="432"/>
    <col min="15367" max="15367" width="12.109375" style="432" customWidth="1"/>
    <col min="15368" max="15368" width="1.109375" style="432" customWidth="1"/>
    <col min="15369" max="15369" width="9.109375" style="432"/>
    <col min="15370" max="15370" width="11" style="432" customWidth="1"/>
    <col min="15371" max="15371" width="13.109375" style="432" customWidth="1"/>
    <col min="15372" max="15372" width="1" style="432" customWidth="1"/>
    <col min="15373" max="15373" width="11.109375" style="432" customWidth="1"/>
    <col min="15374" max="15374" width="24" style="432" customWidth="1"/>
    <col min="15375" max="15599" width="9.109375" style="432"/>
    <col min="15600" max="15600" width="10.109375" style="432" bestFit="1" customWidth="1"/>
    <col min="15601" max="15601" width="24.88671875" style="432" bestFit="1" customWidth="1"/>
    <col min="15602" max="15602" width="8.5546875" style="432" customWidth="1"/>
    <col min="15603" max="15603" width="12.5546875" style="432" bestFit="1" customWidth="1"/>
    <col min="15604" max="15606" width="12" style="432" customWidth="1"/>
    <col min="15607" max="15607" width="12.5546875" style="432" customWidth="1"/>
    <col min="15608" max="15608" width="2.33203125" style="432" customWidth="1"/>
    <col min="15609" max="15609" width="8.44140625" style="432" customWidth="1"/>
    <col min="15610" max="15610" width="11.5546875" style="432" bestFit="1" customWidth="1"/>
    <col min="15611" max="15611" width="11.33203125" style="432" customWidth="1"/>
    <col min="15612" max="15612" width="1.6640625" style="432" customWidth="1"/>
    <col min="15613" max="15613" width="9.109375" style="432"/>
    <col min="15614" max="15614" width="10.6640625" style="432" bestFit="1" customWidth="1"/>
    <col min="15615" max="15615" width="12.33203125" style="432" customWidth="1"/>
    <col min="15616" max="15616" width="1.109375" style="432" customWidth="1"/>
    <col min="15617" max="15618" width="9.109375" style="432"/>
    <col min="15619" max="15619" width="12" style="432" customWidth="1"/>
    <col min="15620" max="15620" width="1" style="432" customWidth="1"/>
    <col min="15621" max="15622" width="9.109375" style="432"/>
    <col min="15623" max="15623" width="12.109375" style="432" customWidth="1"/>
    <col min="15624" max="15624" width="1.109375" style="432" customWidth="1"/>
    <col min="15625" max="15625" width="9.109375" style="432"/>
    <col min="15626" max="15626" width="11" style="432" customWidth="1"/>
    <col min="15627" max="15627" width="13.109375" style="432" customWidth="1"/>
    <col min="15628" max="15628" width="1" style="432" customWidth="1"/>
    <col min="15629" max="15629" width="11.109375" style="432" customWidth="1"/>
    <col min="15630" max="15630" width="24" style="432" customWidth="1"/>
    <col min="15631" max="15855" width="9.109375" style="432"/>
    <col min="15856" max="15856" width="10.109375" style="432" bestFit="1" customWidth="1"/>
    <col min="15857" max="15857" width="24.88671875" style="432" bestFit="1" customWidth="1"/>
    <col min="15858" max="15858" width="8.5546875" style="432" customWidth="1"/>
    <col min="15859" max="15859" width="12.5546875" style="432" bestFit="1" customWidth="1"/>
    <col min="15860" max="15862" width="12" style="432" customWidth="1"/>
    <col min="15863" max="15863" width="12.5546875" style="432" customWidth="1"/>
    <col min="15864" max="15864" width="2.33203125" style="432" customWidth="1"/>
    <col min="15865" max="15865" width="8.44140625" style="432" customWidth="1"/>
    <col min="15866" max="15866" width="11.5546875" style="432" bestFit="1" customWidth="1"/>
    <col min="15867" max="15867" width="11.33203125" style="432" customWidth="1"/>
    <col min="15868" max="15868" width="1.6640625" style="432" customWidth="1"/>
    <col min="15869" max="15869" width="9.109375" style="432"/>
    <col min="15870" max="15870" width="10.6640625" style="432" bestFit="1" customWidth="1"/>
    <col min="15871" max="15871" width="12.33203125" style="432" customWidth="1"/>
    <col min="15872" max="15872" width="1.109375" style="432" customWidth="1"/>
    <col min="15873" max="15874" width="9.109375" style="432"/>
    <col min="15875" max="15875" width="12" style="432" customWidth="1"/>
    <col min="15876" max="15876" width="1" style="432" customWidth="1"/>
    <col min="15877" max="15878" width="9.109375" style="432"/>
    <col min="15879" max="15879" width="12.109375" style="432" customWidth="1"/>
    <col min="15880" max="15880" width="1.109375" style="432" customWidth="1"/>
    <col min="15881" max="15881" width="9.109375" style="432"/>
    <col min="15882" max="15882" width="11" style="432" customWidth="1"/>
    <col min="15883" max="15883" width="13.109375" style="432" customWidth="1"/>
    <col min="15884" max="15884" width="1" style="432" customWidth="1"/>
    <col min="15885" max="15885" width="11.109375" style="432" customWidth="1"/>
    <col min="15886" max="15886" width="24" style="432" customWidth="1"/>
    <col min="15887" max="16111" width="9.109375" style="432"/>
    <col min="16112" max="16112" width="10.109375" style="432" bestFit="1" customWidth="1"/>
    <col min="16113" max="16113" width="24.88671875" style="432" bestFit="1" customWidth="1"/>
    <col min="16114" max="16114" width="8.5546875" style="432" customWidth="1"/>
    <col min="16115" max="16115" width="12.5546875" style="432" bestFit="1" customWidth="1"/>
    <col min="16116" max="16118" width="12" style="432" customWidth="1"/>
    <col min="16119" max="16119" width="12.5546875" style="432" customWidth="1"/>
    <col min="16120" max="16120" width="2.33203125" style="432" customWidth="1"/>
    <col min="16121" max="16121" width="8.44140625" style="432" customWidth="1"/>
    <col min="16122" max="16122" width="11.5546875" style="432" bestFit="1" customWidth="1"/>
    <col min="16123" max="16123" width="11.33203125" style="432" customWidth="1"/>
    <col min="16124" max="16124" width="1.6640625" style="432" customWidth="1"/>
    <col min="16125" max="16125" width="9.109375" style="432"/>
    <col min="16126" max="16126" width="10.6640625" style="432" bestFit="1" customWidth="1"/>
    <col min="16127" max="16127" width="12.33203125" style="432" customWidth="1"/>
    <col min="16128" max="16128" width="1.109375" style="432" customWidth="1"/>
    <col min="16129" max="16130" width="9.109375" style="432"/>
    <col min="16131" max="16131" width="12" style="432" customWidth="1"/>
    <col min="16132" max="16132" width="1" style="432" customWidth="1"/>
    <col min="16133" max="16134" width="9.109375" style="432"/>
    <col min="16135" max="16135" width="12.109375" style="432" customWidth="1"/>
    <col min="16136" max="16136" width="1.109375" style="432" customWidth="1"/>
    <col min="16137" max="16137" width="9.109375" style="432"/>
    <col min="16138" max="16138" width="11" style="432" customWidth="1"/>
    <col min="16139" max="16139" width="13.109375" style="432" customWidth="1"/>
    <col min="16140" max="16140" width="1" style="432" customWidth="1"/>
    <col min="16141" max="16141" width="11.109375" style="432" customWidth="1"/>
    <col min="16142" max="16142" width="24" style="432" customWidth="1"/>
    <col min="16143" max="16384" width="9.109375" style="432"/>
  </cols>
  <sheetData>
    <row r="2" spans="1:13" ht="18">
      <c r="C2" s="434" t="s">
        <v>316</v>
      </c>
      <c r="D2" s="434"/>
      <c r="E2" s="434"/>
    </row>
    <row r="3" spans="1:13" ht="18">
      <c r="C3" s="434" t="s">
        <v>317</v>
      </c>
      <c r="D3" s="434"/>
      <c r="E3" s="434"/>
    </row>
    <row r="4" spans="1:13" ht="18.600000000000001" thickBot="1">
      <c r="D4" s="434" t="s">
        <v>675</v>
      </c>
      <c r="E4" s="434"/>
    </row>
    <row r="5" spans="1:13" ht="18.600000000000001" thickTop="1">
      <c r="D5" s="436"/>
      <c r="E5" s="688"/>
      <c r="F5" s="437"/>
      <c r="G5" s="437"/>
      <c r="H5" s="437"/>
      <c r="I5" s="437"/>
      <c r="J5" s="438"/>
    </row>
    <row r="6" spans="1:13" ht="18">
      <c r="D6" s="439"/>
      <c r="E6" s="689"/>
      <c r="F6" s="440"/>
      <c r="G6" s="440"/>
      <c r="H6" s="440"/>
      <c r="I6" s="440"/>
      <c r="J6" s="441"/>
    </row>
    <row r="7" spans="1:13" ht="18">
      <c r="D7" s="439"/>
      <c r="E7" s="689"/>
      <c r="F7" s="440"/>
      <c r="G7" s="440"/>
      <c r="H7" s="440"/>
      <c r="I7" s="440"/>
      <c r="J7" s="441"/>
    </row>
    <row r="8" spans="1:13" ht="18">
      <c r="D8" s="439"/>
      <c r="E8" s="689"/>
      <c r="F8" s="440"/>
      <c r="G8" s="440"/>
      <c r="H8" s="440"/>
      <c r="I8" s="442" t="s">
        <v>318</v>
      </c>
      <c r="J8" s="443">
        <f>SUMMARY!K59</f>
        <v>236498.93379257814</v>
      </c>
    </row>
    <row r="9" spans="1:13" ht="4.5" customHeight="1">
      <c r="D9" s="439"/>
      <c r="E9" s="689"/>
      <c r="F9" s="440"/>
      <c r="G9" s="440"/>
      <c r="H9" s="440"/>
      <c r="I9" s="440"/>
      <c r="J9" s="441"/>
    </row>
    <row r="10" spans="1:13" ht="18">
      <c r="D10" s="439"/>
      <c r="E10" s="689"/>
      <c r="F10" s="440"/>
      <c r="G10" s="440"/>
      <c r="H10" s="440"/>
      <c r="I10" s="442" t="s">
        <v>319</v>
      </c>
      <c r="J10" s="444">
        <f>(J8-J141)/J8</f>
        <v>0.22234805587013967</v>
      </c>
    </row>
    <row r="11" spans="1:13" s="447" customFormat="1" ht="28.8">
      <c r="A11" s="445" t="s">
        <v>320</v>
      </c>
      <c r="B11" s="446" t="s">
        <v>321</v>
      </c>
      <c r="C11" s="447" t="s">
        <v>322</v>
      </c>
      <c r="D11" s="448" t="s">
        <v>202</v>
      </c>
      <c r="E11" s="693" t="s">
        <v>238</v>
      </c>
      <c r="F11" s="449" t="s">
        <v>323</v>
      </c>
      <c r="G11" s="450" t="s">
        <v>324</v>
      </c>
      <c r="H11" s="451" t="s">
        <v>325</v>
      </c>
      <c r="I11" s="452" t="s">
        <v>326</v>
      </c>
      <c r="J11" s="453" t="s">
        <v>188</v>
      </c>
      <c r="M11" s="446"/>
    </row>
    <row r="12" spans="1:13" s="447" customFormat="1">
      <c r="B12" s="446"/>
      <c r="D12" s="448"/>
      <c r="E12" s="690"/>
      <c r="F12" s="449"/>
      <c r="G12" s="450"/>
      <c r="H12" s="451"/>
      <c r="I12" s="452"/>
      <c r="J12" s="453"/>
      <c r="M12" s="446"/>
    </row>
    <row r="13" spans="1:13">
      <c r="A13" s="432" t="s">
        <v>327</v>
      </c>
      <c r="B13" s="686" t="s">
        <v>405</v>
      </c>
      <c r="C13" s="432" t="s">
        <v>210</v>
      </c>
      <c r="D13" s="454">
        <f>SUMMARY!C8</f>
        <v>0</v>
      </c>
      <c r="E13" s="698">
        <f>SUMMARY!D8</f>
        <v>0</v>
      </c>
      <c r="F13" s="473">
        <f>E13*D13</f>
        <v>0</v>
      </c>
      <c r="G13" s="455">
        <f>SUMMARY!F8</f>
        <v>0</v>
      </c>
      <c r="H13" s="455">
        <f>SUMMARY!L37</f>
        <v>0</v>
      </c>
      <c r="I13" s="455"/>
      <c r="J13" s="456">
        <f>SUM(F13:I13)</f>
        <v>0</v>
      </c>
    </row>
    <row r="14" spans="1:13">
      <c r="A14" s="684" t="s">
        <v>327</v>
      </c>
      <c r="B14" s="433" t="s">
        <v>392</v>
      </c>
      <c r="C14" s="687" t="s">
        <v>407</v>
      </c>
      <c r="D14" s="454">
        <f>SUMMARY!C6</f>
        <v>27.153125000000003</v>
      </c>
      <c r="E14" s="698">
        <f>SUMMARY!D6</f>
        <v>84</v>
      </c>
      <c r="F14" s="473">
        <f>E14*D14</f>
        <v>2280.8625000000002</v>
      </c>
      <c r="G14" s="455">
        <f>SUMMARY!F6</f>
        <v>0</v>
      </c>
      <c r="H14" s="455"/>
      <c r="I14" s="455"/>
      <c r="J14" s="456">
        <f t="shared" ref="J14:J50" si="0">SUM(F14:I14)</f>
        <v>2280.8625000000002</v>
      </c>
    </row>
    <row r="15" spans="1:13">
      <c r="A15" s="432" t="s">
        <v>327</v>
      </c>
      <c r="B15" s="433" t="s">
        <v>404</v>
      </c>
      <c r="C15" s="684" t="s">
        <v>643</v>
      </c>
      <c r="D15" s="454"/>
      <c r="E15" s="699"/>
      <c r="F15" s="473">
        <f t="shared" ref="F15:F34" si="1">E15*D15</f>
        <v>0</v>
      </c>
      <c r="G15" s="455"/>
      <c r="H15" s="455"/>
      <c r="I15" s="455"/>
      <c r="J15" s="456">
        <f t="shared" si="0"/>
        <v>0</v>
      </c>
    </row>
    <row r="16" spans="1:13">
      <c r="A16" s="432" t="s">
        <v>327</v>
      </c>
      <c r="B16" s="433" t="s">
        <v>328</v>
      </c>
      <c r="C16" s="432" t="s">
        <v>393</v>
      </c>
      <c r="D16" s="454">
        <f>SUMMARY!C7</f>
        <v>6.2874999999999996</v>
      </c>
      <c r="E16" s="698">
        <f>SUMMARY!D7</f>
        <v>84</v>
      </c>
      <c r="F16" s="473">
        <f t="shared" si="1"/>
        <v>528.15</v>
      </c>
      <c r="G16" s="455">
        <f>SUMMARY!F7</f>
        <v>0</v>
      </c>
      <c r="H16" s="455"/>
      <c r="I16" s="455"/>
      <c r="J16" s="456">
        <f t="shared" si="0"/>
        <v>528.15</v>
      </c>
      <c r="K16" s="458"/>
    </row>
    <row r="17" spans="1:11">
      <c r="A17" s="432" t="s">
        <v>327</v>
      </c>
      <c r="B17" s="433" t="s">
        <v>394</v>
      </c>
      <c r="C17" s="432" t="s">
        <v>395</v>
      </c>
      <c r="D17" s="454">
        <f>SUMMARY!C9</f>
        <v>42.875</v>
      </c>
      <c r="E17" s="698">
        <f>SUMMARY!D9</f>
        <v>84</v>
      </c>
      <c r="F17" s="473">
        <f t="shared" si="1"/>
        <v>3601.5</v>
      </c>
      <c r="G17" s="455">
        <f>SUMMARY!F9</f>
        <v>0</v>
      </c>
      <c r="H17" s="455"/>
      <c r="I17" s="455"/>
      <c r="J17" s="456">
        <f t="shared" si="0"/>
        <v>3601.5</v>
      </c>
      <c r="K17" s="458"/>
    </row>
    <row r="18" spans="1:11">
      <c r="A18" s="432" t="s">
        <v>327</v>
      </c>
      <c r="B18" s="686" t="s">
        <v>396</v>
      </c>
      <c r="C18" s="687" t="s">
        <v>408</v>
      </c>
      <c r="D18" s="454">
        <f>SUMMARY!C16</f>
        <v>19.9375</v>
      </c>
      <c r="E18" s="698">
        <f>SUMMARY!D16</f>
        <v>84</v>
      </c>
      <c r="F18" s="473">
        <f t="shared" si="1"/>
        <v>1674.75</v>
      </c>
      <c r="G18" s="455">
        <f>SUMMARY!F16</f>
        <v>0</v>
      </c>
      <c r="H18" s="455"/>
      <c r="I18" s="455"/>
      <c r="J18" s="456">
        <f t="shared" si="0"/>
        <v>1674.75</v>
      </c>
      <c r="K18" s="458"/>
    </row>
    <row r="19" spans="1:11">
      <c r="A19" s="432" t="s">
        <v>327</v>
      </c>
      <c r="B19" s="433" t="s">
        <v>329</v>
      </c>
      <c r="C19" s="432" t="s">
        <v>217</v>
      </c>
      <c r="D19" s="459">
        <f>SUMMARY!C10</f>
        <v>20</v>
      </c>
      <c r="E19" s="698">
        <f>SUMMARY!D10</f>
        <v>84</v>
      </c>
      <c r="F19" s="473">
        <f t="shared" si="1"/>
        <v>1680</v>
      </c>
      <c r="G19" s="455">
        <f>SUMMARY!F10</f>
        <v>0</v>
      </c>
      <c r="H19" s="455"/>
      <c r="I19" s="455"/>
      <c r="J19" s="456">
        <f t="shared" si="0"/>
        <v>1680</v>
      </c>
      <c r="K19" s="458"/>
    </row>
    <row r="20" spans="1:11" hidden="1">
      <c r="A20" s="684" t="s">
        <v>403</v>
      </c>
      <c r="B20" s="686" t="s">
        <v>646</v>
      </c>
      <c r="C20" s="687" t="s">
        <v>647</v>
      </c>
      <c r="D20" s="459"/>
      <c r="E20" s="699"/>
      <c r="F20" s="473">
        <f t="shared" si="1"/>
        <v>0</v>
      </c>
      <c r="G20" s="455"/>
      <c r="H20" s="455"/>
      <c r="I20" s="455"/>
      <c r="J20" s="456">
        <f t="shared" si="0"/>
        <v>0</v>
      </c>
      <c r="K20" s="458"/>
    </row>
    <row r="21" spans="1:11" hidden="1">
      <c r="A21" s="687" t="s">
        <v>403</v>
      </c>
      <c r="B21" s="686" t="s">
        <v>648</v>
      </c>
      <c r="C21" s="687" t="s">
        <v>649</v>
      </c>
      <c r="D21" s="459"/>
      <c r="E21" s="699"/>
      <c r="F21" s="473">
        <f t="shared" si="1"/>
        <v>0</v>
      </c>
      <c r="G21" s="455"/>
      <c r="H21" s="455"/>
      <c r="I21" s="455"/>
      <c r="J21" s="456">
        <f t="shared" si="0"/>
        <v>0</v>
      </c>
      <c r="K21" s="458"/>
    </row>
    <row r="22" spans="1:11">
      <c r="A22" s="432" t="s">
        <v>327</v>
      </c>
      <c r="B22" s="433" t="s">
        <v>330</v>
      </c>
      <c r="C22" s="687" t="s">
        <v>650</v>
      </c>
      <c r="D22" s="454">
        <f>SUMMARY!C14</f>
        <v>24</v>
      </c>
      <c r="E22" s="698">
        <f>SUMMARY!D14</f>
        <v>84</v>
      </c>
      <c r="F22" s="473">
        <f t="shared" si="1"/>
        <v>2016</v>
      </c>
      <c r="G22" s="455">
        <f>SUMMARY!F14</f>
        <v>1800</v>
      </c>
      <c r="H22" s="455"/>
      <c r="I22" s="455"/>
      <c r="J22" s="456">
        <f t="shared" si="0"/>
        <v>3816</v>
      </c>
      <c r="K22" s="458"/>
    </row>
    <row r="23" spans="1:11" hidden="1">
      <c r="A23" s="471" t="s">
        <v>403</v>
      </c>
      <c r="B23" s="433" t="s">
        <v>409</v>
      </c>
      <c r="C23" s="432" t="s">
        <v>288</v>
      </c>
      <c r="D23" s="454"/>
      <c r="E23" s="699"/>
      <c r="F23" s="473">
        <f t="shared" si="1"/>
        <v>0</v>
      </c>
      <c r="G23" s="455"/>
      <c r="H23" s="455"/>
      <c r="I23" s="455"/>
      <c r="J23" s="456">
        <f t="shared" si="0"/>
        <v>0</v>
      </c>
      <c r="K23" s="458"/>
    </row>
    <row r="24" spans="1:11">
      <c r="A24" s="432" t="s">
        <v>327</v>
      </c>
      <c r="B24" s="433" t="s">
        <v>410</v>
      </c>
      <c r="C24" s="687" t="s">
        <v>651</v>
      </c>
      <c r="D24" s="457"/>
      <c r="E24" s="699"/>
      <c r="F24" s="473">
        <f t="shared" si="1"/>
        <v>0</v>
      </c>
      <c r="G24" s="455"/>
      <c r="H24" s="455">
        <f>SUMMARY!H38+SUMMARY!L40</f>
        <v>0</v>
      </c>
      <c r="I24" s="455"/>
      <c r="J24" s="456">
        <f t="shared" si="0"/>
        <v>0</v>
      </c>
    </row>
    <row r="25" spans="1:11">
      <c r="A25" s="432" t="s">
        <v>327</v>
      </c>
      <c r="B25" s="433" t="s">
        <v>411</v>
      </c>
      <c r="C25" s="687" t="s">
        <v>652</v>
      </c>
      <c r="D25" s="457"/>
      <c r="E25" s="699"/>
      <c r="F25" s="473">
        <f t="shared" si="1"/>
        <v>0</v>
      </c>
      <c r="G25" s="455"/>
      <c r="H25" s="455">
        <f>SUMMARY!L35</f>
        <v>0</v>
      </c>
      <c r="I25" s="455"/>
      <c r="J25" s="456">
        <f t="shared" si="0"/>
        <v>0</v>
      </c>
    </row>
    <row r="26" spans="1:11">
      <c r="A26" s="432" t="s">
        <v>327</v>
      </c>
      <c r="B26" s="433" t="s">
        <v>331</v>
      </c>
      <c r="C26" s="432" t="s">
        <v>332</v>
      </c>
      <c r="D26" s="454">
        <f>SUMMARY!C18</f>
        <v>63.237500000000004</v>
      </c>
      <c r="E26" s="698">
        <f>SUMMARY!D18</f>
        <v>84</v>
      </c>
      <c r="F26" s="473">
        <f t="shared" si="1"/>
        <v>5311.9500000000007</v>
      </c>
      <c r="G26" s="455">
        <f>SUMMARY!F18</f>
        <v>0</v>
      </c>
      <c r="H26" s="455"/>
      <c r="I26" s="455"/>
      <c r="J26" s="456">
        <f t="shared" si="0"/>
        <v>5311.9500000000007</v>
      </c>
    </row>
    <row r="27" spans="1:11">
      <c r="A27" s="432" t="s">
        <v>327</v>
      </c>
      <c r="B27" s="433" t="s">
        <v>333</v>
      </c>
      <c r="C27" s="432" t="s">
        <v>334</v>
      </c>
      <c r="D27" s="454">
        <f>SUMMARY!C19</f>
        <v>366</v>
      </c>
      <c r="E27" s="698">
        <f>SUMMARY!D19</f>
        <v>84</v>
      </c>
      <c r="F27" s="473">
        <f t="shared" si="1"/>
        <v>30744</v>
      </c>
      <c r="G27" s="455">
        <f>SUMMARY!F19</f>
        <v>8850</v>
      </c>
      <c r="H27" s="455"/>
      <c r="I27" s="455"/>
      <c r="J27" s="456">
        <f t="shared" si="0"/>
        <v>39594</v>
      </c>
      <c r="K27" s="458"/>
    </row>
    <row r="28" spans="1:11">
      <c r="A28" s="432" t="s">
        <v>327</v>
      </c>
      <c r="B28" s="433" t="s">
        <v>335</v>
      </c>
      <c r="C28" s="432" t="s">
        <v>336</v>
      </c>
      <c r="D28" s="454">
        <f>SUMMARY!C20</f>
        <v>82</v>
      </c>
      <c r="E28" s="698">
        <f>SUMMARY!D20</f>
        <v>84</v>
      </c>
      <c r="F28" s="473">
        <f t="shared" si="1"/>
        <v>6888</v>
      </c>
      <c r="G28" s="455">
        <f>SUMMARY!F20</f>
        <v>2480</v>
      </c>
      <c r="H28" s="455"/>
      <c r="I28" s="455"/>
      <c r="J28" s="456">
        <f t="shared" si="0"/>
        <v>9368</v>
      </c>
      <c r="K28" s="458"/>
    </row>
    <row r="29" spans="1:11">
      <c r="A29" s="432" t="s">
        <v>327</v>
      </c>
      <c r="B29" s="433" t="s">
        <v>337</v>
      </c>
      <c r="C29" s="432" t="s">
        <v>338</v>
      </c>
      <c r="D29" s="454">
        <f>SUMMARY!C21</f>
        <v>0</v>
      </c>
      <c r="E29" s="698">
        <f>SUMMARY!D21</f>
        <v>0</v>
      </c>
      <c r="F29" s="473">
        <f t="shared" si="1"/>
        <v>0</v>
      </c>
      <c r="G29" s="455">
        <f>SUMMARY!F21</f>
        <v>0</v>
      </c>
      <c r="H29" s="455"/>
      <c r="I29" s="455"/>
      <c r="J29" s="456">
        <f t="shared" si="0"/>
        <v>0</v>
      </c>
      <c r="K29" s="458"/>
    </row>
    <row r="30" spans="1:11">
      <c r="A30" s="432" t="s">
        <v>327</v>
      </c>
      <c r="B30" s="433" t="s">
        <v>339</v>
      </c>
      <c r="C30" s="432" t="s">
        <v>340</v>
      </c>
      <c r="D30" s="459">
        <f>SUMMARY!C24</f>
        <v>35.5</v>
      </c>
      <c r="E30" s="698">
        <f>SUMMARY!D24</f>
        <v>84</v>
      </c>
      <c r="F30" s="473">
        <f t="shared" si="1"/>
        <v>2982</v>
      </c>
      <c r="G30" s="455">
        <f>SUMMARY!F24</f>
        <v>0</v>
      </c>
      <c r="H30" s="455"/>
      <c r="I30" s="455"/>
      <c r="J30" s="456">
        <f t="shared" si="0"/>
        <v>2982</v>
      </c>
      <c r="K30" s="458"/>
    </row>
    <row r="31" spans="1:11">
      <c r="A31" s="432" t="s">
        <v>327</v>
      </c>
      <c r="B31" s="433" t="s">
        <v>341</v>
      </c>
      <c r="C31" s="432" t="s">
        <v>198</v>
      </c>
      <c r="D31" s="454">
        <f>SUMMARY!C25</f>
        <v>22.4</v>
      </c>
      <c r="E31" s="698">
        <f>SUMMARY!D25</f>
        <v>84</v>
      </c>
      <c r="F31" s="473">
        <f t="shared" si="1"/>
        <v>1881.6</v>
      </c>
      <c r="G31" s="455">
        <f>SUMMARY!F25</f>
        <v>0</v>
      </c>
      <c r="H31" s="455"/>
      <c r="I31" s="455"/>
      <c r="J31" s="456">
        <f t="shared" si="0"/>
        <v>1881.6</v>
      </c>
      <c r="K31" s="458"/>
    </row>
    <row r="32" spans="1:11">
      <c r="A32" s="470" t="s">
        <v>327</v>
      </c>
      <c r="B32" s="433" t="s">
        <v>342</v>
      </c>
      <c r="C32" s="432" t="s">
        <v>343</v>
      </c>
      <c r="D32" s="454">
        <f>SUMMARY!C22</f>
        <v>0</v>
      </c>
      <c r="E32" s="698">
        <f>SUMMARY!D22</f>
        <v>0</v>
      </c>
      <c r="F32" s="473">
        <f t="shared" si="1"/>
        <v>0</v>
      </c>
      <c r="G32" s="455">
        <f>SUMMARY!F22</f>
        <v>0</v>
      </c>
      <c r="H32" s="455"/>
      <c r="I32" s="455"/>
      <c r="J32" s="456">
        <f t="shared" si="0"/>
        <v>0</v>
      </c>
      <c r="K32" s="458"/>
    </row>
    <row r="33" spans="1:11">
      <c r="A33" s="432" t="s">
        <v>327</v>
      </c>
      <c r="B33" s="433" t="s">
        <v>344</v>
      </c>
      <c r="C33" s="432" t="s">
        <v>345</v>
      </c>
      <c r="D33" s="454">
        <f>SUMMARY!C27</f>
        <v>0</v>
      </c>
      <c r="E33" s="698">
        <f>SUMMARY!D27</f>
        <v>0</v>
      </c>
      <c r="F33" s="473">
        <f t="shared" si="1"/>
        <v>0</v>
      </c>
      <c r="G33" s="455">
        <f>SUMMARY!F27</f>
        <v>0</v>
      </c>
      <c r="H33" s="455"/>
      <c r="I33" s="455"/>
      <c r="J33" s="456">
        <f t="shared" si="0"/>
        <v>0</v>
      </c>
      <c r="K33" s="458"/>
    </row>
    <row r="34" spans="1:11">
      <c r="A34" s="687" t="s">
        <v>327</v>
      </c>
      <c r="B34" s="433" t="s">
        <v>412</v>
      </c>
      <c r="C34" s="687" t="s">
        <v>346</v>
      </c>
      <c r="D34" s="454">
        <f>SUMMARY!C28</f>
        <v>0</v>
      </c>
      <c r="E34" s="698">
        <f>SUMMARY!D28</f>
        <v>0</v>
      </c>
      <c r="F34" s="473">
        <f t="shared" si="1"/>
        <v>0</v>
      </c>
      <c r="G34" s="455">
        <f>SUMMARY!F28</f>
        <v>0</v>
      </c>
      <c r="H34" s="455"/>
      <c r="I34" s="455"/>
      <c r="J34" s="456">
        <f t="shared" si="0"/>
        <v>0</v>
      </c>
      <c r="K34" s="458"/>
    </row>
    <row r="35" spans="1:11" hidden="1">
      <c r="A35" s="471" t="s">
        <v>403</v>
      </c>
      <c r="B35" s="433" t="s">
        <v>413</v>
      </c>
      <c r="C35" s="687" t="s">
        <v>656</v>
      </c>
      <c r="D35" s="454"/>
      <c r="E35" s="699"/>
      <c r="F35" s="473">
        <f>E35*D35</f>
        <v>0</v>
      </c>
      <c r="G35" s="455"/>
      <c r="H35" s="455"/>
      <c r="I35" s="455"/>
      <c r="J35" s="456">
        <f>SUM(F35:I35)</f>
        <v>0</v>
      </c>
      <c r="K35" s="458"/>
    </row>
    <row r="36" spans="1:11">
      <c r="A36" s="432" t="s">
        <v>327</v>
      </c>
      <c r="B36" s="469" t="s">
        <v>397</v>
      </c>
      <c r="C36" s="432" t="s">
        <v>198</v>
      </c>
      <c r="D36" s="460"/>
      <c r="E36" s="700"/>
      <c r="F36" s="474"/>
      <c r="G36" s="461"/>
      <c r="H36" s="461">
        <f>SUMMARY!$C35</f>
        <v>0</v>
      </c>
      <c r="I36" s="461"/>
      <c r="J36" s="456">
        <f t="shared" si="0"/>
        <v>0</v>
      </c>
      <c r="K36" s="458"/>
    </row>
    <row r="37" spans="1:11">
      <c r="A37" s="432" t="s">
        <v>327</v>
      </c>
      <c r="B37" s="469" t="s">
        <v>398</v>
      </c>
      <c r="C37" s="432" t="s">
        <v>361</v>
      </c>
      <c r="D37" s="460"/>
      <c r="E37" s="700"/>
      <c r="F37" s="474"/>
      <c r="G37" s="461"/>
      <c r="H37" s="461">
        <f>SUMMARY!$C36</f>
        <v>0</v>
      </c>
      <c r="I37" s="461"/>
      <c r="J37" s="456">
        <f t="shared" si="0"/>
        <v>0</v>
      </c>
      <c r="K37" s="458"/>
    </row>
    <row r="38" spans="1:11">
      <c r="A38" s="432" t="s">
        <v>327</v>
      </c>
      <c r="B38" s="469" t="s">
        <v>421</v>
      </c>
      <c r="C38" s="432" t="s">
        <v>220</v>
      </c>
      <c r="D38" s="460"/>
      <c r="E38" s="700"/>
      <c r="F38" s="474"/>
      <c r="G38" s="461"/>
      <c r="H38" s="461">
        <f>SUMMARY!$C37</f>
        <v>0</v>
      </c>
      <c r="I38" s="461"/>
      <c r="J38" s="456">
        <f t="shared" si="0"/>
        <v>0</v>
      </c>
      <c r="K38" s="458"/>
    </row>
    <row r="39" spans="1:11">
      <c r="A39" s="432" t="s">
        <v>327</v>
      </c>
      <c r="B39" s="469" t="s">
        <v>422</v>
      </c>
      <c r="C39" s="432" t="s">
        <v>221</v>
      </c>
      <c r="D39" s="460"/>
      <c r="E39" s="700"/>
      <c r="F39" s="474"/>
      <c r="G39" s="461"/>
      <c r="H39" s="461">
        <f>SUMMARY!$C38</f>
        <v>0</v>
      </c>
      <c r="I39" s="461"/>
      <c r="J39" s="456">
        <f t="shared" si="0"/>
        <v>0</v>
      </c>
      <c r="K39" s="458"/>
    </row>
    <row r="40" spans="1:11">
      <c r="A40" s="432" t="s">
        <v>327</v>
      </c>
      <c r="B40" s="469" t="s">
        <v>423</v>
      </c>
      <c r="C40" s="432" t="s">
        <v>362</v>
      </c>
      <c r="D40" s="460"/>
      <c r="E40" s="700"/>
      <c r="F40" s="474"/>
      <c r="G40" s="461"/>
      <c r="H40" s="461">
        <f>SUMMARY!$C39</f>
        <v>0</v>
      </c>
      <c r="I40" s="461"/>
      <c r="J40" s="456">
        <f t="shared" si="0"/>
        <v>0</v>
      </c>
      <c r="K40" s="458"/>
    </row>
    <row r="41" spans="1:11">
      <c r="A41" s="432" t="s">
        <v>327</v>
      </c>
      <c r="B41" s="469" t="s">
        <v>424</v>
      </c>
      <c r="C41" s="432" t="s">
        <v>66</v>
      </c>
      <c r="D41" s="460"/>
      <c r="E41" s="700"/>
      <c r="F41" s="474"/>
      <c r="G41" s="461"/>
      <c r="H41" s="461">
        <f>SUMMARY!$H35</f>
        <v>0</v>
      </c>
      <c r="I41" s="461"/>
      <c r="J41" s="456">
        <f t="shared" si="0"/>
        <v>0</v>
      </c>
      <c r="K41" s="458"/>
    </row>
    <row r="42" spans="1:11">
      <c r="A42" s="432" t="s">
        <v>327</v>
      </c>
      <c r="B42" s="469" t="s">
        <v>399</v>
      </c>
      <c r="C42" s="432" t="s">
        <v>363</v>
      </c>
      <c r="D42" s="460"/>
      <c r="E42" s="700"/>
      <c r="F42" s="474"/>
      <c r="G42" s="461"/>
      <c r="H42" s="461">
        <f>SUMMARY!$H36</f>
        <v>0</v>
      </c>
      <c r="I42" s="461"/>
      <c r="J42" s="456">
        <f t="shared" si="0"/>
        <v>0</v>
      </c>
      <c r="K42" s="458"/>
    </row>
    <row r="43" spans="1:11">
      <c r="A43" s="432" t="s">
        <v>327</v>
      </c>
      <c r="B43" s="469" t="s">
        <v>425</v>
      </c>
      <c r="C43" s="432" t="s">
        <v>364</v>
      </c>
      <c r="D43" s="460"/>
      <c r="E43" s="700"/>
      <c r="F43" s="474"/>
      <c r="G43" s="461"/>
      <c r="H43" s="461">
        <f>SUMMARY!$H37</f>
        <v>0</v>
      </c>
      <c r="I43" s="461"/>
      <c r="J43" s="456">
        <f t="shared" si="0"/>
        <v>0</v>
      </c>
      <c r="K43" s="458"/>
    </row>
    <row r="44" spans="1:11">
      <c r="A44" s="432" t="s">
        <v>327</v>
      </c>
      <c r="B44" s="469" t="s">
        <v>426</v>
      </c>
      <c r="C44" s="687" t="s">
        <v>657</v>
      </c>
      <c r="D44" s="460"/>
      <c r="E44" s="700"/>
      <c r="F44" s="474"/>
      <c r="G44" s="461"/>
      <c r="H44" s="461">
        <f>SUMMARY!$H39</f>
        <v>0</v>
      </c>
      <c r="I44" s="461"/>
      <c r="J44" s="456">
        <f t="shared" si="0"/>
        <v>0</v>
      </c>
      <c r="K44" s="458"/>
    </row>
    <row r="45" spans="1:11">
      <c r="A45" s="432" t="s">
        <v>327</v>
      </c>
      <c r="B45" s="469" t="s">
        <v>400</v>
      </c>
      <c r="C45" s="432" t="s">
        <v>366</v>
      </c>
      <c r="D45" s="460"/>
      <c r="E45" s="700"/>
      <c r="F45" s="474"/>
      <c r="G45" s="461"/>
      <c r="H45" s="461">
        <f>SUMMARY!$H40</f>
        <v>0</v>
      </c>
      <c r="I45" s="461"/>
      <c r="J45" s="456">
        <f t="shared" si="0"/>
        <v>0</v>
      </c>
      <c r="K45" s="458"/>
    </row>
    <row r="46" spans="1:11">
      <c r="A46" s="432" t="s">
        <v>327</v>
      </c>
      <c r="B46" s="433" t="s">
        <v>401</v>
      </c>
      <c r="C46" s="687" t="s">
        <v>658</v>
      </c>
      <c r="D46" s="694">
        <f>SUMMARY!C12</f>
        <v>184</v>
      </c>
      <c r="E46" s="697">
        <f>SUMMARY!D12</f>
        <v>84</v>
      </c>
      <c r="F46" s="473">
        <f t="shared" ref="F46:F50" si="2">E46*D46</f>
        <v>15456</v>
      </c>
      <c r="G46" s="455">
        <f>SUMMARY!F12</f>
        <v>3900</v>
      </c>
      <c r="H46" s="455"/>
      <c r="I46" s="455"/>
      <c r="J46" s="456">
        <f t="shared" si="0"/>
        <v>19356</v>
      </c>
      <c r="K46" s="458"/>
    </row>
    <row r="47" spans="1:11">
      <c r="A47" s="432" t="s">
        <v>327</v>
      </c>
      <c r="B47" s="686" t="s">
        <v>402</v>
      </c>
      <c r="C47" s="432" t="s">
        <v>414</v>
      </c>
      <c r="D47" s="694">
        <f>SUMMARY!C13</f>
        <v>135</v>
      </c>
      <c r="E47" s="697">
        <f>SUMMARY!D13</f>
        <v>84</v>
      </c>
      <c r="F47" s="473">
        <f t="shared" si="2"/>
        <v>11340</v>
      </c>
      <c r="G47" s="455">
        <f>SUMMARY!F13</f>
        <v>54660</v>
      </c>
      <c r="H47" s="455"/>
      <c r="I47" s="455"/>
      <c r="J47" s="456">
        <f t="shared" si="0"/>
        <v>66000</v>
      </c>
      <c r="K47" s="458"/>
    </row>
    <row r="48" spans="1:11">
      <c r="A48" s="432" t="s">
        <v>327</v>
      </c>
      <c r="B48" s="433" t="s">
        <v>348</v>
      </c>
      <c r="C48" s="432" t="s">
        <v>349</v>
      </c>
      <c r="D48" s="695"/>
      <c r="E48" s="697"/>
      <c r="F48" s="473"/>
      <c r="G48" s="455"/>
      <c r="H48" s="455">
        <f>SUMMARY!L38</f>
        <v>5356.7142421875005</v>
      </c>
      <c r="I48" s="455"/>
      <c r="J48" s="456">
        <f t="shared" si="0"/>
        <v>5356.7142421875005</v>
      </c>
      <c r="K48" s="458"/>
    </row>
    <row r="49" spans="1:11">
      <c r="A49" s="432" t="s">
        <v>327</v>
      </c>
      <c r="B49" s="433" t="s">
        <v>350</v>
      </c>
      <c r="C49" s="687" t="s">
        <v>364</v>
      </c>
      <c r="D49" s="695">
        <f>SUMMARY!C54</f>
        <v>0</v>
      </c>
      <c r="E49" s="697">
        <f>SUMMARY!D54</f>
        <v>44</v>
      </c>
      <c r="F49" s="473">
        <f t="shared" si="2"/>
        <v>0</v>
      </c>
      <c r="G49" s="455"/>
      <c r="H49" s="455"/>
      <c r="I49" s="455"/>
      <c r="J49" s="456">
        <f t="shared" si="0"/>
        <v>0</v>
      </c>
      <c r="K49" s="458"/>
    </row>
    <row r="50" spans="1:11">
      <c r="A50" s="432" t="s">
        <v>327</v>
      </c>
      <c r="B50" s="686" t="s">
        <v>351</v>
      </c>
      <c r="C50" s="432" t="s">
        <v>270</v>
      </c>
      <c r="D50" s="694">
        <f>SUMMARY!C56</f>
        <v>0</v>
      </c>
      <c r="E50" s="697">
        <f>SUMMARY!D56</f>
        <v>65</v>
      </c>
      <c r="F50" s="473">
        <f t="shared" si="2"/>
        <v>0</v>
      </c>
      <c r="G50" s="455"/>
      <c r="H50" s="455"/>
      <c r="I50" s="455"/>
      <c r="J50" s="456">
        <f t="shared" si="0"/>
        <v>0</v>
      </c>
      <c r="K50" s="458"/>
    </row>
    <row r="51" spans="1:11">
      <c r="A51" s="432" t="s">
        <v>327</v>
      </c>
      <c r="B51" s="433" t="s">
        <v>352</v>
      </c>
      <c r="C51" s="432" t="s">
        <v>353</v>
      </c>
      <c r="D51" s="457"/>
      <c r="E51" s="699"/>
      <c r="F51" s="473"/>
      <c r="G51" s="455"/>
      <c r="H51" s="455"/>
      <c r="I51" s="455">
        <f>SUMMARY!L30</f>
        <v>1714.2</v>
      </c>
      <c r="J51" s="456">
        <f t="shared" ref="J51:J113" si="3">SUM(F51:I51)</f>
        <v>1714.2</v>
      </c>
    </row>
    <row r="52" spans="1:11">
      <c r="A52" s="432" t="s">
        <v>327</v>
      </c>
      <c r="B52" s="433" t="s">
        <v>354</v>
      </c>
      <c r="C52" s="687" t="s">
        <v>611</v>
      </c>
      <c r="D52" s="457"/>
      <c r="E52" s="699"/>
      <c r="F52" s="473"/>
      <c r="G52" s="455"/>
      <c r="H52" s="455"/>
      <c r="I52" s="455">
        <f>SUMMARY!E47</f>
        <v>18768.12890625</v>
      </c>
      <c r="J52" s="456">
        <f t="shared" si="3"/>
        <v>18768.12890625</v>
      </c>
      <c r="K52" s="458"/>
    </row>
    <row r="53" spans="1:11">
      <c r="A53" s="432" t="s">
        <v>327</v>
      </c>
      <c r="B53" s="433" t="s">
        <v>355</v>
      </c>
      <c r="C53" s="687" t="s">
        <v>659</v>
      </c>
      <c r="D53" s="459"/>
      <c r="E53" s="699"/>
      <c r="F53" s="473">
        <f>SUMMARY!E48</f>
        <v>0</v>
      </c>
      <c r="G53" s="455"/>
      <c r="H53" s="455"/>
      <c r="I53" s="455"/>
      <c r="J53" s="456">
        <f t="shared" si="3"/>
        <v>0</v>
      </c>
      <c r="K53" s="458"/>
    </row>
    <row r="54" spans="1:11">
      <c r="A54" s="432" t="s">
        <v>327</v>
      </c>
      <c r="B54" s="433" t="s">
        <v>356</v>
      </c>
      <c r="C54" s="687" t="s">
        <v>660</v>
      </c>
      <c r="D54" s="459"/>
      <c r="E54" s="699"/>
      <c r="F54" s="473">
        <f>SUMMARY!E51</f>
        <v>0</v>
      </c>
      <c r="G54" s="455"/>
      <c r="H54" s="455"/>
      <c r="I54" s="455"/>
      <c r="J54" s="456">
        <f t="shared" si="3"/>
        <v>0</v>
      </c>
      <c r="K54" s="458"/>
    </row>
    <row r="55" spans="1:11" hidden="1">
      <c r="A55" s="471" t="s">
        <v>403</v>
      </c>
      <c r="B55" s="433" t="s">
        <v>415</v>
      </c>
      <c r="C55" s="432" t="s">
        <v>416</v>
      </c>
      <c r="D55" s="460"/>
      <c r="E55" s="700"/>
      <c r="F55" s="474"/>
      <c r="G55" s="461"/>
      <c r="H55" s="461"/>
      <c r="I55" s="461"/>
      <c r="J55" s="456">
        <f t="shared" si="3"/>
        <v>0</v>
      </c>
      <c r="K55" s="458"/>
    </row>
    <row r="56" spans="1:11" hidden="1">
      <c r="A56" s="471" t="s">
        <v>403</v>
      </c>
      <c r="B56" s="433" t="s">
        <v>417</v>
      </c>
      <c r="C56" s="432" t="s">
        <v>418</v>
      </c>
      <c r="D56" s="460"/>
      <c r="E56" s="700"/>
      <c r="F56" s="474"/>
      <c r="G56" s="461"/>
      <c r="H56" s="461"/>
      <c r="I56" s="461"/>
      <c r="J56" s="456">
        <f t="shared" si="3"/>
        <v>0</v>
      </c>
      <c r="K56" s="458"/>
    </row>
    <row r="57" spans="1:11" hidden="1">
      <c r="A57" s="687" t="s">
        <v>403</v>
      </c>
      <c r="B57" s="686" t="s">
        <v>661</v>
      </c>
      <c r="C57" s="687" t="s">
        <v>662</v>
      </c>
      <c r="D57" s="460"/>
      <c r="E57" s="700"/>
      <c r="F57" s="474"/>
      <c r="G57" s="461"/>
      <c r="H57" s="461"/>
      <c r="I57" s="461"/>
      <c r="J57" s="456"/>
      <c r="K57" s="458"/>
    </row>
    <row r="58" spans="1:11" hidden="1">
      <c r="A58" s="687" t="s">
        <v>403</v>
      </c>
      <c r="B58" s="686" t="s">
        <v>663</v>
      </c>
      <c r="C58" s="687" t="s">
        <v>664</v>
      </c>
      <c r="D58" s="460"/>
      <c r="E58" s="700"/>
      <c r="F58" s="474"/>
      <c r="G58" s="461"/>
      <c r="H58" s="461"/>
      <c r="I58" s="461"/>
      <c r="J58" s="456"/>
      <c r="K58" s="458"/>
    </row>
    <row r="59" spans="1:11" hidden="1">
      <c r="A59" s="687" t="s">
        <v>403</v>
      </c>
      <c r="B59" s="686" t="s">
        <v>665</v>
      </c>
      <c r="C59" s="687" t="s">
        <v>666</v>
      </c>
      <c r="D59" s="460"/>
      <c r="E59" s="700"/>
      <c r="F59" s="474"/>
      <c r="G59" s="461"/>
      <c r="H59" s="461"/>
      <c r="I59" s="461"/>
      <c r="J59" s="456"/>
      <c r="K59" s="458"/>
    </row>
    <row r="60" spans="1:11">
      <c r="A60" s="432" t="s">
        <v>327</v>
      </c>
      <c r="B60" s="433" t="s">
        <v>357</v>
      </c>
      <c r="C60" s="432" t="s">
        <v>358</v>
      </c>
      <c r="D60" s="696">
        <f>SUMMARY!C31</f>
        <v>0</v>
      </c>
      <c r="E60" s="697">
        <f>SUMMARY!D31</f>
        <v>0</v>
      </c>
      <c r="F60" s="473">
        <f t="shared" ref="F60" si="4">E60*D60</f>
        <v>0</v>
      </c>
      <c r="G60" s="461">
        <f>SUMMARY!F31</f>
        <v>0</v>
      </c>
      <c r="H60" s="461"/>
      <c r="I60" s="461"/>
      <c r="J60" s="456">
        <f t="shared" si="3"/>
        <v>0</v>
      </c>
      <c r="K60" s="458"/>
    </row>
    <row r="61" spans="1:11">
      <c r="A61" s="432" t="s">
        <v>327</v>
      </c>
      <c r="B61" s="433" t="s">
        <v>419</v>
      </c>
      <c r="C61" s="432" t="s">
        <v>420</v>
      </c>
      <c r="D61" s="696"/>
      <c r="E61" s="697"/>
      <c r="F61" s="474"/>
      <c r="G61" s="461"/>
      <c r="H61" s="461">
        <f>SUMMARY!C40</f>
        <v>0</v>
      </c>
      <c r="I61" s="461"/>
      <c r="J61" s="456">
        <f t="shared" si="3"/>
        <v>0</v>
      </c>
      <c r="K61" s="458"/>
    </row>
    <row r="62" spans="1:11">
      <c r="A62" s="432" t="s">
        <v>327</v>
      </c>
      <c r="B62" s="433" t="s">
        <v>359</v>
      </c>
      <c r="C62" s="432" t="s">
        <v>360</v>
      </c>
      <c r="D62" s="696"/>
      <c r="E62" s="697"/>
      <c r="F62" s="474"/>
      <c r="G62" s="461"/>
      <c r="H62" s="461">
        <f>SUMMARY!L39</f>
        <v>0</v>
      </c>
      <c r="I62" s="461"/>
      <c r="J62" s="456">
        <f t="shared" si="3"/>
        <v>0</v>
      </c>
      <c r="K62" s="458"/>
    </row>
    <row r="63" spans="1:11" hidden="1">
      <c r="A63" s="687" t="s">
        <v>403</v>
      </c>
      <c r="B63" s="686" t="s">
        <v>672</v>
      </c>
      <c r="C63" s="687" t="s">
        <v>673</v>
      </c>
      <c r="D63" s="696"/>
      <c r="E63" s="697"/>
      <c r="F63" s="474"/>
      <c r="G63" s="461"/>
      <c r="H63" s="461"/>
      <c r="I63" s="461"/>
      <c r="J63" s="456"/>
      <c r="K63" s="458"/>
    </row>
    <row r="64" spans="1:11">
      <c r="A64" s="432" t="s">
        <v>327</v>
      </c>
      <c r="B64" s="686" t="s">
        <v>667</v>
      </c>
      <c r="C64" s="432" t="s">
        <v>367</v>
      </c>
      <c r="D64" s="696">
        <f>SUMMARY!I6</f>
        <v>0</v>
      </c>
      <c r="E64" s="697">
        <f>SUMMARY!J6</f>
        <v>0</v>
      </c>
      <c r="F64" s="473">
        <f t="shared" ref="F64:F77" si="5">E64*D64</f>
        <v>0</v>
      </c>
      <c r="G64" s="461">
        <f>SUMMARY!L6</f>
        <v>0</v>
      </c>
      <c r="H64" s="461"/>
      <c r="I64" s="461"/>
      <c r="J64" s="456">
        <f t="shared" si="3"/>
        <v>0</v>
      </c>
      <c r="K64" s="458"/>
    </row>
    <row r="65" spans="1:11">
      <c r="A65" s="432" t="s">
        <v>327</v>
      </c>
      <c r="B65" s="686" t="s">
        <v>668</v>
      </c>
      <c r="C65" s="432" t="s">
        <v>368</v>
      </c>
      <c r="D65" s="696">
        <f>SUMMARY!I8</f>
        <v>0</v>
      </c>
      <c r="E65" s="697">
        <f>SUMMARY!J8</f>
        <v>0</v>
      </c>
      <c r="F65" s="473">
        <f t="shared" si="5"/>
        <v>0</v>
      </c>
      <c r="G65" s="461">
        <f>SUMMARY!L8</f>
        <v>0</v>
      </c>
      <c r="H65" s="461"/>
      <c r="I65" s="461"/>
      <c r="J65" s="456">
        <f t="shared" si="3"/>
        <v>0</v>
      </c>
      <c r="K65" s="458"/>
    </row>
    <row r="66" spans="1:11">
      <c r="A66" s="432" t="s">
        <v>327</v>
      </c>
      <c r="B66" s="686" t="s">
        <v>669</v>
      </c>
      <c r="C66" s="432" t="s">
        <v>257</v>
      </c>
      <c r="D66" s="696">
        <f>SUMMARY!I12</f>
        <v>0</v>
      </c>
      <c r="E66" s="697">
        <f>SUMMARY!J12</f>
        <v>0</v>
      </c>
      <c r="F66" s="473">
        <f t="shared" si="5"/>
        <v>0</v>
      </c>
      <c r="G66" s="461">
        <f>SUMMARY!L12</f>
        <v>0</v>
      </c>
      <c r="H66" s="461"/>
      <c r="I66" s="461"/>
      <c r="J66" s="456">
        <f t="shared" si="3"/>
        <v>0</v>
      </c>
      <c r="K66" s="458"/>
    </row>
    <row r="67" spans="1:11">
      <c r="A67" s="432" t="s">
        <v>327</v>
      </c>
      <c r="B67" s="433" t="s">
        <v>369</v>
      </c>
      <c r="C67" s="471" t="s">
        <v>427</v>
      </c>
      <c r="D67" s="696">
        <f>SUMMARY!I14</f>
        <v>0</v>
      </c>
      <c r="E67" s="697">
        <f>SUMMARY!J14</f>
        <v>0</v>
      </c>
      <c r="F67" s="473">
        <f t="shared" si="5"/>
        <v>0</v>
      </c>
      <c r="G67" s="461">
        <f>SUMMARY!L14</f>
        <v>0</v>
      </c>
      <c r="H67" s="461"/>
      <c r="I67" s="461"/>
      <c r="J67" s="456">
        <f t="shared" si="3"/>
        <v>0</v>
      </c>
      <c r="K67" s="458"/>
    </row>
    <row r="68" spans="1:11">
      <c r="A68" s="432" t="s">
        <v>327</v>
      </c>
      <c r="B68" s="433" t="s">
        <v>370</v>
      </c>
      <c r="C68" s="432" t="s">
        <v>371</v>
      </c>
      <c r="D68" s="696">
        <f>SUMMARY!I15</f>
        <v>0</v>
      </c>
      <c r="E68" s="697">
        <f>SUMMARY!J15</f>
        <v>0</v>
      </c>
      <c r="F68" s="473">
        <f t="shared" si="5"/>
        <v>0</v>
      </c>
      <c r="G68" s="461">
        <f>SUMMARY!L15</f>
        <v>0</v>
      </c>
      <c r="H68" s="461"/>
      <c r="I68" s="461"/>
      <c r="J68" s="456">
        <f t="shared" si="3"/>
        <v>0</v>
      </c>
      <c r="K68" s="458"/>
    </row>
    <row r="69" spans="1:11">
      <c r="A69" s="432" t="s">
        <v>327</v>
      </c>
      <c r="B69" s="433" t="s">
        <v>372</v>
      </c>
      <c r="C69" s="432" t="s">
        <v>373</v>
      </c>
      <c r="D69" s="696">
        <f>SUMMARY!I16</f>
        <v>0</v>
      </c>
      <c r="E69" s="697">
        <f>SUMMARY!J16</f>
        <v>0</v>
      </c>
      <c r="F69" s="473">
        <f t="shared" si="5"/>
        <v>0</v>
      </c>
      <c r="G69" s="461">
        <f>SUMMARY!L16</f>
        <v>0</v>
      </c>
      <c r="H69" s="461"/>
      <c r="I69" s="461"/>
      <c r="J69" s="456">
        <f t="shared" si="3"/>
        <v>0</v>
      </c>
      <c r="K69" s="458"/>
    </row>
    <row r="70" spans="1:11">
      <c r="A70" s="432" t="s">
        <v>327</v>
      </c>
      <c r="B70" s="433" t="s">
        <v>374</v>
      </c>
      <c r="C70" s="432" t="s">
        <v>375</v>
      </c>
      <c r="D70" s="696">
        <f>SUMMARY!I17</f>
        <v>0</v>
      </c>
      <c r="E70" s="697">
        <f>SUMMARY!J17</f>
        <v>0</v>
      </c>
      <c r="F70" s="473">
        <f t="shared" si="5"/>
        <v>0</v>
      </c>
      <c r="G70" s="461">
        <f>SUMMARY!L17</f>
        <v>0</v>
      </c>
      <c r="H70" s="461"/>
      <c r="I70" s="461"/>
      <c r="J70" s="456">
        <f t="shared" si="3"/>
        <v>0</v>
      </c>
      <c r="K70" s="458"/>
    </row>
    <row r="71" spans="1:11">
      <c r="A71" s="432" t="s">
        <v>327</v>
      </c>
      <c r="B71" s="433" t="s">
        <v>376</v>
      </c>
      <c r="C71" s="432" t="s">
        <v>377</v>
      </c>
      <c r="D71" s="696">
        <f>SUMMARY!I20</f>
        <v>0</v>
      </c>
      <c r="E71" s="697">
        <f>SUMMARY!J20</f>
        <v>0</v>
      </c>
      <c r="F71" s="473">
        <f t="shared" si="5"/>
        <v>0</v>
      </c>
      <c r="G71" s="461">
        <f>SUMMARY!L20</f>
        <v>0</v>
      </c>
      <c r="H71" s="461"/>
      <c r="I71" s="461"/>
      <c r="J71" s="456">
        <f t="shared" si="3"/>
        <v>0</v>
      </c>
      <c r="K71" s="458"/>
    </row>
    <row r="72" spans="1:11">
      <c r="A72" s="432" t="s">
        <v>327</v>
      </c>
      <c r="B72" s="433" t="s">
        <v>378</v>
      </c>
      <c r="C72" s="432" t="s">
        <v>379</v>
      </c>
      <c r="D72" s="696">
        <f>SUMMARY!I21</f>
        <v>0</v>
      </c>
      <c r="E72" s="697">
        <f>SUMMARY!J21</f>
        <v>0</v>
      </c>
      <c r="F72" s="473">
        <f t="shared" si="5"/>
        <v>0</v>
      </c>
      <c r="G72" s="461">
        <f>SUMMARY!L21</f>
        <v>0</v>
      </c>
      <c r="H72" s="461"/>
      <c r="I72" s="461"/>
      <c r="J72" s="456">
        <f t="shared" si="3"/>
        <v>0</v>
      </c>
      <c r="K72" s="458"/>
    </row>
    <row r="73" spans="1:11">
      <c r="A73" s="432" t="s">
        <v>327</v>
      </c>
      <c r="B73" s="433" t="s">
        <v>380</v>
      </c>
      <c r="C73" s="432" t="s">
        <v>381</v>
      </c>
      <c r="D73" s="696">
        <f>SUMMARY!I18</f>
        <v>0</v>
      </c>
      <c r="E73" s="697">
        <f>SUMMARY!J18</f>
        <v>0</v>
      </c>
      <c r="F73" s="473">
        <f t="shared" si="5"/>
        <v>0</v>
      </c>
      <c r="G73" s="461">
        <f>SUMMARY!L18</f>
        <v>0</v>
      </c>
      <c r="H73" s="461"/>
      <c r="I73" s="461"/>
      <c r="J73" s="456">
        <f t="shared" si="3"/>
        <v>0</v>
      </c>
      <c r="K73" s="458"/>
    </row>
    <row r="74" spans="1:11">
      <c r="A74" s="432" t="s">
        <v>327</v>
      </c>
      <c r="B74" s="433" t="s">
        <v>382</v>
      </c>
      <c r="C74" s="687" t="s">
        <v>670</v>
      </c>
      <c r="D74" s="696">
        <f>SUMMARY!I23</f>
        <v>0</v>
      </c>
      <c r="E74" s="697">
        <f>SUMMARY!J23</f>
        <v>0</v>
      </c>
      <c r="F74" s="473">
        <f t="shared" si="5"/>
        <v>0</v>
      </c>
      <c r="G74" s="461">
        <f>SUMMARY!L23</f>
        <v>0</v>
      </c>
      <c r="H74" s="461"/>
      <c r="I74" s="461"/>
      <c r="J74" s="456">
        <f t="shared" si="3"/>
        <v>0</v>
      </c>
      <c r="K74" s="458"/>
    </row>
    <row r="75" spans="1:11">
      <c r="A75" s="432" t="s">
        <v>327</v>
      </c>
      <c r="B75" s="433" t="s">
        <v>383</v>
      </c>
      <c r="C75" s="432" t="s">
        <v>384</v>
      </c>
      <c r="D75" s="696">
        <f>SUMMARY!I24</f>
        <v>0</v>
      </c>
      <c r="E75" s="697">
        <f>SUMMARY!J24</f>
        <v>0</v>
      </c>
      <c r="F75" s="473">
        <f t="shared" si="5"/>
        <v>0</v>
      </c>
      <c r="G75" s="461">
        <f>SUMMARY!L24</f>
        <v>0</v>
      </c>
      <c r="H75" s="461"/>
      <c r="I75" s="461"/>
      <c r="J75" s="456">
        <f t="shared" si="3"/>
        <v>0</v>
      </c>
      <c r="K75" s="458"/>
    </row>
    <row r="76" spans="1:11">
      <c r="A76" s="432" t="s">
        <v>327</v>
      </c>
      <c r="B76" s="701" t="s">
        <v>676</v>
      </c>
      <c r="C76" s="432" t="s">
        <v>385</v>
      </c>
      <c r="D76" s="696">
        <f>SUMMARY!I10</f>
        <v>0</v>
      </c>
      <c r="E76" s="697">
        <f>SUMMARY!J10</f>
        <v>0</v>
      </c>
      <c r="F76" s="473">
        <f t="shared" si="5"/>
        <v>0</v>
      </c>
      <c r="G76" s="461">
        <f>SUMMARY!L10</f>
        <v>0</v>
      </c>
      <c r="H76" s="461"/>
      <c r="I76" s="461"/>
      <c r="J76" s="456">
        <f t="shared" si="3"/>
        <v>0</v>
      </c>
      <c r="K76" s="458"/>
    </row>
    <row r="77" spans="1:11">
      <c r="A77" s="432" t="s">
        <v>327</v>
      </c>
      <c r="B77" s="701" t="s">
        <v>677</v>
      </c>
      <c r="C77" s="432" t="s">
        <v>386</v>
      </c>
      <c r="D77" s="696">
        <f>SUMMARY!I11</f>
        <v>0</v>
      </c>
      <c r="E77" s="697">
        <f>SUMMARY!J11</f>
        <v>0</v>
      </c>
      <c r="F77" s="473">
        <f t="shared" si="5"/>
        <v>0</v>
      </c>
      <c r="G77" s="461">
        <f>SUMMARY!L11</f>
        <v>0</v>
      </c>
      <c r="H77" s="461"/>
      <c r="I77" s="461"/>
      <c r="J77" s="456">
        <f t="shared" si="3"/>
        <v>0</v>
      </c>
      <c r="K77" s="458"/>
    </row>
    <row r="78" spans="1:11">
      <c r="A78" s="432" t="s">
        <v>327</v>
      </c>
      <c r="B78" s="433" t="s">
        <v>387</v>
      </c>
      <c r="C78" s="432" t="s">
        <v>388</v>
      </c>
      <c r="D78" s="696"/>
      <c r="E78" s="697"/>
      <c r="F78" s="474">
        <f>SUMMARY!E49+SUMMARY!E50</f>
        <v>0</v>
      </c>
      <c r="G78" s="461"/>
      <c r="H78" s="461"/>
      <c r="I78" s="461"/>
      <c r="J78" s="456">
        <f t="shared" si="3"/>
        <v>0</v>
      </c>
      <c r="K78" s="458"/>
    </row>
    <row r="79" spans="1:11">
      <c r="A79" s="432" t="s">
        <v>327</v>
      </c>
      <c r="B79" s="433" t="s">
        <v>389</v>
      </c>
      <c r="C79" s="432" t="s">
        <v>390</v>
      </c>
      <c r="D79" s="696"/>
      <c r="E79" s="697"/>
      <c r="F79" s="474">
        <f>SUMMARY!E52+SUMMARY!E53</f>
        <v>0</v>
      </c>
      <c r="G79" s="461"/>
      <c r="H79" s="461"/>
      <c r="I79" s="461"/>
      <c r="J79" s="456">
        <f t="shared" si="3"/>
        <v>0</v>
      </c>
      <c r="K79" s="458"/>
    </row>
    <row r="80" spans="1:11">
      <c r="A80" s="432" t="s">
        <v>327</v>
      </c>
      <c r="B80" s="472" t="s">
        <v>428</v>
      </c>
      <c r="C80" s="687" t="s">
        <v>671</v>
      </c>
      <c r="D80" s="696">
        <f>SUMMARY!I26</f>
        <v>0</v>
      </c>
      <c r="E80" s="697">
        <f>SUMMARY!J26</f>
        <v>0</v>
      </c>
      <c r="F80" s="473">
        <f t="shared" ref="F80" si="6">E80*D80</f>
        <v>0</v>
      </c>
      <c r="G80" s="461">
        <f>SUMMARY!L26</f>
        <v>0</v>
      </c>
      <c r="H80" s="461"/>
      <c r="I80" s="461"/>
      <c r="J80" s="456">
        <f t="shared" si="3"/>
        <v>0</v>
      </c>
      <c r="K80" s="458"/>
    </row>
    <row r="81" spans="1:11" hidden="1">
      <c r="A81" s="470" t="s">
        <v>403</v>
      </c>
      <c r="D81" s="460"/>
      <c r="E81" s="691"/>
      <c r="F81" s="474"/>
      <c r="G81" s="461"/>
      <c r="H81" s="461"/>
      <c r="I81" s="461"/>
      <c r="J81" s="456">
        <f t="shared" si="3"/>
        <v>0</v>
      </c>
      <c r="K81" s="458"/>
    </row>
    <row r="82" spans="1:11" hidden="1">
      <c r="A82" s="470" t="s">
        <v>403</v>
      </c>
      <c r="D82" s="460"/>
      <c r="E82" s="691"/>
      <c r="F82" s="474"/>
      <c r="G82" s="461"/>
      <c r="H82" s="461"/>
      <c r="I82" s="461"/>
      <c r="J82" s="456">
        <f t="shared" si="3"/>
        <v>0</v>
      </c>
      <c r="K82" s="458"/>
    </row>
    <row r="83" spans="1:11" hidden="1">
      <c r="A83" s="470" t="s">
        <v>403</v>
      </c>
      <c r="D83" s="460"/>
      <c r="E83" s="691"/>
      <c r="F83" s="474"/>
      <c r="G83" s="461"/>
      <c r="H83" s="461"/>
      <c r="I83" s="461"/>
      <c r="J83" s="456">
        <f t="shared" si="3"/>
        <v>0</v>
      </c>
      <c r="K83" s="458"/>
    </row>
    <row r="84" spans="1:11" hidden="1">
      <c r="A84" s="470" t="s">
        <v>403</v>
      </c>
      <c r="D84" s="460"/>
      <c r="E84" s="691"/>
      <c r="F84" s="474"/>
      <c r="G84" s="461"/>
      <c r="H84" s="461"/>
      <c r="I84" s="461"/>
      <c r="J84" s="456">
        <f t="shared" si="3"/>
        <v>0</v>
      </c>
      <c r="K84" s="458"/>
    </row>
    <row r="85" spans="1:11" hidden="1">
      <c r="A85" s="470" t="s">
        <v>403</v>
      </c>
      <c r="D85" s="460"/>
      <c r="E85" s="691"/>
      <c r="F85" s="474"/>
      <c r="G85" s="461"/>
      <c r="H85" s="461"/>
      <c r="I85" s="461"/>
      <c r="J85" s="456">
        <f t="shared" si="3"/>
        <v>0</v>
      </c>
      <c r="K85" s="458"/>
    </row>
    <row r="86" spans="1:11" hidden="1">
      <c r="A86" s="470" t="s">
        <v>403</v>
      </c>
      <c r="D86" s="460"/>
      <c r="E86" s="691"/>
      <c r="F86" s="474"/>
      <c r="G86" s="461"/>
      <c r="H86" s="461"/>
      <c r="I86" s="461"/>
      <c r="J86" s="456">
        <f t="shared" si="3"/>
        <v>0</v>
      </c>
      <c r="K86" s="458"/>
    </row>
    <row r="87" spans="1:11" hidden="1">
      <c r="A87" s="470" t="s">
        <v>403</v>
      </c>
      <c r="D87" s="460"/>
      <c r="E87" s="691"/>
      <c r="F87" s="474"/>
      <c r="G87" s="461"/>
      <c r="H87" s="461"/>
      <c r="I87" s="461"/>
      <c r="J87" s="456">
        <f t="shared" si="3"/>
        <v>0</v>
      </c>
      <c r="K87" s="458"/>
    </row>
    <row r="88" spans="1:11" hidden="1">
      <c r="A88" s="470" t="s">
        <v>403</v>
      </c>
      <c r="D88" s="460"/>
      <c r="E88" s="691"/>
      <c r="F88" s="474"/>
      <c r="G88" s="461"/>
      <c r="H88" s="461"/>
      <c r="I88" s="461"/>
      <c r="J88" s="456">
        <f t="shared" si="3"/>
        <v>0</v>
      </c>
      <c r="K88" s="458"/>
    </row>
    <row r="89" spans="1:11" hidden="1">
      <c r="A89" s="470" t="s">
        <v>403</v>
      </c>
      <c r="D89" s="460"/>
      <c r="E89" s="691"/>
      <c r="F89" s="474"/>
      <c r="G89" s="461"/>
      <c r="H89" s="461"/>
      <c r="I89" s="461"/>
      <c r="J89" s="456">
        <f t="shared" si="3"/>
        <v>0</v>
      </c>
      <c r="K89" s="458"/>
    </row>
    <row r="90" spans="1:11" hidden="1">
      <c r="A90" s="470" t="s">
        <v>403</v>
      </c>
      <c r="D90" s="460"/>
      <c r="E90" s="691"/>
      <c r="F90" s="474"/>
      <c r="G90" s="461"/>
      <c r="H90" s="461"/>
      <c r="I90" s="461"/>
      <c r="J90" s="456">
        <f t="shared" si="3"/>
        <v>0</v>
      </c>
      <c r="K90" s="458"/>
    </row>
    <row r="91" spans="1:11" hidden="1">
      <c r="A91" s="470" t="s">
        <v>403</v>
      </c>
      <c r="D91" s="460"/>
      <c r="E91" s="691"/>
      <c r="F91" s="474"/>
      <c r="G91" s="461"/>
      <c r="H91" s="461"/>
      <c r="I91" s="461"/>
      <c r="J91" s="456">
        <f t="shared" si="3"/>
        <v>0</v>
      </c>
      <c r="K91" s="458"/>
    </row>
    <row r="92" spans="1:11" hidden="1">
      <c r="A92" s="470" t="s">
        <v>403</v>
      </c>
      <c r="D92" s="460"/>
      <c r="E92" s="691"/>
      <c r="F92" s="474"/>
      <c r="G92" s="461"/>
      <c r="H92" s="461"/>
      <c r="I92" s="461"/>
      <c r="J92" s="456">
        <f t="shared" si="3"/>
        <v>0</v>
      </c>
      <c r="K92" s="458"/>
    </row>
    <row r="93" spans="1:11" hidden="1">
      <c r="A93" s="470" t="s">
        <v>403</v>
      </c>
      <c r="D93" s="460"/>
      <c r="E93" s="691"/>
      <c r="F93" s="474"/>
      <c r="G93" s="461"/>
      <c r="H93" s="461"/>
      <c r="I93" s="461"/>
      <c r="J93" s="456">
        <f t="shared" si="3"/>
        <v>0</v>
      </c>
      <c r="K93" s="458"/>
    </row>
    <row r="94" spans="1:11" hidden="1">
      <c r="A94" s="470" t="s">
        <v>403</v>
      </c>
      <c r="D94" s="460"/>
      <c r="E94" s="691"/>
      <c r="F94" s="474"/>
      <c r="G94" s="461"/>
      <c r="H94" s="461"/>
      <c r="I94" s="461"/>
      <c r="J94" s="456">
        <f t="shared" si="3"/>
        <v>0</v>
      </c>
      <c r="K94" s="458"/>
    </row>
    <row r="95" spans="1:11" hidden="1">
      <c r="A95" s="470" t="s">
        <v>403</v>
      </c>
      <c r="D95" s="460"/>
      <c r="E95" s="691"/>
      <c r="F95" s="474"/>
      <c r="G95" s="461"/>
      <c r="H95" s="461"/>
      <c r="I95" s="461"/>
      <c r="J95" s="456">
        <f t="shared" si="3"/>
        <v>0</v>
      </c>
      <c r="K95" s="458"/>
    </row>
    <row r="96" spans="1:11" hidden="1">
      <c r="A96" s="470" t="s">
        <v>403</v>
      </c>
      <c r="D96" s="460"/>
      <c r="E96" s="691"/>
      <c r="F96" s="474"/>
      <c r="G96" s="461"/>
      <c r="H96" s="461"/>
      <c r="I96" s="461"/>
      <c r="J96" s="456">
        <f t="shared" si="3"/>
        <v>0</v>
      </c>
      <c r="K96" s="458"/>
    </row>
    <row r="97" spans="1:11" hidden="1">
      <c r="A97" s="470" t="s">
        <v>403</v>
      </c>
      <c r="D97" s="460"/>
      <c r="E97" s="691"/>
      <c r="F97" s="474"/>
      <c r="G97" s="461"/>
      <c r="H97" s="461"/>
      <c r="I97" s="461"/>
      <c r="J97" s="456">
        <f t="shared" si="3"/>
        <v>0</v>
      </c>
      <c r="K97" s="458"/>
    </row>
    <row r="98" spans="1:11" hidden="1">
      <c r="A98" s="470" t="s">
        <v>403</v>
      </c>
      <c r="D98" s="460"/>
      <c r="E98" s="691"/>
      <c r="F98" s="474"/>
      <c r="G98" s="461"/>
      <c r="H98" s="461"/>
      <c r="I98" s="461"/>
      <c r="J98" s="456">
        <f t="shared" si="3"/>
        <v>0</v>
      </c>
      <c r="K98" s="458"/>
    </row>
    <row r="99" spans="1:11" hidden="1">
      <c r="A99" s="470" t="s">
        <v>403</v>
      </c>
      <c r="D99" s="460"/>
      <c r="E99" s="691"/>
      <c r="F99" s="474"/>
      <c r="G99" s="461"/>
      <c r="H99" s="461"/>
      <c r="I99" s="461"/>
      <c r="J99" s="456">
        <f t="shared" si="3"/>
        <v>0</v>
      </c>
      <c r="K99" s="458"/>
    </row>
    <row r="100" spans="1:11" hidden="1">
      <c r="A100" s="470" t="s">
        <v>403</v>
      </c>
      <c r="D100" s="460"/>
      <c r="E100" s="691"/>
      <c r="F100" s="474"/>
      <c r="G100" s="461"/>
      <c r="H100" s="461"/>
      <c r="I100" s="461"/>
      <c r="J100" s="456">
        <f t="shared" si="3"/>
        <v>0</v>
      </c>
      <c r="K100" s="458"/>
    </row>
    <row r="101" spans="1:11" hidden="1">
      <c r="A101" s="470" t="s">
        <v>403</v>
      </c>
      <c r="D101" s="460"/>
      <c r="E101" s="691"/>
      <c r="F101" s="474"/>
      <c r="G101" s="461"/>
      <c r="H101" s="461"/>
      <c r="I101" s="461"/>
      <c r="J101" s="456">
        <f t="shared" si="3"/>
        <v>0</v>
      </c>
      <c r="K101" s="458"/>
    </row>
    <row r="102" spans="1:11" hidden="1">
      <c r="A102" s="470" t="s">
        <v>403</v>
      </c>
      <c r="D102" s="460"/>
      <c r="E102" s="691"/>
      <c r="F102" s="474"/>
      <c r="G102" s="461"/>
      <c r="H102" s="461"/>
      <c r="I102" s="461"/>
      <c r="J102" s="456">
        <f t="shared" si="3"/>
        <v>0</v>
      </c>
      <c r="K102" s="458"/>
    </row>
    <row r="103" spans="1:11" hidden="1">
      <c r="A103" s="470" t="s">
        <v>403</v>
      </c>
      <c r="D103" s="460"/>
      <c r="E103" s="691"/>
      <c r="F103" s="474"/>
      <c r="G103" s="461"/>
      <c r="H103" s="461"/>
      <c r="I103" s="461"/>
      <c r="J103" s="456">
        <f t="shared" si="3"/>
        <v>0</v>
      </c>
      <c r="K103" s="458"/>
    </row>
    <row r="104" spans="1:11" hidden="1">
      <c r="A104" s="470" t="s">
        <v>403</v>
      </c>
      <c r="D104" s="460"/>
      <c r="E104" s="691"/>
      <c r="F104" s="474"/>
      <c r="G104" s="461"/>
      <c r="H104" s="461"/>
      <c r="I104" s="461"/>
      <c r="J104" s="456">
        <f t="shared" si="3"/>
        <v>0</v>
      </c>
      <c r="K104" s="458"/>
    </row>
    <row r="105" spans="1:11" hidden="1">
      <c r="A105" s="470" t="s">
        <v>403</v>
      </c>
      <c r="D105" s="460"/>
      <c r="E105" s="691"/>
      <c r="F105" s="474"/>
      <c r="G105" s="461"/>
      <c r="H105" s="461"/>
      <c r="I105" s="461"/>
      <c r="J105" s="456">
        <f t="shared" si="3"/>
        <v>0</v>
      </c>
      <c r="K105" s="458"/>
    </row>
    <row r="106" spans="1:11" hidden="1">
      <c r="A106" s="470" t="s">
        <v>403</v>
      </c>
      <c r="D106" s="460"/>
      <c r="E106" s="691"/>
      <c r="F106" s="474"/>
      <c r="G106" s="461"/>
      <c r="H106" s="461"/>
      <c r="I106" s="461"/>
      <c r="J106" s="456">
        <f t="shared" si="3"/>
        <v>0</v>
      </c>
      <c r="K106" s="458"/>
    </row>
    <row r="107" spans="1:11" hidden="1">
      <c r="A107" s="470" t="s">
        <v>403</v>
      </c>
      <c r="D107" s="460"/>
      <c r="E107" s="691"/>
      <c r="F107" s="474"/>
      <c r="G107" s="461"/>
      <c r="H107" s="461"/>
      <c r="I107" s="461"/>
      <c r="J107" s="456">
        <f t="shared" si="3"/>
        <v>0</v>
      </c>
      <c r="K107" s="458"/>
    </row>
    <row r="108" spans="1:11" hidden="1">
      <c r="A108" s="470" t="s">
        <v>403</v>
      </c>
      <c r="D108" s="460"/>
      <c r="E108" s="691"/>
      <c r="F108" s="474"/>
      <c r="G108" s="461"/>
      <c r="H108" s="461"/>
      <c r="I108" s="461"/>
      <c r="J108" s="456">
        <f t="shared" si="3"/>
        <v>0</v>
      </c>
      <c r="K108" s="458"/>
    </row>
    <row r="109" spans="1:11" hidden="1">
      <c r="A109" s="470" t="s">
        <v>403</v>
      </c>
      <c r="D109" s="460"/>
      <c r="E109" s="691"/>
      <c r="F109" s="474"/>
      <c r="G109" s="461"/>
      <c r="H109" s="461"/>
      <c r="I109" s="461"/>
      <c r="J109" s="456">
        <f t="shared" si="3"/>
        <v>0</v>
      </c>
      <c r="K109" s="458"/>
    </row>
    <row r="110" spans="1:11" hidden="1">
      <c r="A110" s="470" t="s">
        <v>403</v>
      </c>
      <c r="D110" s="460"/>
      <c r="E110" s="691"/>
      <c r="F110" s="474"/>
      <c r="G110" s="461"/>
      <c r="H110" s="461"/>
      <c r="I110" s="461"/>
      <c r="J110" s="456">
        <f t="shared" si="3"/>
        <v>0</v>
      </c>
      <c r="K110" s="458"/>
    </row>
    <row r="111" spans="1:11" hidden="1">
      <c r="A111" s="470" t="s">
        <v>403</v>
      </c>
      <c r="D111" s="460"/>
      <c r="E111" s="691"/>
      <c r="F111" s="474"/>
      <c r="G111" s="461"/>
      <c r="H111" s="461"/>
      <c r="I111" s="461"/>
      <c r="J111" s="456">
        <f t="shared" si="3"/>
        <v>0</v>
      </c>
      <c r="K111" s="458"/>
    </row>
    <row r="112" spans="1:11" hidden="1">
      <c r="A112" s="470" t="s">
        <v>403</v>
      </c>
      <c r="D112" s="460"/>
      <c r="E112" s="691"/>
      <c r="F112" s="474"/>
      <c r="G112" s="461"/>
      <c r="H112" s="461"/>
      <c r="I112" s="461"/>
      <c r="J112" s="456">
        <f t="shared" si="3"/>
        <v>0</v>
      </c>
      <c r="K112" s="458"/>
    </row>
    <row r="113" spans="1:11" hidden="1">
      <c r="A113" s="470" t="s">
        <v>403</v>
      </c>
      <c r="D113" s="460"/>
      <c r="E113" s="691"/>
      <c r="F113" s="474"/>
      <c r="G113" s="461"/>
      <c r="H113" s="461"/>
      <c r="I113" s="461"/>
      <c r="J113" s="456">
        <f t="shared" si="3"/>
        <v>0</v>
      </c>
      <c r="K113" s="458"/>
    </row>
    <row r="114" spans="1:11" hidden="1">
      <c r="A114" s="470" t="s">
        <v>403</v>
      </c>
      <c r="D114" s="460"/>
      <c r="E114" s="691"/>
      <c r="F114" s="474"/>
      <c r="G114" s="461"/>
      <c r="H114" s="461"/>
      <c r="I114" s="461"/>
      <c r="J114" s="456">
        <f>SUM(F114:I114)</f>
        <v>0</v>
      </c>
      <c r="K114" s="458"/>
    </row>
    <row r="115" spans="1:11" hidden="1">
      <c r="A115" s="470" t="s">
        <v>403</v>
      </c>
      <c r="D115" s="460"/>
      <c r="E115" s="691"/>
      <c r="F115" s="474"/>
      <c r="G115" s="461"/>
      <c r="H115" s="461"/>
      <c r="I115" s="461"/>
      <c r="J115" s="456">
        <f>SUM(F115:I115)</f>
        <v>0</v>
      </c>
      <c r="K115" s="458"/>
    </row>
    <row r="116" spans="1:11" hidden="1">
      <c r="A116" s="470" t="s">
        <v>403</v>
      </c>
      <c r="D116" s="460"/>
      <c r="E116" s="691"/>
      <c r="F116" s="474"/>
      <c r="G116" s="461"/>
      <c r="H116" s="461"/>
      <c r="I116" s="461"/>
      <c r="J116" s="456">
        <f t="shared" ref="J116:J139" si="7">SUM(F116:I116)</f>
        <v>0</v>
      </c>
      <c r="K116" s="458"/>
    </row>
    <row r="117" spans="1:11" hidden="1">
      <c r="A117" s="470" t="s">
        <v>403</v>
      </c>
      <c r="D117" s="460"/>
      <c r="E117" s="691"/>
      <c r="F117" s="474"/>
      <c r="G117" s="461"/>
      <c r="H117" s="461"/>
      <c r="I117" s="461"/>
      <c r="J117" s="456">
        <f t="shared" si="7"/>
        <v>0</v>
      </c>
      <c r="K117" s="458"/>
    </row>
    <row r="118" spans="1:11" hidden="1">
      <c r="A118" s="470" t="s">
        <v>403</v>
      </c>
      <c r="D118" s="460"/>
      <c r="E118" s="691"/>
      <c r="F118" s="474"/>
      <c r="G118" s="461"/>
      <c r="H118" s="461"/>
      <c r="I118" s="461"/>
      <c r="J118" s="456">
        <f t="shared" si="7"/>
        <v>0</v>
      </c>
      <c r="K118" s="458"/>
    </row>
    <row r="119" spans="1:11" hidden="1">
      <c r="A119" s="470" t="s">
        <v>403</v>
      </c>
      <c r="D119" s="460"/>
      <c r="E119" s="691"/>
      <c r="F119" s="474"/>
      <c r="G119" s="461"/>
      <c r="H119" s="461"/>
      <c r="I119" s="461"/>
      <c r="J119" s="456">
        <f t="shared" si="7"/>
        <v>0</v>
      </c>
      <c r="K119" s="458"/>
    </row>
    <row r="120" spans="1:11" hidden="1">
      <c r="A120" s="470" t="s">
        <v>403</v>
      </c>
      <c r="D120" s="460"/>
      <c r="E120" s="691"/>
      <c r="F120" s="474"/>
      <c r="G120" s="461"/>
      <c r="H120" s="461"/>
      <c r="I120" s="461"/>
      <c r="J120" s="456">
        <f t="shared" si="7"/>
        <v>0</v>
      </c>
      <c r="K120" s="458"/>
    </row>
    <row r="121" spans="1:11" hidden="1">
      <c r="A121" s="470" t="s">
        <v>403</v>
      </c>
      <c r="D121" s="460"/>
      <c r="E121" s="691"/>
      <c r="F121" s="474"/>
      <c r="G121" s="461"/>
      <c r="H121" s="461"/>
      <c r="I121" s="461"/>
      <c r="J121" s="456">
        <f t="shared" si="7"/>
        <v>0</v>
      </c>
      <c r="K121" s="458"/>
    </row>
    <row r="122" spans="1:11" hidden="1">
      <c r="A122" s="470" t="s">
        <v>403</v>
      </c>
      <c r="D122" s="460"/>
      <c r="E122" s="691"/>
      <c r="F122" s="474"/>
      <c r="G122" s="461"/>
      <c r="H122" s="461"/>
      <c r="I122" s="461"/>
      <c r="J122" s="456">
        <f t="shared" si="7"/>
        <v>0</v>
      </c>
      <c r="K122" s="458"/>
    </row>
    <row r="123" spans="1:11" hidden="1">
      <c r="A123" s="470" t="s">
        <v>403</v>
      </c>
      <c r="D123" s="460"/>
      <c r="E123" s="691"/>
      <c r="F123" s="474"/>
      <c r="G123" s="461"/>
      <c r="H123" s="461"/>
      <c r="I123" s="461"/>
      <c r="J123" s="456">
        <f t="shared" si="7"/>
        <v>0</v>
      </c>
      <c r="K123" s="458"/>
    </row>
    <row r="124" spans="1:11" hidden="1">
      <c r="A124" s="470" t="s">
        <v>403</v>
      </c>
      <c r="D124" s="460"/>
      <c r="E124" s="691"/>
      <c r="F124" s="474"/>
      <c r="G124" s="461"/>
      <c r="H124" s="461"/>
      <c r="I124" s="461"/>
      <c r="J124" s="456">
        <f t="shared" si="7"/>
        <v>0</v>
      </c>
      <c r="K124" s="458"/>
    </row>
    <row r="125" spans="1:11" hidden="1">
      <c r="A125" s="470" t="s">
        <v>403</v>
      </c>
      <c r="D125" s="460"/>
      <c r="E125" s="691"/>
      <c r="F125" s="474"/>
      <c r="G125" s="461"/>
      <c r="H125" s="461"/>
      <c r="I125" s="461"/>
      <c r="J125" s="456">
        <f t="shared" si="7"/>
        <v>0</v>
      </c>
      <c r="K125" s="458"/>
    </row>
    <row r="126" spans="1:11" hidden="1">
      <c r="A126" s="470" t="s">
        <v>403</v>
      </c>
      <c r="D126" s="460"/>
      <c r="E126" s="691"/>
      <c r="F126" s="474"/>
      <c r="G126" s="461"/>
      <c r="H126" s="461"/>
      <c r="I126" s="461"/>
      <c r="J126" s="456">
        <f t="shared" si="7"/>
        <v>0</v>
      </c>
      <c r="K126" s="458"/>
    </row>
    <row r="127" spans="1:11" hidden="1">
      <c r="A127" s="470" t="s">
        <v>403</v>
      </c>
      <c r="D127" s="460"/>
      <c r="E127" s="691"/>
      <c r="F127" s="474"/>
      <c r="G127" s="461"/>
      <c r="H127" s="461"/>
      <c r="I127" s="461"/>
      <c r="J127" s="456">
        <f t="shared" si="7"/>
        <v>0</v>
      </c>
      <c r="K127" s="458"/>
    </row>
    <row r="128" spans="1:11" hidden="1">
      <c r="A128" s="470" t="s">
        <v>403</v>
      </c>
      <c r="D128" s="460"/>
      <c r="E128" s="691"/>
      <c r="F128" s="474"/>
      <c r="G128" s="461"/>
      <c r="H128" s="461"/>
      <c r="I128" s="461"/>
      <c r="J128" s="456">
        <f t="shared" si="7"/>
        <v>0</v>
      </c>
      <c r="K128" s="458"/>
    </row>
    <row r="129" spans="1:14" hidden="1">
      <c r="A129" s="470" t="s">
        <v>403</v>
      </c>
      <c r="D129" s="460"/>
      <c r="E129" s="691"/>
      <c r="F129" s="474"/>
      <c r="G129" s="461"/>
      <c r="H129" s="461"/>
      <c r="I129" s="461"/>
      <c r="J129" s="456">
        <f t="shared" si="7"/>
        <v>0</v>
      </c>
      <c r="K129" s="458"/>
    </row>
    <row r="130" spans="1:14" hidden="1">
      <c r="A130" s="470" t="s">
        <v>403</v>
      </c>
      <c r="D130" s="460"/>
      <c r="E130" s="691"/>
      <c r="F130" s="474"/>
      <c r="G130" s="461"/>
      <c r="H130" s="461"/>
      <c r="I130" s="461"/>
      <c r="J130" s="456">
        <f t="shared" si="7"/>
        <v>0</v>
      </c>
      <c r="K130" s="458"/>
    </row>
    <row r="131" spans="1:14" hidden="1">
      <c r="A131" s="470" t="s">
        <v>403</v>
      </c>
      <c r="D131" s="460"/>
      <c r="E131" s="691"/>
      <c r="F131" s="474"/>
      <c r="G131" s="461"/>
      <c r="H131" s="461"/>
      <c r="I131" s="461"/>
      <c r="J131" s="456">
        <f t="shared" si="7"/>
        <v>0</v>
      </c>
      <c r="K131" s="458"/>
    </row>
    <row r="132" spans="1:14" hidden="1">
      <c r="A132" s="470" t="s">
        <v>403</v>
      </c>
      <c r="D132" s="460"/>
      <c r="E132" s="691"/>
      <c r="F132" s="474"/>
      <c r="G132" s="461"/>
      <c r="H132" s="461"/>
      <c r="I132" s="461"/>
      <c r="J132" s="456">
        <f t="shared" si="7"/>
        <v>0</v>
      </c>
      <c r="K132" s="458"/>
    </row>
    <row r="133" spans="1:14" hidden="1">
      <c r="A133" s="470" t="s">
        <v>403</v>
      </c>
      <c r="D133" s="460"/>
      <c r="E133" s="691"/>
      <c r="F133" s="474"/>
      <c r="G133" s="461"/>
      <c r="H133" s="461"/>
      <c r="I133" s="461"/>
      <c r="J133" s="456">
        <f t="shared" si="7"/>
        <v>0</v>
      </c>
      <c r="K133" s="458"/>
    </row>
    <row r="134" spans="1:14" hidden="1">
      <c r="A134" s="470" t="s">
        <v>403</v>
      </c>
      <c r="D134" s="460"/>
      <c r="E134" s="691"/>
      <c r="F134" s="474"/>
      <c r="G134" s="461"/>
      <c r="H134" s="461"/>
      <c r="I134" s="461"/>
      <c r="J134" s="456">
        <f t="shared" si="7"/>
        <v>0</v>
      </c>
      <c r="K134" s="458"/>
    </row>
    <row r="135" spans="1:14" hidden="1">
      <c r="A135" s="470" t="s">
        <v>403</v>
      </c>
      <c r="D135" s="460"/>
      <c r="E135" s="691"/>
      <c r="F135" s="474"/>
      <c r="G135" s="461"/>
      <c r="H135" s="461"/>
      <c r="I135" s="461"/>
      <c r="J135" s="456">
        <f t="shared" si="7"/>
        <v>0</v>
      </c>
      <c r="K135" s="458"/>
    </row>
    <row r="136" spans="1:14" hidden="1">
      <c r="A136" s="470" t="s">
        <v>403</v>
      </c>
      <c r="D136" s="460"/>
      <c r="E136" s="691"/>
      <c r="F136" s="474"/>
      <c r="G136" s="461"/>
      <c r="H136" s="461"/>
      <c r="I136" s="461"/>
      <c r="J136" s="456">
        <f t="shared" si="7"/>
        <v>0</v>
      </c>
      <c r="K136" s="458"/>
    </row>
    <row r="137" spans="1:14" hidden="1">
      <c r="A137" s="470" t="s">
        <v>403</v>
      </c>
      <c r="D137" s="460"/>
      <c r="E137" s="691"/>
      <c r="F137" s="474"/>
      <c r="G137" s="461"/>
      <c r="H137" s="461"/>
      <c r="I137" s="461"/>
      <c r="J137" s="456">
        <f t="shared" si="7"/>
        <v>0</v>
      </c>
      <c r="K137" s="458"/>
      <c r="N137" s="432">
        <f>C137</f>
        <v>0</v>
      </c>
    </row>
    <row r="138" spans="1:14" hidden="1">
      <c r="A138" s="470" t="s">
        <v>403</v>
      </c>
      <c r="D138" s="460"/>
      <c r="E138" s="691"/>
      <c r="F138" s="474"/>
      <c r="G138" s="461"/>
      <c r="H138" s="461"/>
      <c r="I138" s="461"/>
      <c r="J138" s="456">
        <f t="shared" si="7"/>
        <v>0</v>
      </c>
      <c r="K138" s="458"/>
      <c r="N138" s="432">
        <f>C138</f>
        <v>0</v>
      </c>
    </row>
    <row r="139" spans="1:14" hidden="1">
      <c r="A139" s="470" t="s">
        <v>403</v>
      </c>
      <c r="D139" s="460"/>
      <c r="E139" s="691"/>
      <c r="F139" s="474"/>
      <c r="G139" s="461"/>
      <c r="H139" s="461"/>
      <c r="I139" s="461"/>
      <c r="J139" s="456">
        <f t="shared" si="7"/>
        <v>0</v>
      </c>
      <c r="K139" s="458"/>
    </row>
    <row r="140" spans="1:14" ht="16.2" thickBot="1">
      <c r="D140" s="476">
        <f>SUM(D12:D139)</f>
        <v>1028.390625</v>
      </c>
      <c r="E140" s="692"/>
      <c r="F140" s="475">
        <f>SUM(F12:F139)</f>
        <v>86384.8125</v>
      </c>
      <c r="G140" s="462">
        <f>SUM(G12:G139)</f>
        <v>71690</v>
      </c>
      <c r="H140" s="462">
        <f>SUM(H12:H139)</f>
        <v>5356.7142421875005</v>
      </c>
      <c r="I140" s="463">
        <f>SUM(I12:I139)</f>
        <v>20482.328906250001</v>
      </c>
      <c r="J140" s="464">
        <f>SUM(J12:J139)</f>
        <v>183913.85564843751</v>
      </c>
      <c r="K140" s="458"/>
    </row>
    <row r="141" spans="1:14" ht="16.2" thickTop="1">
      <c r="J141" s="465">
        <f>J140</f>
        <v>183913.85564843751</v>
      </c>
      <c r="K141" s="458"/>
    </row>
    <row r="145" spans="2:5">
      <c r="B145" s="466"/>
      <c r="C145" s="447"/>
      <c r="D145" s="447"/>
      <c r="E145" s="447"/>
    </row>
    <row r="146" spans="2:5">
      <c r="B146" s="467"/>
      <c r="C146" s="468"/>
      <c r="D146" s="468"/>
      <c r="E146" s="468"/>
    </row>
    <row r="147" spans="2:5">
      <c r="B147" s="467"/>
      <c r="C147" s="468"/>
      <c r="D147" s="468"/>
      <c r="E147" s="468"/>
    </row>
    <row r="148" spans="2:5">
      <c r="B148" s="467"/>
      <c r="C148" s="468"/>
      <c r="D148" s="468"/>
      <c r="E148" s="468"/>
    </row>
    <row r="149" spans="2:5">
      <c r="B149" s="467"/>
      <c r="C149" s="468"/>
      <c r="D149" s="468"/>
      <c r="E149" s="468"/>
    </row>
    <row r="150" spans="2:5">
      <c r="C150" s="468"/>
    </row>
    <row r="151" spans="2:5">
      <c r="C151" s="468"/>
    </row>
    <row r="152" spans="2:5">
      <c r="C152" s="468"/>
    </row>
    <row r="153" spans="2:5">
      <c r="C153" s="468"/>
    </row>
    <row r="154" spans="2:5">
      <c r="C154" s="468"/>
    </row>
    <row r="155" spans="2:5">
      <c r="C155" s="468"/>
    </row>
  </sheetData>
  <sheetProtection sheet="1" objects="1" scenarios="1"/>
  <autoFilter ref="A10:J141" xr:uid="{00000000-0009-0000-0000-00000C000000}">
    <filterColumn colId="0">
      <filters blank="1">
        <filter val="Active (Y/N)"/>
        <filter val="Y"/>
      </filters>
    </filterColumn>
  </autoFilter>
  <pageMargins left="0.75" right="0.75" top="1" bottom="1" header="0.5" footer="0.5"/>
  <pageSetup scale="6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W116"/>
  <sheetViews>
    <sheetView showZeros="0" topLeftCell="A28" zoomScale="120" zoomScaleNormal="120" workbookViewId="0">
      <selection activeCell="J4" sqref="J4"/>
    </sheetView>
  </sheetViews>
  <sheetFormatPr defaultRowHeight="12.6"/>
  <cols>
    <col min="1" max="1" width="9.88671875" style="1" customWidth="1"/>
    <col min="2" max="2" width="22.109375" bestFit="1" customWidth="1"/>
    <col min="3" max="3" width="9" style="398" bestFit="1" customWidth="1"/>
    <col min="4" max="4" width="9.109375" customWidth="1"/>
    <col min="5" max="5" width="10.44140625" customWidth="1"/>
    <col min="6" max="6" width="12" customWidth="1"/>
    <col min="7" max="7" width="9.44140625" style="1" customWidth="1"/>
    <col min="8" max="8" width="17.6640625" customWidth="1"/>
    <col min="9" max="9" width="8.33203125" customWidth="1"/>
    <col min="10" max="10" width="8.5546875" customWidth="1"/>
    <col min="11" max="11" width="9.88671875" customWidth="1"/>
    <col min="12" max="12" width="8.44140625" customWidth="1"/>
    <col min="13" max="13" width="8.88671875" customWidth="1"/>
    <col min="14" max="14" width="5.6640625" hidden="1" customWidth="1"/>
    <col min="15" max="15" width="5.5546875" hidden="1" customWidth="1"/>
    <col min="16" max="16" width="4.44140625" hidden="1" customWidth="1"/>
    <col min="17" max="17" width="6.109375" hidden="1" customWidth="1"/>
    <col min="18" max="18" width="14.109375" customWidth="1"/>
    <col min="21" max="21" width="11.6640625" bestFit="1" customWidth="1"/>
  </cols>
  <sheetData>
    <row r="1" spans="1:23" ht="12.75" customHeight="1" thickTop="1">
      <c r="A1" s="230" t="s">
        <v>165</v>
      </c>
      <c r="B1" s="818"/>
      <c r="C1" s="819"/>
      <c r="D1" s="819"/>
      <c r="E1" s="65" t="s">
        <v>208</v>
      </c>
      <c r="F1" s="823"/>
      <c r="G1" s="823"/>
      <c r="H1" s="823"/>
      <c r="I1" s="233" t="s">
        <v>170</v>
      </c>
      <c r="J1" s="234"/>
      <c r="K1" s="813"/>
      <c r="L1" s="814"/>
      <c r="W1" s="58"/>
    </row>
    <row r="2" spans="1:23" ht="12.75" customHeight="1">
      <c r="A2" s="231" t="s">
        <v>167</v>
      </c>
      <c r="B2" s="820"/>
      <c r="C2" s="821"/>
      <c r="D2" s="821"/>
      <c r="E2" s="52" t="s">
        <v>168</v>
      </c>
      <c r="F2" s="815"/>
      <c r="G2" s="815"/>
      <c r="H2" s="815"/>
      <c r="I2" s="52" t="s">
        <v>171</v>
      </c>
      <c r="J2" s="235"/>
      <c r="K2" s="809">
        <f ca="1">TODAY()</f>
        <v>43989</v>
      </c>
      <c r="L2" s="810"/>
    </row>
    <row r="3" spans="1:23" ht="12.75" customHeight="1">
      <c r="A3" s="232" t="s">
        <v>166</v>
      </c>
      <c r="B3" s="815"/>
      <c r="C3" s="822"/>
      <c r="D3" s="822"/>
      <c r="E3" s="52" t="s">
        <v>205</v>
      </c>
      <c r="G3" s="815"/>
      <c r="H3" s="815"/>
      <c r="K3" s="811"/>
      <c r="L3" s="812"/>
    </row>
    <row r="4" spans="1:23" ht="12.75" customHeight="1" thickBot="1">
      <c r="A4" s="798" t="s">
        <v>173</v>
      </c>
      <c r="B4" s="799"/>
      <c r="C4" s="581" t="s">
        <v>174</v>
      </c>
      <c r="D4" s="508"/>
      <c r="E4" s="52" t="s">
        <v>169</v>
      </c>
      <c r="F4" s="239"/>
      <c r="G4" s="236"/>
      <c r="H4" s="236"/>
      <c r="I4" s="52" t="s">
        <v>172</v>
      </c>
      <c r="J4" s="240"/>
      <c r="K4" s="237"/>
      <c r="L4" s="238"/>
    </row>
    <row r="5" spans="1:23" ht="12.75" customHeight="1" thickTop="1" thickBot="1">
      <c r="A5" s="18" t="s">
        <v>0</v>
      </c>
      <c r="B5" s="7" t="s">
        <v>1</v>
      </c>
      <c r="C5" s="400" t="s">
        <v>2</v>
      </c>
      <c r="D5" s="7" t="s">
        <v>604</v>
      </c>
      <c r="E5" s="7" t="s">
        <v>3</v>
      </c>
      <c r="F5" s="7" t="s">
        <v>4</v>
      </c>
      <c r="G5" s="18" t="s">
        <v>0</v>
      </c>
      <c r="H5" s="7" t="s">
        <v>5</v>
      </c>
      <c r="I5" s="400" t="s">
        <v>2</v>
      </c>
      <c r="J5" s="7" t="s">
        <v>604</v>
      </c>
      <c r="K5" s="7" t="s">
        <v>3</v>
      </c>
      <c r="L5" s="7" t="s">
        <v>4</v>
      </c>
      <c r="M5" s="51"/>
      <c r="N5" s="57"/>
    </row>
    <row r="6" spans="1:23" ht="12.75" customHeight="1" thickTop="1">
      <c r="A6" s="202" t="s">
        <v>638</v>
      </c>
      <c r="B6" s="203" t="s">
        <v>529</v>
      </c>
      <c r="C6" s="399">
        <f>GeneralConditions!F4</f>
        <v>27.153125000000003</v>
      </c>
      <c r="D6" s="204">
        <f>IF(C6=0,0,ADMINISTRATION!$B$6)</f>
        <v>84</v>
      </c>
      <c r="E6" s="204">
        <f>C6*D6</f>
        <v>2280.8625000000002</v>
      </c>
      <c r="F6" s="204">
        <f>GeneralConditions!C4</f>
        <v>0</v>
      </c>
      <c r="G6" s="202" t="s">
        <v>297</v>
      </c>
      <c r="H6" s="203" t="s">
        <v>434</v>
      </c>
      <c r="I6" s="399">
        <f>GeneralConditions!F12</f>
        <v>0</v>
      </c>
      <c r="J6" s="204">
        <f>IF(I6=0,0,ADMINISTRATION!$B$36)</f>
        <v>0</v>
      </c>
      <c r="K6" s="383">
        <f>J6*I6</f>
        <v>0</v>
      </c>
      <c r="L6" s="551">
        <f>GeneralConditions!C12</f>
        <v>0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12.75" customHeight="1">
      <c r="A7" s="202" t="s">
        <v>448</v>
      </c>
      <c r="B7" s="203" t="s">
        <v>449</v>
      </c>
      <c r="C7" s="399">
        <f>GeneralConditions!F7</f>
        <v>6.2874999999999996</v>
      </c>
      <c r="D7" s="204">
        <f>IF(C7=0,0,ADMINISTRATION!$B$6)</f>
        <v>84</v>
      </c>
      <c r="E7" s="204">
        <f>C7*D7</f>
        <v>528.15</v>
      </c>
      <c r="F7" s="204">
        <f>GeneralConditions!C7</f>
        <v>0</v>
      </c>
      <c r="G7" s="382"/>
      <c r="H7" s="208"/>
      <c r="I7" s="399"/>
      <c r="J7" s="204">
        <f>IF(I7=0,0,ADMINISTRATION!$B$36)</f>
        <v>0</v>
      </c>
      <c r="K7" s="383"/>
      <c r="L7" s="207"/>
      <c r="M7" s="2"/>
      <c r="N7" s="2"/>
      <c r="O7" s="2"/>
      <c r="P7" s="2"/>
      <c r="Q7" s="2"/>
      <c r="R7" s="2"/>
      <c r="S7" s="555"/>
      <c r="T7" s="555"/>
      <c r="U7" s="2"/>
      <c r="V7" s="2"/>
      <c r="W7" s="2"/>
    </row>
    <row r="8" spans="1:23" ht="12.75" customHeight="1">
      <c r="A8" s="202" t="s">
        <v>528</v>
      </c>
      <c r="B8" s="203" t="s">
        <v>6</v>
      </c>
      <c r="C8" s="399">
        <f>GeneralConditions!F9</f>
        <v>0</v>
      </c>
      <c r="D8" s="204">
        <f>IF(C8=0,0,ADMINISTRATION!$B$6)</f>
        <v>0</v>
      </c>
      <c r="E8" s="204">
        <f>C8*D8</f>
        <v>0</v>
      </c>
      <c r="F8" s="204">
        <f>GeneralConditions!C9</f>
        <v>0</v>
      </c>
      <c r="G8" s="382" t="s">
        <v>298</v>
      </c>
      <c r="H8" s="208" t="s">
        <v>435</v>
      </c>
      <c r="I8" s="399">
        <f>GeneralConditions!F10</f>
        <v>0</v>
      </c>
      <c r="J8" s="204">
        <f>IF(I8=0,0,ADMINISTRATION!$B$36)</f>
        <v>0</v>
      </c>
      <c r="K8" s="383">
        <f t="shared" ref="K8:K26" si="0">J8*I8</f>
        <v>0</v>
      </c>
      <c r="L8" s="207"/>
      <c r="M8" s="2"/>
      <c r="N8" s="2"/>
      <c r="O8" s="2"/>
      <c r="P8" s="2"/>
      <c r="Q8" s="2"/>
      <c r="R8" s="2"/>
      <c r="S8" s="555"/>
      <c r="T8" s="555"/>
      <c r="U8" s="2"/>
      <c r="V8" s="2"/>
      <c r="W8" s="2"/>
    </row>
    <row r="9" spans="1:23" ht="12.75" customHeight="1">
      <c r="A9" s="202" t="s">
        <v>292</v>
      </c>
      <c r="B9" s="203" t="s">
        <v>280</v>
      </c>
      <c r="C9" s="399">
        <f>GeneralConditions!F5</f>
        <v>42.875</v>
      </c>
      <c r="D9" s="204">
        <f>IF(C9=0,0,ADMINISTRATION!$B$6)</f>
        <v>84</v>
      </c>
      <c r="E9" s="204">
        <f t="shared" ref="E9:E32" si="1">C9*D9</f>
        <v>3601.5</v>
      </c>
      <c r="F9" s="204">
        <f>GeneralConditions!C5</f>
        <v>0</v>
      </c>
      <c r="G9" s="382"/>
      <c r="H9" s="203"/>
      <c r="I9" s="399"/>
      <c r="J9" s="204">
        <f>IF(I9=0,0,ADMINISTRATION!$B$36)</f>
        <v>0</v>
      </c>
      <c r="K9" s="383"/>
      <c r="L9" s="207"/>
      <c r="M9" s="2"/>
      <c r="N9" s="2"/>
      <c r="O9" s="2"/>
      <c r="P9" s="2"/>
      <c r="Q9" s="2"/>
      <c r="R9" s="2"/>
      <c r="S9" s="555"/>
      <c r="T9" s="555"/>
      <c r="V9" s="2"/>
      <c r="W9" s="2"/>
    </row>
    <row r="10" spans="1:23" ht="12.75" customHeight="1">
      <c r="A10" s="205" t="s">
        <v>293</v>
      </c>
      <c r="B10" s="203" t="s">
        <v>45</v>
      </c>
      <c r="C10" s="399">
        <f>IF(MainForm!AA113=TRUE,SUMPRODUCT(--(MainForm!Z3:Z104="Base"),MainForm!C3:C104,MainForm!H3:H104),0)+IF(MainForm!AA114=TRUE,SUMPRODUCT(--(MainForm!Z3:Z104="Alt-1"),MainForm!C3:C104,MainForm!H3:H104),0)+IF(MainForm!AA115=TRUE,SUMPRODUCT(--(MainForm!Z3:Z104="Alt-2"),MainForm!C3:C104,MainForm!H3:H104),0)+IF(MainForm!AA116=TRUE,SUMPRODUCT(--(MainForm!Z3:Z104="Alt-3"),MainForm!C3:C104,MainForm!H3:H104),0)+IF(MainForm!AA117=TRUE,SUMPRODUCT(--(MainForm!Z3:Z104="Alt-4"),MainForm!C3:C104,MainForm!H3:H104),0)</f>
        <v>20</v>
      </c>
      <c r="D10" s="204">
        <f>IF(C10=0,0,ADMINISTRATION!$B$6)</f>
        <v>84</v>
      </c>
      <c r="E10" s="204">
        <f t="shared" si="1"/>
        <v>1680</v>
      </c>
      <c r="F10" s="204"/>
      <c r="G10" s="205" t="s">
        <v>299</v>
      </c>
      <c r="H10" s="206" t="s">
        <v>440</v>
      </c>
      <c r="I10" s="399">
        <f>IF(MainForm!AA113=TRUE,SUMPRODUCT(--(MainForm!Z3:Z104="Base"),MainForm!C3:C104,MainForm!J3:J104),0)+IF(MainForm!AA114=TRUE,SUMPRODUCT(--(MainForm!Z3:Z104="Alt-1"),MainForm!C3:C104,MainForm!J3:J104),0)+IF(MainForm!AA115=TRUE,SUMPRODUCT(--(MainForm!Z3:Z104="Alt-2"),MainForm!C3:C104,MainForm!J3:J104),0)+IF(MainForm!AA116=TRUE,SUMPRODUCT(--(MainForm!Z3:Z104="Alt-3"),MainForm!C3:C104,MainForm!J3:J104),0)+IF(MainForm!AA117=TRUE,SUMPRODUCT(--(MainForm!Z3:Z104="Alt-4"),MainForm!C3:C104,MainForm!J3:J104),0)</f>
        <v>0</v>
      </c>
      <c r="J10" s="204">
        <f>IF(I10=0,0,ADMINISTRATION!$B$36)</f>
        <v>0</v>
      </c>
      <c r="K10" s="383">
        <f t="shared" si="0"/>
        <v>0</v>
      </c>
      <c r="L10" s="207"/>
      <c r="M10" s="2"/>
      <c r="N10" s="2"/>
      <c r="O10" s="2"/>
      <c r="P10" s="2"/>
      <c r="Q10" s="2"/>
      <c r="R10" s="386"/>
      <c r="S10" s="556"/>
      <c r="T10" s="556"/>
      <c r="U10" s="545"/>
      <c r="V10" s="546"/>
      <c r="W10" s="4"/>
    </row>
    <row r="11" spans="1:23" ht="12.75" customHeight="1">
      <c r="A11" s="205"/>
      <c r="B11" s="203"/>
      <c r="C11" s="399"/>
      <c r="D11" s="204">
        <f>IF(C11=0,0,ADMINISTRATION!$B$6)</f>
        <v>0</v>
      </c>
      <c r="E11" s="204">
        <f t="shared" si="1"/>
        <v>0</v>
      </c>
      <c r="F11" s="204"/>
      <c r="G11" s="205" t="s">
        <v>300</v>
      </c>
      <c r="H11" s="206" t="s">
        <v>436</v>
      </c>
      <c r="I11" s="399">
        <f>IF(MainForm!AA113=TRUE,SUMPRODUCT(--(MainForm!Z3:Z104="Base"),MainForm!C3:C104,MainForm!F3:F104),0)+IF(MainForm!AA114=TRUE,SUMPRODUCT(--(MainForm!Z3:Z104="Alt-1"),MainForm!C3:C104,MainForm!F3:F104),0)+IF(MainForm!AA115=TRUE,SUMPRODUCT(--(MainForm!Z3:Z104="Alt-2"),MainForm!C3:C104,MainForm!F3:F104),0)+IF(MainForm!AA116=TRUE,SUMPRODUCT(--(MainForm!Z3:Z104="Alt-3"),MainForm!C3:C104,MainForm!F3:F104),0)+IF(MainForm!AA117=TRUE,SUMPRODUCT(--(MainForm!Z3:Z104="Alt-4"),MainForm!C3:C104,MainForm!F3:F104),0)</f>
        <v>0</v>
      </c>
      <c r="J11" s="204">
        <f>IF(I11=0,0,ADMINISTRATION!$B$36)</f>
        <v>0</v>
      </c>
      <c r="K11" s="383">
        <f t="shared" si="0"/>
        <v>0</v>
      </c>
      <c r="L11" s="207"/>
      <c r="M11" s="2"/>
      <c r="N11" s="2"/>
      <c r="O11" s="2"/>
      <c r="P11" s="2"/>
      <c r="Q11" s="2"/>
      <c r="R11" s="277"/>
      <c r="S11" s="556"/>
      <c r="T11" s="556"/>
      <c r="U11" s="277"/>
      <c r="V11" s="277"/>
      <c r="W11" s="2"/>
    </row>
    <row r="12" spans="1:23" ht="12.75" customHeight="1">
      <c r="A12" s="205" t="s">
        <v>294</v>
      </c>
      <c r="B12" s="206" t="s">
        <v>281</v>
      </c>
      <c r="C12" s="399">
        <f>IF(MainForm!AA113=TRUE,SUMPRODUCT(--(MainForm!Z3:Z104="Base"),MainForm!C3:C104,MainForm!I3:I104),0)+IF(MainForm!AA114=TRUE,SUMPRODUCT(--(MainForm!Z3:Z104="Alt-1"),MainForm!C3:C104,MainForm!I3:I104),0)+IF(MainForm!AA115=TRUE,SUMPRODUCT(--(MainForm!Z3:Z104="Alt-2"),MainForm!C3:C104,MainForm!I3:I104),0)+IF(MainForm!AA116=TRUE,SUMPRODUCT(--(MainForm!Z3:Z104="Alt-3"),MainForm!C3:C104,MainForm!I3:I104),0)+IF(MainForm!AA117=TRUE,SUMPRODUCT(--(MainForm!Z3:Z104="Alt-4"),MainForm!C3:C104,MainForm!I3:I104),0)</f>
        <v>184</v>
      </c>
      <c r="D12" s="204">
        <f>IF(C12=0,0,ADMINISTRATION!$B$6)</f>
        <v>84</v>
      </c>
      <c r="E12" s="204">
        <f t="shared" si="1"/>
        <v>15456</v>
      </c>
      <c r="F12" s="507">
        <f>IF(MainForm!AA113=TRUE,SUMPRODUCT(--(MainForm!Z3:Z104="Base"),MainForm!C3:C104,MainForm!G3:G104),0)+IF(MainForm!AA114=TRUE,SUMPRODUCT(--(MainForm!Z3:Z104="Alt-1"),MainForm!C3:C104,MainForm!G3:G104),0)+IF(MainForm!AA115=TRUE,SUMPRODUCT(--(MainForm!Z3:Z104="Alt-2"),MainForm!C3:C104,MainForm!G3:G104),0)+IF(MainForm!AA116=TRUE,SUMPRODUCT(--(MainForm!Z3:Z104="Alt-3"),MainForm!C3:C104,MainForm!G3:G104),0)+IF(MainForm!AA117=TRUE,SUMPRODUCT(--(MainForm!Z3:Z104="Alt-4"),MainForm!C3:C104,MainForm!G3:G104),0)</f>
        <v>3900</v>
      </c>
      <c r="G12" s="506" t="s">
        <v>301</v>
      </c>
      <c r="H12" s="203" t="s">
        <v>257</v>
      </c>
      <c r="I12" s="399"/>
      <c r="J12" s="204">
        <f>IF(I12=0,0,ADMINISTRATION!$B$36)</f>
        <v>0</v>
      </c>
      <c r="K12" s="383">
        <f t="shared" si="0"/>
        <v>0</v>
      </c>
      <c r="L12" s="207"/>
      <c r="M12" s="2"/>
      <c r="N12" s="2"/>
      <c r="O12" s="2"/>
      <c r="P12" s="2"/>
      <c r="Q12" s="2"/>
      <c r="R12" s="277"/>
      <c r="S12" s="556"/>
      <c r="T12" s="556"/>
      <c r="U12" s="277"/>
      <c r="V12" s="277"/>
      <c r="W12" s="2"/>
    </row>
    <row r="13" spans="1:23" ht="12.75" customHeight="1">
      <c r="A13" s="205" t="s">
        <v>295</v>
      </c>
      <c r="B13" s="206" t="s">
        <v>282</v>
      </c>
      <c r="C13" s="399">
        <f>SUMPRODUCT(--(MainForm!Z3:Z104="Base"),MainForm!C3:C104,MainForm!E3:E104)+IF(MainForm!AA114=TRUE,SUMPRODUCT(--(MainForm!Z3:Z104="Alt-1"),MainForm!C3:C104,MainForm!E3:E104),0)+IF(MainForm!AA115=TRUE,SUMPRODUCT(--(MainForm!Z3:Z104="Alt-2"),MainForm!C3:C104,MainForm!E3:E104),0)+IF(MainForm!AA116=TRUE,SUMPRODUCT(--(MainForm!Z3:Z104="Alt-3"),MainForm!C3:C104,MainForm!E3:E104),0)+IF(MainForm!AA117=TRUE,SUMPRODUCT(--(MainForm!Z3:Z104="Alt-4"),MainForm!C3:C104,MainForm!E3:E104),0)</f>
        <v>135</v>
      </c>
      <c r="D13" s="204">
        <f>IF(C13=0,0,ADMINISTRATION!$B$6)</f>
        <v>84</v>
      </c>
      <c r="E13" s="204">
        <f t="shared" si="1"/>
        <v>11340</v>
      </c>
      <c r="F13" s="507">
        <f>IF(MainForm!AA113=TRUE,SUMPRODUCT(--(MainForm!Z3:Z104="Base"),MainForm!C3:C104,MainForm!D3:D104),0)+IF(MainForm!AA114=TRUE,SUMPRODUCT(--(MainForm!Z3:Z104="Alt-1"),MainForm!C3:C104,MainForm!D3:D104),0)+IF(MainForm!AA115=TRUE,SUMPRODUCT(--(MainForm!Z3:Z104="Alt-2"),MainForm!C3:C104,MainForm!D3:D104),0)+IF(MainForm!AA116=TRUE,SUMPRODUCT(--(MainForm!Z3:Z104="Alt-3"),MainForm!C3:C104,MainForm!D3:D104),0)+IF(MainForm!AA117=TRUE,SUMPRODUCT(--(MainForm!Z3:Z104="Alt-4"),MainForm!C3:C104,MainForm!D3:D104),0)</f>
        <v>54660</v>
      </c>
      <c r="G13" s="506"/>
      <c r="H13" s="203"/>
      <c r="I13" s="399"/>
      <c r="J13" s="204">
        <f>IF(I13=0,0,ADMINISTRATION!$B$36)</f>
        <v>0</v>
      </c>
      <c r="K13" s="383"/>
      <c r="L13" s="207"/>
      <c r="M13" s="2"/>
      <c r="N13" s="2"/>
      <c r="O13" s="2"/>
      <c r="P13" s="2"/>
      <c r="Q13" s="2"/>
      <c r="R13" s="277"/>
      <c r="S13" s="556"/>
      <c r="T13" s="556"/>
      <c r="U13" s="277"/>
      <c r="V13" s="277"/>
      <c r="W13" s="2"/>
    </row>
    <row r="14" spans="1:23" ht="12.75" customHeight="1">
      <c r="A14" s="205" t="s">
        <v>296</v>
      </c>
      <c r="B14" s="203" t="s">
        <v>248</v>
      </c>
      <c r="C14" s="399">
        <f>SUMPRODUCT(--(MainForm!Z3:Z104="Base"),MainForm!C3:C104,MainForm!P3:P104,MainForm!R3:R104)+IF(MainForm!AA114=TRUE,SUMPRODUCT(--(MainForm!Z3:Z104="Alt-1"),MainForm!C3:C104,MainForm!P3:P104,MainForm!R3:R104),0)+IF(MainForm!AA115=TRUE,SUMPRODUCT(--(MainForm!Z3:Z104="Alt-2"),MainForm!C3:C104,MainForm!P3:P104,MainForm!R3:R104),0)+IF(MainForm!AA116=TRUE,SUMPRODUCT(--(MainForm!Z3:Z104="Alt-3"),MainForm!C3:C104,MainForm!P3:P104,MainForm!R3:R104),0)+IF(MainForm!AA117=TRUE,SUMPRODUCT(--(MainForm!Z3:Z104="Alt-4"),MainForm!C3:C104,MainForm!P3:P104,MainForm!R3:R104),0)</f>
        <v>24</v>
      </c>
      <c r="D14" s="204">
        <f>IF(C14=0,0,ADMINISTRATION!$B$6)</f>
        <v>84</v>
      </c>
      <c r="E14" s="204">
        <f t="shared" si="1"/>
        <v>2016</v>
      </c>
      <c r="F14" s="204">
        <f>SUMPRODUCT(--(MainForm!Z3:Z104="Base"),MainForm!C3:C104,MainForm!P3:P104,MainForm!Q3:Q104)+IF(MainForm!AA114=TRUE,SUMPRODUCT(--(MainForm!Z3:Z104="Alt-1"),MainForm!C3:C104,MainForm!P3:P104,MainForm!Q3:Q104),0)+IF(MainForm!AA115=TRUE,SUMPRODUCT(--(MainForm!Z3:Z104="Alt-2"),MainForm!C3:C104,MainForm!P3:P104,MainForm!Q3:Q104),0)+IF(MainForm!AA116=TRUE,SUMPRODUCT(--(MainForm!Z3:Z104="Alt-3"),MainForm!C3:C104,MainForm!P3:P104,MainForm!Q3:Q104),0)+IF(MainForm!AA117=TRUE,SUMPRODUCT(--(MainForm!Z3:Z104="Alt-4"),MainForm!C3:C104,MainForm!P3:P104,MainForm!Q3:Q104),0)</f>
        <v>1800</v>
      </c>
      <c r="G14" s="393" t="s">
        <v>260</v>
      </c>
      <c r="H14" s="203" t="s">
        <v>644</v>
      </c>
      <c r="I14" s="399">
        <f>GeneralConditions!F11</f>
        <v>0</v>
      </c>
      <c r="J14" s="204">
        <f>IF(I14=0,0,ADMINISTRATION!$B$36)</f>
        <v>0</v>
      </c>
      <c r="K14" s="383">
        <f t="shared" si="0"/>
        <v>0</v>
      </c>
      <c r="L14" s="207">
        <f>GeneralConditions!C11</f>
        <v>0</v>
      </c>
      <c r="M14" s="2"/>
      <c r="N14" s="2"/>
      <c r="O14" s="2"/>
      <c r="P14" s="2"/>
      <c r="Q14" s="2"/>
      <c r="R14" s="277"/>
      <c r="S14" s="556"/>
      <c r="T14" s="556"/>
      <c r="U14" s="277"/>
      <c r="V14" s="277"/>
      <c r="W14" s="2"/>
    </row>
    <row r="15" spans="1:23" ht="12.75" customHeight="1">
      <c r="A15" s="205"/>
      <c r="B15" s="206"/>
      <c r="C15" s="399"/>
      <c r="D15" s="204">
        <f>IF(C15=0,0,ADMINISTRATION!$B$6)</f>
        <v>0</v>
      </c>
      <c r="E15" s="204">
        <f t="shared" si="1"/>
        <v>0</v>
      </c>
      <c r="F15" s="204"/>
      <c r="G15" s="382" t="s">
        <v>261</v>
      </c>
      <c r="H15" s="203" t="s">
        <v>441</v>
      </c>
      <c r="I15" s="399"/>
      <c r="J15" s="204">
        <f>IF(I15=0,0,ADMINISTRATION!$B$36)</f>
        <v>0</v>
      </c>
      <c r="K15" s="383">
        <f t="shared" si="0"/>
        <v>0</v>
      </c>
      <c r="L15" s="552"/>
      <c r="M15" s="2"/>
      <c r="N15" s="2"/>
      <c r="O15" s="2"/>
      <c r="P15" s="2"/>
      <c r="Q15" s="2"/>
      <c r="R15" s="386"/>
      <c r="S15" s="556"/>
      <c r="T15" s="556"/>
      <c r="U15" s="547"/>
      <c r="V15" s="546"/>
      <c r="W15" s="4"/>
    </row>
    <row r="16" spans="1:23" ht="12.75" customHeight="1">
      <c r="A16" s="382" t="s">
        <v>430</v>
      </c>
      <c r="B16" s="203" t="s">
        <v>431</v>
      </c>
      <c r="C16" s="399">
        <f>GeneralConditions!F8</f>
        <v>19.9375</v>
      </c>
      <c r="D16" s="204">
        <f>IF(C16=0,0,ADMINISTRATION!$B$6)</f>
        <v>84</v>
      </c>
      <c r="E16" s="204">
        <f t="shared" si="1"/>
        <v>1674.75</v>
      </c>
      <c r="F16" s="204">
        <f>GeneralConditions!C8</f>
        <v>0</v>
      </c>
      <c r="G16" s="382" t="s">
        <v>262</v>
      </c>
      <c r="H16" s="203" t="s">
        <v>442</v>
      </c>
      <c r="I16" s="399"/>
      <c r="J16" s="204">
        <f>IF(I16=0,0,ADMINISTRATION!$B$36)</f>
        <v>0</v>
      </c>
      <c r="K16" s="383">
        <f t="shared" si="0"/>
        <v>0</v>
      </c>
      <c r="L16" s="207"/>
      <c r="M16" s="2"/>
      <c r="N16" s="2"/>
      <c r="O16" s="2"/>
      <c r="P16" s="2"/>
      <c r="Q16" s="2"/>
      <c r="R16" s="277"/>
      <c r="S16" s="556"/>
      <c r="T16" s="556"/>
      <c r="U16" s="277"/>
      <c r="V16" s="277"/>
      <c r="W16" s="2"/>
    </row>
    <row r="17" spans="1:23" ht="12.75" customHeight="1">
      <c r="A17" s="205"/>
      <c r="B17" s="206"/>
      <c r="C17" s="399"/>
      <c r="D17" s="204">
        <f>IF(C17=0,0,ADMINISTRATION!$B$6)</f>
        <v>0</v>
      </c>
      <c r="E17" s="204">
        <f t="shared" si="1"/>
        <v>0</v>
      </c>
      <c r="F17" s="204"/>
      <c r="G17" s="382" t="s">
        <v>263</v>
      </c>
      <c r="H17" s="203" t="s">
        <v>443</v>
      </c>
      <c r="I17" s="399"/>
      <c r="J17" s="204">
        <f>IF(I17=0,0,ADMINISTRATION!$B$36)</f>
        <v>0</v>
      </c>
      <c r="K17" s="383">
        <f t="shared" si="0"/>
        <v>0</v>
      </c>
      <c r="L17" s="207"/>
      <c r="M17" s="2"/>
      <c r="N17" s="2"/>
      <c r="O17" s="2"/>
      <c r="P17" s="2"/>
      <c r="Q17" s="2"/>
      <c r="R17" s="277"/>
      <c r="S17" s="556"/>
      <c r="T17" s="556"/>
      <c r="U17" s="277"/>
      <c r="V17" s="277"/>
      <c r="W17" s="2"/>
    </row>
    <row r="18" spans="1:23" ht="12.75" customHeight="1">
      <c r="A18" s="393" t="s">
        <v>249</v>
      </c>
      <c r="B18" s="203" t="s">
        <v>429</v>
      </c>
      <c r="C18" s="399">
        <f>GeneralConditions!F6</f>
        <v>63.237500000000004</v>
      </c>
      <c r="D18" s="204">
        <f>IF(C18=0,0,ADMINISTRATION!$B$6)</f>
        <v>84</v>
      </c>
      <c r="E18" s="204">
        <f t="shared" si="1"/>
        <v>5311.9500000000007</v>
      </c>
      <c r="F18" s="204">
        <f>GeneralConditions!C6</f>
        <v>0</v>
      </c>
      <c r="G18" s="382" t="s">
        <v>266</v>
      </c>
      <c r="H18" s="208" t="s">
        <v>437</v>
      </c>
      <c r="I18" s="399"/>
      <c r="J18" s="204">
        <f>IF(I18=0,0,ADMINISTRATION!$B$36)</f>
        <v>0</v>
      </c>
      <c r="K18" s="383">
        <f t="shared" si="0"/>
        <v>0</v>
      </c>
      <c r="L18" s="207"/>
      <c r="M18" s="2"/>
      <c r="N18" s="2"/>
      <c r="O18" s="2"/>
      <c r="P18" s="2"/>
      <c r="Q18" s="2"/>
      <c r="R18" s="277"/>
      <c r="S18" s="556"/>
      <c r="T18" s="556"/>
      <c r="U18" s="277"/>
      <c r="V18" s="277"/>
      <c r="W18" s="2"/>
    </row>
    <row r="19" spans="1:23" ht="12.75" customHeight="1">
      <c r="A19" s="382" t="s">
        <v>250</v>
      </c>
      <c r="B19" s="203" t="s">
        <v>48</v>
      </c>
      <c r="C19" s="399">
        <f>ReferPipe!$H$53+IF(MainForm!AA113=TRUE,SUMPRODUCT(--(MainForm!Z3:Z104="Base"),MainForm!C3:C104,MainForm!L3:L104),0)+IF(MainForm!AA114=TRUE,SUMPRODUCT(--(MainForm!Z3:Z104="Alt-1"),MainForm!C3:C104,MainForm!L3:L104),0)+IF(MainForm!AA115=TRUE,SUMPRODUCT(--(MainForm!Z3:Z104="Alt-2"),MainForm!C3:C104,MainForm!L3:L104),0)+IF(MainForm!AA116=TRUE,SUMPRODUCT(--(MainForm!Z3:Z104="Alt-3"),MainForm!C3:C104,MainForm!L3:L104),0)+IF(MainForm!AA117=TRUE,SUMPRODUCT(--(MainForm!Z3:Z104="Alt-4"),MainForm!C3:C104,MainForm!L3:L104),0)</f>
        <v>366</v>
      </c>
      <c r="D19" s="204">
        <f>IF(C19=0,0,ADMINISTRATION!$B$6)</f>
        <v>84</v>
      </c>
      <c r="E19" s="204">
        <f t="shared" si="1"/>
        <v>30744</v>
      </c>
      <c r="F19" s="204">
        <f>ReferPipe!$F$53+IF(MainForm!AA113=TRUE,SUMPRODUCT(--(MainForm!Z3:Z104="Base"),MainForm!C3:C104,MainForm!K3:K104),0)+IF(MainForm!AA114=TRUE,SUMPRODUCT(--(MainForm!Z3:Z104="Alt-1"),MainForm!C3:C104,MainForm!K3:K104),0)+IF(MainForm!AA115=TRUE,SUMPRODUCT(--(MainForm!Z3:Z104="Alt-2"),MainForm!C3:C104,MainForm!K3:K104),0)+IF(MainForm!AA116=TRUE,SUMPRODUCT(--(MainForm!Z3:Z104="Alt-3"),MainForm!C3:C104,MainForm!K3:K104),0)+IF(MainForm!AA117=TRUE,SUMPRODUCT(--(MainForm!Z3:Z104="Alt-4"),MainForm!C3:C104,MainForm!K3:K104),0)</f>
        <v>8850</v>
      </c>
      <c r="G19" s="205"/>
      <c r="H19" s="203"/>
      <c r="I19" s="399"/>
      <c r="J19" s="204">
        <f>IF(I19=0,0,ADMINISTRATION!$B$36)</f>
        <v>0</v>
      </c>
      <c r="K19" s="383"/>
      <c r="L19" s="207"/>
      <c r="M19" s="2"/>
      <c r="N19" s="2"/>
      <c r="O19" s="2"/>
      <c r="P19" s="2"/>
      <c r="Q19" s="2"/>
      <c r="R19" s="277"/>
      <c r="S19" s="556"/>
      <c r="T19" s="556"/>
      <c r="U19" s="277"/>
      <c r="V19" s="277"/>
      <c r="W19" s="2"/>
    </row>
    <row r="20" spans="1:23" ht="12.75" customHeight="1">
      <c r="A20" s="382" t="s">
        <v>251</v>
      </c>
      <c r="B20" s="203" t="s">
        <v>14</v>
      </c>
      <c r="C20" s="399">
        <f>IF(MainForm!AA113=TRUE,SUMPRODUCT(--(MainForm!Z3:Z104="Base"),MainForm!C3:C104,MainForm!O3:O104),0)+IF(MainForm!AA114=TRUE,SUMPRODUCT(--(MainForm!Z3:Z104="Alt-1"),MainForm!C3:C104,MainForm!O3:O104),0)+IF(MainForm!AA115=TRUE,SUMPRODUCT(--(MainForm!Z3:Z104="Alt-2"),MainForm!C3:C104,MainForm!O3:O104),0)+IF(MainForm!AA116=TRUE,SUMPRODUCT(--(MainForm!Z3:Z104="Alt-3"),MainForm!C3:C104,MainForm!O3:O104),0)+IF(MainForm!AA117=TRUE,SUMPRODUCT(--(MainForm!Z3:Z104="Alt-4"),MainForm!C3:C104,MainForm!O3:O104),0)</f>
        <v>82</v>
      </c>
      <c r="D20" s="204">
        <f>IF(C20=0,0,ADMINISTRATION!$B$6)</f>
        <v>84</v>
      </c>
      <c r="E20" s="204">
        <f t="shared" si="1"/>
        <v>6888</v>
      </c>
      <c r="F20" s="204">
        <f>IF(MainForm!AA113=TRUE,SUMPRODUCT(--(MainForm!Z3:Z104="Base"),MainForm!C3:C104,MainForm!N3:N104),0)+IF(MainForm!AA114=TRUE,SUMPRODUCT(--(MainForm!Z3:Z104="Alt-1"),MainForm!C3:C104,MainForm!N3:N104),0)+IF(MainForm!AA115=TRUE,SUMPRODUCT(--(MainForm!Z3:Z104="Alt-2"),MainForm!C3:C104,MainForm!N3:N104),0)+IF(MainForm!AA116=TRUE,SUMPRODUCT(--(MainForm!Z3:Z104="Alt-3"),MainForm!C3:C104,MainForm!N3:N104),0)+IF(MainForm!AA117=TRUE,SUMPRODUCT(--(MainForm!Z3:Z104="Alt-4"),MainForm!C3:C104,MainForm!N3:N104),0)</f>
        <v>2480</v>
      </c>
      <c r="G20" s="382" t="s">
        <v>264</v>
      </c>
      <c r="H20" s="203" t="s">
        <v>444</v>
      </c>
      <c r="I20" s="399"/>
      <c r="J20" s="204">
        <f>IF(I20=0,0,ADMINISTRATION!$B$36)</f>
        <v>0</v>
      </c>
      <c r="K20" s="383">
        <f t="shared" si="0"/>
        <v>0</v>
      </c>
      <c r="L20" s="207"/>
      <c r="M20" s="2"/>
      <c r="N20" s="2"/>
      <c r="O20" s="2"/>
      <c r="P20" s="2"/>
      <c r="Q20" s="2"/>
      <c r="R20" s="548"/>
      <c r="S20" s="556"/>
      <c r="T20" s="556"/>
      <c r="U20" s="545"/>
      <c r="V20" s="546"/>
      <c r="W20" s="4"/>
    </row>
    <row r="21" spans="1:23" ht="12.75" customHeight="1">
      <c r="A21" s="382" t="s">
        <v>252</v>
      </c>
      <c r="B21" s="203" t="s">
        <v>258</v>
      </c>
      <c r="C21" s="399">
        <f>IF(MainForm!AA113=TRUE,SUMIF(ReferPipe!Y37:Y41,MainForm!A113,ReferPipe!W37:W41))+IF(MainForm!AA114=TRUE,SUMIF(ReferPipe!Y37:Y41,MainForm!A114,ReferPipe!W37:W41))+IF(MainForm!AA115=TRUE,SUMIF(ReferPipe!Y37:Y41,MainForm!A115,ReferPipe!W37:W41))+IF(MainForm!AA116=TRUE,SUMIF(ReferPipe!Y37:Y41,MainForm!A116,ReferPipe!W37:W41))+IF(MainForm!AA117=TRUE,SUMIF(ReferPipe!Y37:Y41,MainForm!A117,ReferPipe!W37:W41))</f>
        <v>0</v>
      </c>
      <c r="D21" s="204">
        <f>IF(C21=0,0,ADMINISTRATION!$B$6)</f>
        <v>0</v>
      </c>
      <c r="E21" s="204">
        <f t="shared" si="1"/>
        <v>0</v>
      </c>
      <c r="F21" s="204">
        <f>IF(MainForm!AA113=TRUE,SUMIF(ReferPipe!Y37:Y41,MainForm!A113,ReferPipe!X37:X41))+IF(MainForm!AA114=TRUE,SUMIF(ReferPipe!Y37:Y41,MainForm!A114,ReferPipe!X37:X41))+IF(MainForm!AA115=TRUE,SUMIF(ReferPipe!Y37:Y41,MainForm!A115,ReferPipe!X37:X41))+IF(MainForm!AA116=TRUE,SUMIF(ReferPipe!Y37:Y41,MainForm!A116,ReferPipe!X37:X41))+IF(MainForm!AA117=TRUE,SUMIF(ReferPipe!Y37:Y41,MainForm!A117,ReferPipe!X37:X41))</f>
        <v>0</v>
      </c>
      <c r="G21" s="382" t="s">
        <v>265</v>
      </c>
      <c r="H21" s="203" t="s">
        <v>438</v>
      </c>
      <c r="I21" s="399"/>
      <c r="J21" s="204">
        <f>IF(I21=0,0,ADMINISTRATION!$B$36)</f>
        <v>0</v>
      </c>
      <c r="K21" s="383">
        <f t="shared" si="0"/>
        <v>0</v>
      </c>
      <c r="L21" s="207"/>
      <c r="M21" s="2"/>
      <c r="N21" s="2"/>
      <c r="O21" s="2"/>
      <c r="P21" s="2"/>
      <c r="Q21" s="2"/>
      <c r="R21" s="549"/>
      <c r="S21" s="556"/>
      <c r="T21" s="556"/>
      <c r="U21" s="545"/>
      <c r="V21" s="546"/>
      <c r="W21" s="4"/>
    </row>
    <row r="22" spans="1:23" ht="12.75" customHeight="1">
      <c r="A22" s="382" t="s">
        <v>255</v>
      </c>
      <c r="B22" s="208" t="s">
        <v>7</v>
      </c>
      <c r="C22" s="399">
        <f>BLACK_GAS_PIPE!$H$64+GALV_GAS_PIPE!$H$65</f>
        <v>0</v>
      </c>
      <c r="D22" s="204">
        <f>IF(C22=0,0,ADMINISTRATION!$B$6)</f>
        <v>0</v>
      </c>
      <c r="E22" s="204">
        <f t="shared" si="1"/>
        <v>0</v>
      </c>
      <c r="F22" s="204">
        <f>SUM(BLACK_GAS_PIPE!$F$64,GALV_GAS_PIPE!$F$65)</f>
        <v>0</v>
      </c>
      <c r="G22" s="205"/>
      <c r="H22" s="206"/>
      <c r="I22" s="399"/>
      <c r="J22" s="204">
        <f>IF(I22=0,0,ADMINISTRATION!$B$36)</f>
        <v>0</v>
      </c>
      <c r="K22" s="383"/>
      <c r="L22" s="207"/>
      <c r="M22" s="2"/>
      <c r="N22" s="2"/>
      <c r="O22" s="2"/>
      <c r="P22" s="2"/>
      <c r="Q22" s="2"/>
      <c r="R22" s="549"/>
      <c r="S22" s="556"/>
      <c r="T22" s="556"/>
      <c r="U22" s="545"/>
      <c r="V22" s="546"/>
      <c r="W22" s="4"/>
    </row>
    <row r="23" spans="1:23" ht="12.75" customHeight="1">
      <c r="A23" s="202"/>
      <c r="B23" s="203"/>
      <c r="C23" s="399"/>
      <c r="D23" s="204">
        <f>IF(C23=0,0,ADMINISTRATION!$B$6)</f>
        <v>0</v>
      </c>
      <c r="E23" s="204">
        <f t="shared" si="1"/>
        <v>0</v>
      </c>
      <c r="F23" s="204"/>
      <c r="G23" s="202" t="s">
        <v>267</v>
      </c>
      <c r="H23" s="203" t="s">
        <v>445</v>
      </c>
      <c r="I23" s="399"/>
      <c r="J23" s="204">
        <f>IF(I23=0,0,ADMINISTRATION!$B$36)</f>
        <v>0</v>
      </c>
      <c r="K23" s="383">
        <f t="shared" si="0"/>
        <v>0</v>
      </c>
      <c r="L23" s="207"/>
      <c r="M23" s="2"/>
      <c r="N23" s="2"/>
      <c r="O23" s="2"/>
      <c r="P23" s="2"/>
      <c r="Q23" s="2"/>
      <c r="R23" s="549"/>
      <c r="S23" s="556"/>
      <c r="T23" s="556"/>
      <c r="U23" s="545"/>
      <c r="V23" s="546"/>
      <c r="W23" s="4"/>
    </row>
    <row r="24" spans="1:23" ht="12.75" customHeight="1">
      <c r="A24" s="382" t="s">
        <v>253</v>
      </c>
      <c r="B24" s="203" t="s">
        <v>160</v>
      </c>
      <c r="C24" s="399">
        <f>SUMPRODUCT(--(MainForm!Z3:Z104="Base"),MainForm!C3:C104,MainForm!T3:T104)+IF(MainForm!AA114=TRUE,SUMPRODUCT(--(MainForm!Z3:Z104="Alt-1"),MainForm!C3:C104,MainForm!T3:T104),0)+IF(MainForm!AA115=TRUE,SUMPRODUCT(--(MainForm!Z3:Z104="Alt-2"),MainForm!C3:C104,MainForm!T3:T104),0)+IF(MainForm!AA116=TRUE,SUMPRODUCT(--(MainForm!Z3:Z104="Alt-3"),MainForm!C3:C104,MainForm!T3:T104),0)+IF(MainForm!AA117=TRUE,SUMPRODUCT(--(MainForm!Z3:Z104="Alt-4"),MainForm!C3:C104,MainForm!T3:T104),0)</f>
        <v>35.5</v>
      </c>
      <c r="D24" s="204">
        <f>IF(C24=0,0,ADMINISTRATION!$B$6)</f>
        <v>84</v>
      </c>
      <c r="E24" s="204">
        <f t="shared" si="1"/>
        <v>2982</v>
      </c>
      <c r="F24" s="204"/>
      <c r="G24" s="202" t="s">
        <v>268</v>
      </c>
      <c r="H24" s="203" t="s">
        <v>439</v>
      </c>
      <c r="I24" s="399"/>
      <c r="J24" s="204">
        <f>IF(I24=0,0,ADMINISTRATION!$B$36)</f>
        <v>0</v>
      </c>
      <c r="K24" s="383">
        <f t="shared" si="0"/>
        <v>0</v>
      </c>
      <c r="L24" s="207"/>
      <c r="M24" s="2"/>
      <c r="N24" s="2"/>
      <c r="O24" s="2"/>
      <c r="P24" s="2"/>
      <c r="Q24" s="2"/>
      <c r="R24" s="549"/>
      <c r="S24" s="556"/>
      <c r="T24" s="556"/>
      <c r="U24" s="545"/>
      <c r="V24" s="546"/>
      <c r="W24" s="4"/>
    </row>
    <row r="25" spans="1:23" ht="12.75" customHeight="1">
      <c r="A25" s="382" t="s">
        <v>254</v>
      </c>
      <c r="B25" s="203" t="s">
        <v>12</v>
      </c>
      <c r="C25" s="399">
        <f>SUMPRODUCT(--(MainForm!Z3:Z104="Base"),MainForm!C3:C104,MainForm!S3:S104)+IF(MainForm!AA114=TRUE,SUMPRODUCT(--(MainForm!Z3:Z104="Alt-1"),MainForm!C3:C104,MainForm!S3:S104),0)+IF(MainForm!AA115=TRUE,SUMPRODUCT(--(MainForm!Z3:Z104="Alt-2"),MainForm!C3:C104,MainForm!S3:S104),0)+IF(MainForm!AA116=TRUE,SUMPRODUCT(--(MainForm!Z3:Z104="Alt-3"),MainForm!C3:C104,MainForm!S3:S104),0)+IF(MainForm!AA117=TRUE,SUMPRODUCT(--(MainForm!Z3:Z104="Alt-4"),MainForm!C3:C104,MainForm!S3:S104),0)</f>
        <v>22.4</v>
      </c>
      <c r="D25" s="204">
        <f>IF(C25=0,0,ADMINISTRATION!$B$6)</f>
        <v>84</v>
      </c>
      <c r="E25" s="204">
        <f t="shared" si="1"/>
        <v>1881.6</v>
      </c>
      <c r="F25" s="204"/>
      <c r="G25" s="382"/>
      <c r="H25" s="203"/>
      <c r="I25" s="399"/>
      <c r="J25" s="204">
        <f>IF(I25=0,0,ADMINISTRATION!$B$36)</f>
        <v>0</v>
      </c>
      <c r="K25" s="383"/>
      <c r="L25" s="207"/>
      <c r="M25" s="2"/>
      <c r="N25" s="2"/>
      <c r="O25" s="2"/>
      <c r="P25" s="2"/>
      <c r="Q25" s="2"/>
      <c r="R25" s="549"/>
      <c r="S25" s="556"/>
      <c r="T25" s="556"/>
      <c r="U25" s="545"/>
      <c r="V25" s="546"/>
      <c r="W25" s="4"/>
    </row>
    <row r="26" spans="1:23" ht="12.75" customHeight="1">
      <c r="A26" s="382"/>
      <c r="B26" s="203"/>
      <c r="C26" s="399"/>
      <c r="D26" s="204">
        <f>IF(C26=0,0,ADMINISTRATION!$B$6)</f>
        <v>0</v>
      </c>
      <c r="E26" s="204">
        <f t="shared" si="1"/>
        <v>0</v>
      </c>
      <c r="F26" s="204"/>
      <c r="G26" s="205" t="s">
        <v>302</v>
      </c>
      <c r="H26" s="206" t="s">
        <v>285</v>
      </c>
      <c r="I26" s="399"/>
      <c r="J26" s="204">
        <f>IF(I26=0,0,ADMINISTRATION!$B$36)</f>
        <v>0</v>
      </c>
      <c r="K26" s="383">
        <f t="shared" si="0"/>
        <v>0</v>
      </c>
      <c r="L26" s="207"/>
      <c r="M26" s="2"/>
      <c r="N26" s="2"/>
      <c r="O26" s="2"/>
      <c r="P26" s="2"/>
      <c r="Q26" s="2"/>
      <c r="R26" s="549"/>
      <c r="S26" s="557"/>
      <c r="T26" s="557"/>
      <c r="U26" s="545"/>
      <c r="V26" s="546"/>
      <c r="W26" s="4"/>
    </row>
    <row r="27" spans="1:23" ht="12.75" customHeight="1">
      <c r="A27" s="202" t="s">
        <v>256</v>
      </c>
      <c r="B27" s="203" t="s">
        <v>259</v>
      </c>
      <c r="C27" s="657"/>
      <c r="D27" s="204">
        <f>IF(C27=0,0,ADMINISTRATION!$B$6)</f>
        <v>0</v>
      </c>
      <c r="E27" s="204">
        <f t="shared" si="1"/>
        <v>0</v>
      </c>
      <c r="F27" s="204"/>
      <c r="G27" s="205"/>
      <c r="H27" s="206"/>
      <c r="I27" s="399"/>
      <c r="J27" s="204">
        <f>I27*$D$44</f>
        <v>0</v>
      </c>
      <c r="K27" s="383"/>
      <c r="L27" s="207"/>
      <c r="R27" s="550"/>
      <c r="S27" s="556"/>
      <c r="T27" s="556"/>
      <c r="U27" s="545"/>
      <c r="V27" s="546"/>
      <c r="W27" s="4"/>
    </row>
    <row r="28" spans="1:23" ht="12.75" customHeight="1">
      <c r="A28" s="202" t="s">
        <v>655</v>
      </c>
      <c r="B28" s="203" t="s">
        <v>56</v>
      </c>
      <c r="C28" s="657"/>
      <c r="D28" s="204">
        <f>IF(C28=0,0,ADMINISTRATION!$B$6)</f>
        <v>0</v>
      </c>
      <c r="E28" s="204">
        <f t="shared" si="1"/>
        <v>0</v>
      </c>
      <c r="F28" s="204"/>
      <c r="G28" s="205"/>
      <c r="H28" s="206"/>
      <c r="I28" s="399"/>
      <c r="J28" s="204"/>
      <c r="K28" s="383"/>
      <c r="L28" s="207"/>
      <c r="M28" s="2"/>
      <c r="R28" s="550"/>
      <c r="S28" s="556"/>
      <c r="T28" s="556"/>
      <c r="U28" s="545"/>
      <c r="V28" s="546"/>
      <c r="W28" s="4"/>
    </row>
    <row r="29" spans="1:23" ht="12.75" customHeight="1">
      <c r="A29" s="382"/>
      <c r="B29" s="203"/>
      <c r="C29" s="399"/>
      <c r="D29" s="204">
        <f>IF(C29=0,0,ADMINISTRATION!$B$6)</f>
        <v>0</v>
      </c>
      <c r="E29" s="204">
        <f t="shared" si="1"/>
        <v>0</v>
      </c>
      <c r="F29" s="204"/>
      <c r="G29" s="205"/>
      <c r="H29" s="206"/>
      <c r="I29" s="399"/>
      <c r="J29" s="204"/>
      <c r="K29" s="383"/>
      <c r="L29" s="207"/>
      <c r="M29" s="2"/>
      <c r="O29" s="63" t="s">
        <v>232</v>
      </c>
      <c r="P29" s="201" t="b">
        <v>0</v>
      </c>
      <c r="R29" s="2"/>
      <c r="S29" s="555"/>
      <c r="T29" s="555"/>
      <c r="U29" s="2"/>
    </row>
    <row r="30" spans="1:23" ht="12.75" customHeight="1">
      <c r="A30" s="382"/>
      <c r="B30" s="203"/>
      <c r="C30" s="399"/>
      <c r="D30" s="204">
        <f>IF(C30=0,0,ADMINISTRATION!$B$6)</f>
        <v>0</v>
      </c>
      <c r="E30" s="204">
        <f t="shared" si="1"/>
        <v>0</v>
      </c>
      <c r="F30" s="204"/>
      <c r="G30" s="205" t="s">
        <v>271</v>
      </c>
      <c r="H30" s="206" t="s">
        <v>283</v>
      </c>
      <c r="I30" s="399"/>
      <c r="J30" s="204"/>
      <c r="K30" s="383"/>
      <c r="L30" s="553">
        <f>SUM(F13,F20)*0.03</f>
        <v>1714.2</v>
      </c>
      <c r="M30" s="2"/>
      <c r="O30" s="63"/>
      <c r="P30" s="201"/>
      <c r="R30" s="2"/>
      <c r="S30" s="2"/>
      <c r="T30" s="2"/>
      <c r="U30" s="2"/>
    </row>
    <row r="31" spans="1:23" ht="12.75" customHeight="1">
      <c r="A31" s="382" t="s">
        <v>275</v>
      </c>
      <c r="B31" s="208" t="s">
        <v>284</v>
      </c>
      <c r="C31" s="657"/>
      <c r="D31" s="204">
        <f>IF(C31=0,0,ADMINISTRATION!$B$6)</f>
        <v>0</v>
      </c>
      <c r="E31" s="204">
        <f t="shared" si="1"/>
        <v>0</v>
      </c>
      <c r="F31" s="204"/>
      <c r="G31" s="205"/>
      <c r="H31" s="203"/>
      <c r="I31" s="399"/>
      <c r="J31" s="204"/>
      <c r="K31" s="383"/>
      <c r="L31" s="207"/>
      <c r="M31" s="2"/>
      <c r="R31" s="2"/>
      <c r="S31" s="2"/>
      <c r="T31" s="2"/>
      <c r="U31" s="2"/>
    </row>
    <row r="32" spans="1:23" ht="12.75" customHeight="1" thickBot="1">
      <c r="A32" s="205"/>
      <c r="B32" s="206"/>
      <c r="C32" s="399">
        <v>0</v>
      </c>
      <c r="D32" s="204">
        <f>IF(C32=0,0,ADMINISTRATION!$B$6)</f>
        <v>0</v>
      </c>
      <c r="E32" s="204">
        <f t="shared" si="1"/>
        <v>0</v>
      </c>
      <c r="F32" s="204"/>
      <c r="G32" s="205"/>
      <c r="H32" s="206"/>
      <c r="I32" s="399"/>
      <c r="J32" s="204"/>
      <c r="K32" s="383"/>
      <c r="L32" s="207"/>
      <c r="R32" s="2"/>
      <c r="S32" s="2"/>
      <c r="T32" s="2"/>
      <c r="U32" s="2"/>
    </row>
    <row r="33" spans="1:21" ht="12.75" customHeight="1" thickTop="1" thickBot="1">
      <c r="A33" s="19"/>
      <c r="B33" s="37" t="s">
        <v>8</v>
      </c>
      <c r="C33" s="212">
        <f>SUM(C6:C32)</f>
        <v>1028.390625</v>
      </c>
      <c r="D33" s="417"/>
      <c r="E33" s="209">
        <f>SUM(E6:E32)</f>
        <v>86384.8125</v>
      </c>
      <c r="F33" s="209">
        <f>SUM(F6:F32)</f>
        <v>71690</v>
      </c>
      <c r="G33" s="38" t="s">
        <v>8</v>
      </c>
      <c r="H33" s="7"/>
      <c r="I33" s="212">
        <f>SUM(I6:I32)</f>
        <v>0</v>
      </c>
      <c r="J33" s="417"/>
      <c r="K33" s="210">
        <f>SUM(K6:K32)</f>
        <v>0</v>
      </c>
      <c r="L33" s="210">
        <f>SUM(L6:L32)</f>
        <v>1714.2</v>
      </c>
      <c r="R33" s="2"/>
      <c r="S33" s="2"/>
      <c r="T33" s="2"/>
      <c r="U33" s="2"/>
    </row>
    <row r="34" spans="1:21" ht="12.75" customHeight="1" thickTop="1" thickBot="1">
      <c r="A34" s="20"/>
      <c r="B34" s="8" t="s">
        <v>9</v>
      </c>
      <c r="C34" s="730" t="s">
        <v>10</v>
      </c>
      <c r="D34" s="312"/>
      <c r="E34" s="9"/>
      <c r="F34" s="28" t="s">
        <v>11</v>
      </c>
      <c r="G34" s="30"/>
      <c r="H34" s="30" t="s">
        <v>10</v>
      </c>
      <c r="I34" s="9"/>
      <c r="J34" s="430" t="s">
        <v>54</v>
      </c>
      <c r="K34" s="312" t="s">
        <v>10</v>
      </c>
      <c r="L34" s="22" t="s">
        <v>10</v>
      </c>
      <c r="M34" s="398"/>
      <c r="R34" s="2"/>
      <c r="S34" s="2"/>
      <c r="T34" s="2"/>
      <c r="U34" s="2"/>
    </row>
    <row r="35" spans="1:21" ht="12.75" customHeight="1" thickTop="1">
      <c r="A35" s="29" t="s">
        <v>303</v>
      </c>
      <c r="B35" s="16" t="s">
        <v>12</v>
      </c>
      <c r="C35" s="806">
        <f>IF(MainForm!$AA$113=TRUE,GeneralConditions!$C18)+IF(MainForm!$AA$114=TRUE,GeneralConditions!$D18,0)+IF(MainForm!$AA$115=TRUE,GeneralConditions!$E18,0)+IF(MainForm!$AA$116=TRUE,GeneralConditions!$F18,0)+IF(MainForm!$AA$117=TRUE,GeneralConditions!$G18,0)</f>
        <v>0</v>
      </c>
      <c r="D35" s="806"/>
      <c r="E35" s="16"/>
      <c r="F35" s="807" t="s">
        <v>309</v>
      </c>
      <c r="G35" s="808"/>
      <c r="H35" s="659">
        <f>IF(MainForm!$AA$113=TRUE,GeneralConditions!$C24,0)+IF(MainForm!$AA$114=TRUE,GeneralConditions!$D24,0)+IF(MainForm!$AA$115=TRUE,GeneralConditions!$E24,0)+IF(MainForm!$AA$116=TRUE,GeneralConditions!$F24,0)+IF(MainForm!$AA$117=TRUE,GeneralConditions!$G24,0)</f>
        <v>0</v>
      </c>
      <c r="I35" s="311"/>
      <c r="J35" s="824" t="s">
        <v>654</v>
      </c>
      <c r="K35" s="808"/>
      <c r="L35" s="660">
        <f>IF(MainForm!AA113=TRUE,GeneralConditions!$C30,0)+IF(MainForm!AA114=TRUE,GeneralConditions!D30,0)+IF(MainForm!AA115=TRUE,GeneralConditions!E30,0)+IF(MainForm!AA116=TRUE,GeneralConditions!F30,0)+IF(MainForm!AA117=TRUE,GeneralConditions!G30,0)</f>
        <v>0</v>
      </c>
      <c r="R35" s="2"/>
      <c r="S35" s="2"/>
      <c r="T35" s="2"/>
      <c r="U35" s="2"/>
    </row>
    <row r="36" spans="1:21" ht="12.75" customHeight="1">
      <c r="A36" s="29" t="s">
        <v>304</v>
      </c>
      <c r="B36" s="26" t="s">
        <v>13</v>
      </c>
      <c r="C36" s="806">
        <f>IF(MainForm!$AA$113=TRUE,GeneralConditions!$C19)+IF(MainForm!$AA$114=TRUE,GeneralConditions!$D19,0)+IF(MainForm!$AA$115=TRUE,GeneralConditions!$E19,0)+IF(MainForm!$AA$116=TRUE,GeneralConditions!$F19,0)+IF(MainForm!$AA$117=TRUE,GeneralConditions!$G19,0)</f>
        <v>0</v>
      </c>
      <c r="D36" s="806"/>
      <c r="E36" s="27"/>
      <c r="F36" s="825" t="s">
        <v>310</v>
      </c>
      <c r="G36" s="801"/>
      <c r="H36" s="659">
        <f>IF(MainForm!$AA$113=TRUE,GeneralConditions!$C25,0)+IF(MainForm!$AA$114=TRUE,GeneralConditions!$D25,0)+IF(MainForm!$AA$115=TRUE,GeneralConditions!$E25,0)+IF(MainForm!$AA$116=TRUE,GeneralConditions!$F25,0)+IF(MainForm!$AA$117=TRUE,GeneralConditions!$G25,0)</f>
        <v>0</v>
      </c>
      <c r="I36" s="427"/>
      <c r="J36" s="800" t="s">
        <v>161</v>
      </c>
      <c r="K36" s="801"/>
      <c r="L36" s="397" t="str">
        <f>IF(LEFT(UPPER(C4),1)="Y",(F33)*0.09,"N/A")</f>
        <v>N/A</v>
      </c>
      <c r="R36" s="2"/>
      <c r="S36" s="2"/>
      <c r="T36" s="2"/>
      <c r="U36" s="2"/>
    </row>
    <row r="37" spans="1:21" ht="12.75" customHeight="1">
      <c r="A37" s="29" t="s">
        <v>305</v>
      </c>
      <c r="B37" s="26" t="s">
        <v>14</v>
      </c>
      <c r="C37" s="806">
        <f>IF(MainForm!$AA$113=TRUE,GeneralConditions!$C20)+IF(MainForm!$AA$114=TRUE,GeneralConditions!$D20,0)+IF(MainForm!$AA$115=TRUE,GeneralConditions!$E20,0)+IF(MainForm!$AA$116=TRUE,GeneralConditions!$F20,0)+IF(MainForm!$AA$117=TRUE,GeneralConditions!$G20,0)</f>
        <v>0</v>
      </c>
      <c r="D37" s="806"/>
      <c r="E37" s="17"/>
      <c r="F37" s="784" t="s">
        <v>311</v>
      </c>
      <c r="G37" s="801"/>
      <c r="H37" s="659">
        <f>IF(MainForm!$AA$113=TRUE,GeneralConditions!$C26,0)+IF(MainForm!$AA$114=TRUE,GeneralConditions!$D26,0)+IF(MainForm!$AA$115=TRUE,GeneralConditions!$E26,0)+IF(MainForm!$AA$116=TRUE,GeneralConditions!$F26,0)+IF(MainForm!$AA$117=TRUE,GeneralConditions!$G26,0)</f>
        <v>0</v>
      </c>
      <c r="I37" s="311"/>
      <c r="J37" s="800" t="s">
        <v>674</v>
      </c>
      <c r="K37" s="801"/>
      <c r="L37" s="661">
        <f>IF(MainForm!AA113=TRUE,GeneralConditions!$C32,0)+IF(MainForm!$AA$114=TRUE,GeneralConditions!$D32,0)+IF(MainForm!$AA$115=TRUE,GeneralConditions!$E32,0)+IF(MainForm!$AA$116=TRUE,GeneralConditions!$F32,0)+IF(MainForm!$AA$117=TRUE,GeneralConditions!$G32,0)</f>
        <v>0</v>
      </c>
      <c r="R37" s="2"/>
      <c r="S37" s="2"/>
      <c r="T37" s="2"/>
      <c r="U37" s="2"/>
    </row>
    <row r="38" spans="1:21" ht="12.75" customHeight="1">
      <c r="A38" s="29" t="s">
        <v>306</v>
      </c>
      <c r="B38" s="6" t="s">
        <v>15</v>
      </c>
      <c r="C38" s="806">
        <f>IF(MainForm!$AA$113=TRUE,GeneralConditions!$C21)+IF(MainForm!$AA$114=TRUE,GeneralConditions!$D21,0)+IF(MainForm!$AA$115=TRUE,GeneralConditions!$E21,0)+IF(MainForm!$AA$116=TRUE,GeneralConditions!$F21,0)+IF(MainForm!$AA$117=TRUE,GeneralConditions!$G21,0)</f>
        <v>0</v>
      </c>
      <c r="D38" s="806"/>
      <c r="E38" s="6"/>
      <c r="F38" s="816" t="s">
        <v>312</v>
      </c>
      <c r="G38" s="801"/>
      <c r="H38" s="659">
        <f>IF(MainForm!AA113=TRUE,GeneralConditions!$C27,0)+IF(MainForm!AA114=TRUE,GeneralConditions!D27,0)+IF(MainForm!AA115=TRUE,GeneralConditions!E27,0)+IF(MainForm!AA116=TRUE,GeneralConditions!F27,0)+IF(MainForm!AA117=TRUE,GeneralConditions!G27,0)</f>
        <v>0</v>
      </c>
      <c r="I38" s="427"/>
      <c r="J38" s="800" t="s">
        <v>315</v>
      </c>
      <c r="K38" s="801"/>
      <c r="L38" s="661">
        <f>E58*0.03</f>
        <v>5356.7142421875005</v>
      </c>
      <c r="R38" s="2"/>
      <c r="S38" s="2"/>
      <c r="T38" s="2"/>
      <c r="U38" s="2"/>
    </row>
    <row r="39" spans="1:21" ht="12.75" customHeight="1">
      <c r="A39" s="29" t="s">
        <v>307</v>
      </c>
      <c r="B39" s="408" t="s">
        <v>175</v>
      </c>
      <c r="C39" s="806">
        <f>IF(MainForm!$AA$113=TRUE,GeneralConditions!$C22)+IF(MainForm!$AA$114=TRUE,GeneralConditions!$D22,0)+IF(MainForm!$AA$115=TRUE,GeneralConditions!$E22,0)+IF(MainForm!$AA$116=TRUE,GeneralConditions!$F22,0)+IF(MainForm!$AA$117=TRUE,GeneralConditions!$G22,0)</f>
        <v>0</v>
      </c>
      <c r="D39" s="806"/>
      <c r="E39" s="407"/>
      <c r="F39" s="816" t="s">
        <v>313</v>
      </c>
      <c r="G39" s="801"/>
      <c r="H39" s="659">
        <f>IF(MainForm!$AA$113=TRUE,GeneralConditions!$C28,0)+IF(MainForm!$AA$114=TRUE,GeneralConditions!$D28,0)+IF(MainForm!$AA$115=TRUE,GeneralConditions!$E28,0)+IF(MainForm!$AA$116=TRUE,GeneralConditions!$F28,0)+IF(MainForm!$AA$117=TRUE,GeneralConditions!$G28,0)</f>
        <v>0</v>
      </c>
      <c r="I39" s="428"/>
      <c r="J39" s="800" t="s">
        <v>287</v>
      </c>
      <c r="K39" s="801"/>
      <c r="L39" s="661">
        <f>IF(MainForm!AA113=TRUE,GeneralConditions!$C33,0)+IF(MainForm!$AA$114=TRUE,GeneralConditions!$D33,0)+IF(MainForm!$AA$115=TRUE,GeneralConditions!$E33,0)+IF(MainForm!$AA$116=TRUE,GeneralConditions!$F33,0)+IF(MainForm!$AA$117=TRUE,GeneralConditions!$G33,0)</f>
        <v>0</v>
      </c>
      <c r="R39" s="2"/>
      <c r="S39" s="2"/>
      <c r="T39" s="2"/>
      <c r="U39" s="2"/>
    </row>
    <row r="40" spans="1:21" ht="12.75" customHeight="1" thickBot="1">
      <c r="A40" s="415" t="s">
        <v>308</v>
      </c>
      <c r="B40" s="414" t="s">
        <v>290</v>
      </c>
      <c r="C40" s="806">
        <f>IF(MainForm!$AA$113=TRUE,GeneralConditions!$C23,0)+IF(MainForm!$AA$114=TRUE,GeneralConditions!$D23,0)+IF(MainForm!$AA$115=TRUE,GeneralConditions!$E23,0)+IF(MainForm!$AA$116=TRUE,GeneralConditions!$F23,0)+IF(MainForm!$AA$117=TRUE,GeneralConditions!$G23,0)</f>
        <v>0</v>
      </c>
      <c r="D40" s="806"/>
      <c r="E40" s="414"/>
      <c r="F40" s="817" t="s">
        <v>314</v>
      </c>
      <c r="G40" s="803"/>
      <c r="H40" s="659">
        <f>IF(MainForm!$AA$113=TRUE,GeneralConditions!$C29,0)+IF(MainForm!$AA$114=TRUE,GeneralConditions!$D29,0)+IF(MainForm!$AA$115=TRUE,GeneralConditions!$E29,0)+IF(MainForm!$AA$116=TRUE,GeneralConditions!$F29,0)+IF(MainForm!$AA$117=TRUE,GeneralConditions!$G29,0)</f>
        <v>0</v>
      </c>
      <c r="I40" s="429"/>
      <c r="J40" s="802" t="s">
        <v>653</v>
      </c>
      <c r="K40" s="803"/>
      <c r="L40" s="661">
        <f>IF(MainForm!AA113=TRUE,GeneralConditions!$C34,0)+IF(MainForm!AA114=TRUE,GeneralConditions!D34,0)+IF(MainForm!AA115=TRUE,GeneralConditions!E34,0)+IF(MainForm!AA116=TRUE,GeneralConditions!F34,0)+IF(MainForm!AA117=TRUE,GeneralConditions!G34,0)</f>
        <v>0</v>
      </c>
      <c r="R40" s="2"/>
      <c r="S40" s="2"/>
      <c r="T40" s="2"/>
      <c r="U40" s="2"/>
    </row>
    <row r="41" spans="1:21" ht="12.75" customHeight="1" thickTop="1" thickBot="1">
      <c r="A41" s="31"/>
      <c r="B41" s="229" t="s">
        <v>16</v>
      </c>
      <c r="C41" s="579">
        <f>SUM(H41+L41)+SUM(C35:D40)</f>
        <v>5356.7142421875005</v>
      </c>
      <c r="D41" s="409"/>
      <c r="E41" s="21"/>
      <c r="F41" s="410" t="s">
        <v>17</v>
      </c>
      <c r="G41" s="20"/>
      <c r="H41" s="411">
        <f>SUM(H35:H40)</f>
        <v>0</v>
      </c>
      <c r="I41" s="412"/>
      <c r="J41" s="804" t="s">
        <v>55</v>
      </c>
      <c r="K41" s="805"/>
      <c r="L41" s="413">
        <f>SUM(L35:L40)</f>
        <v>5356.7142421875005</v>
      </c>
      <c r="M41" s="228"/>
      <c r="N41" s="35"/>
      <c r="O41" s="4"/>
      <c r="P41" s="4"/>
      <c r="Q41" s="4"/>
      <c r="R41" s="2"/>
      <c r="S41" s="2"/>
      <c r="T41" s="2"/>
      <c r="U41" s="2"/>
    </row>
    <row r="42" spans="1:21" ht="12.75" customHeight="1" thickTop="1" thickBot="1">
      <c r="A42" s="31"/>
      <c r="B42" s="10" t="s">
        <v>18</v>
      </c>
      <c r="C42" s="401" t="s">
        <v>19</v>
      </c>
      <c r="D42" s="313" t="s">
        <v>20</v>
      </c>
      <c r="E42" s="325" t="s">
        <v>21</v>
      </c>
      <c r="F42" s="14" t="s">
        <v>28</v>
      </c>
      <c r="G42" s="5"/>
      <c r="H42" s="15"/>
      <c r="I42" s="11"/>
      <c r="J42" s="11"/>
      <c r="K42" s="11"/>
      <c r="L42" s="23"/>
      <c r="M42" s="13"/>
      <c r="N42" s="35"/>
      <c r="O42" s="4"/>
      <c r="P42" s="4"/>
      <c r="Q42" s="4"/>
      <c r="R42" s="2"/>
      <c r="S42" s="2"/>
      <c r="T42" s="2"/>
      <c r="U42" s="2"/>
    </row>
    <row r="43" spans="1:21" ht="12.75" customHeight="1" thickTop="1">
      <c r="A43" s="31"/>
      <c r="B43" s="12" t="s">
        <v>22</v>
      </c>
      <c r="C43" s="580">
        <f>SUM(F33,L33)</f>
        <v>73404.2</v>
      </c>
      <c r="D43" s="241">
        <v>1</v>
      </c>
      <c r="E43" s="323">
        <f>C43*D43</f>
        <v>73404.2</v>
      </c>
      <c r="F43" s="13"/>
      <c r="G43" s="5"/>
      <c r="H43" s="372"/>
      <c r="I43" s="373"/>
      <c r="J43" s="4"/>
      <c r="M43" s="319"/>
      <c r="R43" s="2"/>
      <c r="S43" s="2"/>
      <c r="T43" s="2"/>
      <c r="U43" s="2"/>
    </row>
    <row r="44" spans="1:21" ht="12.75" customHeight="1">
      <c r="A44" s="31"/>
      <c r="B44" s="12" t="s">
        <v>23</v>
      </c>
      <c r="C44" s="213">
        <f>SUM(C33,I27:I30)</f>
        <v>1028.390625</v>
      </c>
      <c r="D44" s="421">
        <f>IF(C33=0,90,SUMPRODUCT(C6:C32,D6:D32)/C33)</f>
        <v>84</v>
      </c>
      <c r="E44" s="211">
        <f>C44*D44</f>
        <v>86384.8125</v>
      </c>
      <c r="F44" s="13"/>
      <c r="H44" s="374" t="s">
        <v>233</v>
      </c>
      <c r="I44" s="375"/>
      <c r="J44" s="4"/>
      <c r="L44" s="370"/>
      <c r="R44" s="2"/>
      <c r="S44" s="2"/>
      <c r="T44" s="2"/>
      <c r="U44" s="2"/>
    </row>
    <row r="45" spans="1:21" ht="12.75" customHeight="1">
      <c r="A45" s="31"/>
      <c r="B45" s="12" t="s">
        <v>447</v>
      </c>
      <c r="C45" s="213">
        <f>SUM(I6:I24)</f>
        <v>0</v>
      </c>
      <c r="D45" s="421">
        <f>IF(I33=0,57,SUMPRODUCT(I6:I32,J6:J32)/I33)</f>
        <v>57</v>
      </c>
      <c r="E45" s="211">
        <f>C45*D45</f>
        <v>0</v>
      </c>
      <c r="F45" s="13"/>
      <c r="H45" s="374"/>
      <c r="I45" s="375"/>
      <c r="J45" s="4"/>
      <c r="L45" s="370"/>
      <c r="R45" s="2"/>
      <c r="S45" s="2"/>
      <c r="T45" s="2"/>
      <c r="U45" s="2"/>
    </row>
    <row r="46" spans="1:21" ht="12.75" customHeight="1" thickBot="1">
      <c r="A46" s="31"/>
      <c r="B46" s="12" t="s">
        <v>211</v>
      </c>
      <c r="C46" s="213">
        <f>I26</f>
        <v>0</v>
      </c>
      <c r="D46" s="422">
        <f>SUM(ADMINISTRATION!B35)</f>
        <v>57</v>
      </c>
      <c r="E46" s="211">
        <f>C46*D46</f>
        <v>0</v>
      </c>
      <c r="F46" s="13"/>
      <c r="G46" s="35"/>
      <c r="H46" s="376"/>
      <c r="I46" s="377"/>
      <c r="J46" s="4"/>
      <c r="L46" s="370"/>
      <c r="R46" s="2"/>
      <c r="S46" s="2"/>
      <c r="T46" s="2"/>
      <c r="U46" s="2"/>
    </row>
    <row r="47" spans="1:21" ht="12.75" customHeight="1">
      <c r="A47" s="24" t="s">
        <v>272</v>
      </c>
      <c r="B47" s="12" t="s">
        <v>37</v>
      </c>
      <c r="C47" s="795"/>
      <c r="D47" s="796"/>
      <c r="E47" s="243">
        <f>SUM(C44,C56)*ADMINISTRATION!$B$7+SUM(C45,C46)*ADMINISTRATION!$B$47</f>
        <v>18768.12890625</v>
      </c>
      <c r="F47" s="13"/>
      <c r="G47" s="35"/>
      <c r="H47" s="4"/>
      <c r="I47" s="4"/>
      <c r="J47" s="4"/>
      <c r="K47" s="4"/>
      <c r="L47" s="22"/>
      <c r="R47" s="2"/>
      <c r="S47" s="2"/>
      <c r="T47" s="2"/>
      <c r="U47" s="2"/>
    </row>
    <row r="48" spans="1:21" ht="12.75" customHeight="1">
      <c r="A48" s="24" t="s">
        <v>273</v>
      </c>
      <c r="B48" s="36" t="s">
        <v>241</v>
      </c>
      <c r="C48" s="792"/>
      <c r="D48" s="794"/>
      <c r="E48" s="324">
        <f>(SUM(C44)*-C48)</f>
        <v>0</v>
      </c>
      <c r="F48" s="13"/>
      <c r="G48" s="5"/>
      <c r="H48" s="4"/>
      <c r="I48" s="4"/>
      <c r="J48" s="4"/>
      <c r="K48" s="4"/>
      <c r="L48" s="22"/>
      <c r="M48" s="320"/>
    </row>
    <row r="49" spans="1:21" ht="12.75" customHeight="1">
      <c r="A49" s="24" t="s">
        <v>276</v>
      </c>
      <c r="B49" s="12" t="s">
        <v>432</v>
      </c>
      <c r="C49" s="792"/>
      <c r="D49" s="793"/>
      <c r="E49" s="334">
        <f>(SUM(C45)*-C49)</f>
        <v>0</v>
      </c>
      <c r="F49" s="228"/>
      <c r="G49" s="5"/>
      <c r="H49" s="57"/>
      <c r="I49" s="57"/>
      <c r="J49" s="4"/>
      <c r="K49" s="4"/>
      <c r="L49" s="22"/>
      <c r="M49" s="320"/>
    </row>
    <row r="50" spans="1:21" ht="12.75" customHeight="1">
      <c r="A50" s="24" t="s">
        <v>278</v>
      </c>
      <c r="B50" s="12" t="s">
        <v>242</v>
      </c>
      <c r="C50" s="792"/>
      <c r="D50" s="793"/>
      <c r="E50" s="334">
        <f>(SUM(C46)*-C50)</f>
        <v>0</v>
      </c>
      <c r="F50" s="228"/>
      <c r="G50" s="5"/>
      <c r="H50" s="385"/>
      <c r="I50" s="57"/>
      <c r="J50" s="4"/>
      <c r="K50" s="4"/>
      <c r="L50" s="22"/>
      <c r="M50" s="572"/>
    </row>
    <row r="51" spans="1:21">
      <c r="A51" s="24" t="s">
        <v>274</v>
      </c>
      <c r="B51" s="36" t="s">
        <v>243</v>
      </c>
      <c r="C51" s="792"/>
      <c r="D51" s="793"/>
      <c r="E51" s="334">
        <f>C44*-C51</f>
        <v>0</v>
      </c>
      <c r="F51" s="228"/>
      <c r="G51" s="5"/>
      <c r="H51" s="57"/>
      <c r="I51" s="386"/>
      <c r="J51" s="333"/>
      <c r="K51" s="4"/>
      <c r="L51" s="22"/>
      <c r="M51" s="573"/>
    </row>
    <row r="52" spans="1:21">
      <c r="A52" s="24" t="s">
        <v>279</v>
      </c>
      <c r="B52" s="12" t="s">
        <v>433</v>
      </c>
      <c r="C52" s="792"/>
      <c r="D52" s="793"/>
      <c r="E52" s="334">
        <f>C45*-C52</f>
        <v>0</v>
      </c>
      <c r="F52" s="228"/>
      <c r="G52" s="5"/>
      <c r="H52" s="57"/>
      <c r="I52" s="386"/>
      <c r="J52" s="333"/>
      <c r="K52" s="4"/>
      <c r="L52" s="22"/>
    </row>
    <row r="53" spans="1:21">
      <c r="A53" s="24" t="s">
        <v>277</v>
      </c>
      <c r="B53" s="12" t="s">
        <v>244</v>
      </c>
      <c r="C53" s="792"/>
      <c r="D53" s="793"/>
      <c r="E53" s="334">
        <f>C46*-C53</f>
        <v>0</v>
      </c>
      <c r="F53" s="228" t="s">
        <v>640</v>
      </c>
      <c r="G53" s="5"/>
      <c r="H53" s="4"/>
      <c r="I53" s="5"/>
      <c r="J53" s="333"/>
      <c r="K53" s="4"/>
      <c r="L53" s="22"/>
    </row>
    <row r="54" spans="1:21">
      <c r="A54" s="24" t="s">
        <v>289</v>
      </c>
      <c r="B54" s="12" t="s">
        <v>291</v>
      </c>
      <c r="C54" s="402">
        <f>GeneralConditions!M22</f>
        <v>0</v>
      </c>
      <c r="D54" s="423">
        <v>44</v>
      </c>
      <c r="E54" s="244">
        <f>D54*C54</f>
        <v>0</v>
      </c>
      <c r="F54" s="683">
        <f>E54*E59*E61</f>
        <v>0</v>
      </c>
      <c r="G54" s="35"/>
      <c r="H54" s="4"/>
      <c r="I54" s="4"/>
      <c r="J54" s="4"/>
      <c r="K54" s="4"/>
      <c r="L54" s="22"/>
    </row>
    <row r="55" spans="1:21">
      <c r="A55" s="24"/>
      <c r="B55" s="245"/>
      <c r="C55" s="423"/>
      <c r="D55" s="423"/>
      <c r="E55" s="394">
        <f>C55*D55</f>
        <v>0</v>
      </c>
      <c r="F55" s="13"/>
      <c r="G55" s="35"/>
      <c r="H55" s="4"/>
      <c r="I55" s="4"/>
      <c r="J55" s="4"/>
      <c r="K55" s="6" t="s">
        <v>58</v>
      </c>
      <c r="L55" s="420" t="e">
        <f>K59/J4</f>
        <v>#DIV/0!</v>
      </c>
    </row>
    <row r="56" spans="1:21" ht="13.2" thickBot="1">
      <c r="A56" s="32" t="s">
        <v>269</v>
      </c>
      <c r="B56" s="245" t="s">
        <v>270</v>
      </c>
      <c r="C56" s="402"/>
      <c r="D56" s="423">
        <v>65</v>
      </c>
      <c r="E56" s="394">
        <f>C56*D56</f>
        <v>0</v>
      </c>
      <c r="F56" s="13"/>
      <c r="G56" s="35"/>
      <c r="H56" s="4"/>
      <c r="I56" s="4"/>
      <c r="J56" s="4"/>
      <c r="K56" s="418" t="s">
        <v>57</v>
      </c>
      <c r="L56" s="419" t="e">
        <f>SUM(K59/F4)</f>
        <v>#DIV/0!</v>
      </c>
    </row>
    <row r="57" spans="1:21" ht="13.2" hidden="1" thickBot="1">
      <c r="A57" s="32">
        <v>450</v>
      </c>
      <c r="B57" s="784" t="s">
        <v>36</v>
      </c>
      <c r="C57" s="785"/>
      <c r="D57" s="797"/>
      <c r="E57" s="242"/>
      <c r="F57" s="13" t="s">
        <v>25</v>
      </c>
      <c r="G57" s="5" t="s">
        <v>26</v>
      </c>
      <c r="H57" s="4"/>
      <c r="I57" s="4" t="s">
        <v>27</v>
      </c>
      <c r="J57" s="4"/>
      <c r="K57" s="68" t="s">
        <v>58</v>
      </c>
      <c r="L57" s="67" t="e">
        <f>SUM(K59/J4)</f>
        <v>#DIV/0!</v>
      </c>
    </row>
    <row r="58" spans="1:21" ht="13.2" thickTop="1">
      <c r="A58" s="31"/>
      <c r="B58" s="784" t="s">
        <v>29</v>
      </c>
      <c r="C58" s="785"/>
      <c r="D58" s="785"/>
      <c r="E58" s="379">
        <f>SUM($E$43:$E$57)</f>
        <v>178557.14140625001</v>
      </c>
      <c r="F58" s="65"/>
      <c r="G58" s="64"/>
      <c r="H58" s="65"/>
      <c r="I58" s="65"/>
      <c r="J58" s="65"/>
      <c r="K58" s="65"/>
      <c r="L58" s="66"/>
    </row>
    <row r="59" spans="1:21" ht="13.2">
      <c r="A59" s="61"/>
      <c r="B59" s="59" t="s">
        <v>50</v>
      </c>
      <c r="C59" s="403"/>
      <c r="D59" s="60"/>
      <c r="E59" s="424">
        <v>1.23</v>
      </c>
      <c r="F59" s="2"/>
      <c r="G59" s="787" t="s">
        <v>46</v>
      </c>
      <c r="H59" s="788"/>
      <c r="I59" s="788"/>
      <c r="J59" s="789"/>
      <c r="K59" s="396">
        <f>E64</f>
        <v>236498.93379257814</v>
      </c>
      <c r="L59" s="53"/>
      <c r="M59" s="482"/>
      <c r="R59" s="482"/>
    </row>
    <row r="60" spans="1:21" ht="13.2">
      <c r="A60" s="31"/>
      <c r="B60" s="784" t="s">
        <v>29</v>
      </c>
      <c r="C60" s="785"/>
      <c r="D60" s="785"/>
      <c r="E60" s="379">
        <f>E58*E59</f>
        <v>219625.28392968752</v>
      </c>
      <c r="F60" s="2"/>
      <c r="G60" s="787" t="s">
        <v>47</v>
      </c>
      <c r="H60" s="788"/>
      <c r="I60" s="788"/>
      <c r="J60" s="789"/>
      <c r="K60" s="395">
        <f>K59/(E60+E63)</f>
        <v>1.0486935866983373</v>
      </c>
      <c r="L60" s="53"/>
      <c r="M60" s="482"/>
      <c r="S60" s="482"/>
    </row>
    <row r="61" spans="1:21">
      <c r="A61" s="25"/>
      <c r="B61" s="784" t="s">
        <v>51</v>
      </c>
      <c r="C61" s="785"/>
      <c r="D61" s="785"/>
      <c r="E61" s="425">
        <v>1.05</v>
      </c>
      <c r="F61" s="2"/>
      <c r="G61" s="790" t="s">
        <v>603</v>
      </c>
      <c r="H61" s="790"/>
      <c r="I61" s="790"/>
      <c r="J61" s="790"/>
      <c r="K61" s="316">
        <f>K59-K62</f>
        <v>52585.078144140629</v>
      </c>
      <c r="L61" s="378"/>
      <c r="M61" s="482"/>
      <c r="R61" s="559"/>
      <c r="S61" s="482"/>
      <c r="U61" s="559"/>
    </row>
    <row r="62" spans="1:21">
      <c r="A62" s="31"/>
      <c r="B62" s="784" t="s">
        <v>29</v>
      </c>
      <c r="C62" s="785"/>
      <c r="D62" s="785"/>
      <c r="E62" s="379">
        <f>E60*E61</f>
        <v>230606.5481261719</v>
      </c>
      <c r="F62" s="320"/>
      <c r="G62" s="790" t="s">
        <v>163</v>
      </c>
      <c r="H62" s="790"/>
      <c r="I62" s="790"/>
      <c r="J62" s="790"/>
      <c r="K62" s="316">
        <f>E43+E44+E47+E48+E55+E57+C63+E51+E54+E56+E46+E45+E49+E50+E52+E53</f>
        <v>183913.85564843751</v>
      </c>
      <c r="L62" s="554"/>
      <c r="R62" s="482"/>
      <c r="U62" s="482"/>
    </row>
    <row r="63" spans="1:21" ht="13.2" thickBot="1">
      <c r="A63" s="61"/>
      <c r="B63" s="12" t="s">
        <v>24</v>
      </c>
      <c r="C63" s="204">
        <f>C41</f>
        <v>5356.7142421875005</v>
      </c>
      <c r="D63" s="431">
        <v>1.1000000000000001</v>
      </c>
      <c r="E63" s="380">
        <f>C63*D63</f>
        <v>5892.3856664062514</v>
      </c>
      <c r="F63" s="320"/>
      <c r="G63" s="790" t="s">
        <v>164</v>
      </c>
      <c r="H63" s="790"/>
      <c r="I63" s="790"/>
      <c r="J63" s="790"/>
      <c r="K63" s="317">
        <f>IF(K59&lt;500001,K59*0.0144,500000*0.0144+(K59-500000)*0.0087)</f>
        <v>3405.5846466131252</v>
      </c>
      <c r="L63" s="554"/>
    </row>
    <row r="64" spans="1:21" ht="13.8" thickTop="1" thickBot="1">
      <c r="A64" s="18"/>
      <c r="B64" s="314" t="s">
        <v>30</v>
      </c>
      <c r="C64" s="404"/>
      <c r="D64" s="315"/>
      <c r="E64" s="381">
        <f>E62+E63</f>
        <v>236498.93379257814</v>
      </c>
      <c r="F64" s="321"/>
      <c r="G64" s="791" t="s">
        <v>162</v>
      </c>
      <c r="H64" s="791"/>
      <c r="I64" s="791"/>
      <c r="J64" s="791"/>
      <c r="K64" s="326">
        <f>(K59-(SUMIF(MainForm!AA113:AA118,TRUE,MainForm!M113:M118)))/K59</f>
        <v>0.22234805587013981</v>
      </c>
      <c r="L64" s="322"/>
    </row>
    <row r="65" spans="4:12" ht="13.2" thickTop="1">
      <c r="F65" s="2"/>
      <c r="G65" s="318"/>
      <c r="H65" s="2"/>
      <c r="I65" s="2"/>
      <c r="J65" s="2"/>
      <c r="K65" s="2"/>
      <c r="L65" s="2"/>
    </row>
    <row r="66" spans="4:12">
      <c r="F66" s="2"/>
      <c r="H66" s="3"/>
      <c r="I66" s="2"/>
      <c r="J66" s="2"/>
      <c r="K66" s="2"/>
      <c r="L66" s="2"/>
    </row>
    <row r="67" spans="4:12">
      <c r="E67" s="201"/>
    </row>
    <row r="68" spans="4:12">
      <c r="G68" s="5" t="s">
        <v>49</v>
      </c>
      <c r="H68" s="786"/>
      <c r="I68" s="786"/>
      <c r="J68" s="786"/>
      <c r="K68" s="62"/>
    </row>
    <row r="71" spans="4:12">
      <c r="D71" s="63" t="s">
        <v>234</v>
      </c>
      <c r="E71">
        <f>IF($E$60&lt;10000,1.34,IF($E$60&lt;30000,1.1,IF($E$60&lt;100000,1.075,IF($E$60&lt;250000,1.02,IF($E$60&lt;900000,0.94,0.92)))))</f>
        <v>1.02</v>
      </c>
    </row>
    <row r="79" spans="4:12">
      <c r="H79" s="3"/>
    </row>
    <row r="85" spans="8:8">
      <c r="H85" s="3"/>
    </row>
    <row r="116" spans="8:8">
      <c r="H116" s="3"/>
    </row>
  </sheetData>
  <sheetProtection sheet="1" selectLockedCells="1"/>
  <mergeCells count="48">
    <mergeCell ref="J35:K35"/>
    <mergeCell ref="J36:K36"/>
    <mergeCell ref="F36:G36"/>
    <mergeCell ref="F37:G37"/>
    <mergeCell ref="F38:G38"/>
    <mergeCell ref="F39:G39"/>
    <mergeCell ref="F40:G40"/>
    <mergeCell ref="B1:D1"/>
    <mergeCell ref="B2:D2"/>
    <mergeCell ref="B3:D3"/>
    <mergeCell ref="F1:H1"/>
    <mergeCell ref="K2:L2"/>
    <mergeCell ref="K3:L3"/>
    <mergeCell ref="K1:L1"/>
    <mergeCell ref="F2:H2"/>
    <mergeCell ref="G3:H3"/>
    <mergeCell ref="C47:D47"/>
    <mergeCell ref="B57:D57"/>
    <mergeCell ref="A4:B4"/>
    <mergeCell ref="C51:D51"/>
    <mergeCell ref="J37:K37"/>
    <mergeCell ref="J38:K38"/>
    <mergeCell ref="J39:K39"/>
    <mergeCell ref="J40:K40"/>
    <mergeCell ref="J41:K41"/>
    <mergeCell ref="C35:D35"/>
    <mergeCell ref="C36:D36"/>
    <mergeCell ref="C37:D37"/>
    <mergeCell ref="C38:D38"/>
    <mergeCell ref="C39:D39"/>
    <mergeCell ref="C40:D40"/>
    <mergeCell ref="F35:G35"/>
    <mergeCell ref="C49:D49"/>
    <mergeCell ref="C50:D50"/>
    <mergeCell ref="C52:D52"/>
    <mergeCell ref="C53:D53"/>
    <mergeCell ref="C48:D48"/>
    <mergeCell ref="B62:D62"/>
    <mergeCell ref="B58:D58"/>
    <mergeCell ref="B61:D61"/>
    <mergeCell ref="H68:J68"/>
    <mergeCell ref="G59:J59"/>
    <mergeCell ref="G60:J60"/>
    <mergeCell ref="G62:J62"/>
    <mergeCell ref="G63:J63"/>
    <mergeCell ref="G64:J64"/>
    <mergeCell ref="B60:D60"/>
    <mergeCell ref="G61:J61"/>
  </mergeCells>
  <phoneticPr fontId="0" type="noConversion"/>
  <conditionalFormatting sqref="K59 C63 E63:E64 C43:C44 E43:E46 I25 C23 C6 C11 C46">
    <cfRule type="cellIs" dxfId="105" priority="181" stopIfTrue="1" operator="equal">
      <formula>0</formula>
    </cfRule>
    <cfRule type="cellIs" dxfId="104" priority="182" stopIfTrue="1" operator="greaterThan">
      <formula>0</formula>
    </cfRule>
  </conditionalFormatting>
  <conditionalFormatting sqref="I9 I22">
    <cfRule type="cellIs" dxfId="103" priority="171" stopIfTrue="1" operator="equal">
      <formula>0</formula>
    </cfRule>
    <cfRule type="cellIs" dxfId="102" priority="172" stopIfTrue="1" operator="greaterThan">
      <formula>0</formula>
    </cfRule>
  </conditionalFormatting>
  <conditionalFormatting sqref="I6 K6:K30">
    <cfRule type="cellIs" dxfId="101" priority="157" stopIfTrue="1" operator="equal">
      <formula>0</formula>
    </cfRule>
    <cfRule type="cellIs" dxfId="100" priority="158" stopIfTrue="1" operator="greaterThan">
      <formula>0</formula>
    </cfRule>
  </conditionalFormatting>
  <conditionalFormatting sqref="I7">
    <cfRule type="cellIs" dxfId="99" priority="147" stopIfTrue="1" operator="equal">
      <formula>0</formula>
    </cfRule>
    <cfRule type="cellIs" dxfId="98" priority="148" stopIfTrue="1" operator="greaterThan">
      <formula>0</formula>
    </cfRule>
  </conditionalFormatting>
  <conditionalFormatting sqref="I13:I14">
    <cfRule type="cellIs" dxfId="97" priority="145" stopIfTrue="1" operator="equal">
      <formula>0</formula>
    </cfRule>
    <cfRule type="cellIs" dxfId="96" priority="146" stopIfTrue="1" operator="greaterThan">
      <formula>0</formula>
    </cfRule>
  </conditionalFormatting>
  <conditionalFormatting sqref="C15">
    <cfRule type="cellIs" dxfId="95" priority="131" stopIfTrue="1" operator="equal">
      <formula>0</formula>
    </cfRule>
    <cfRule type="cellIs" dxfId="94" priority="132" stopIfTrue="1" operator="greaterThan">
      <formula>0</formula>
    </cfRule>
  </conditionalFormatting>
  <conditionalFormatting sqref="U20:V28">
    <cfRule type="cellIs" dxfId="93" priority="127" stopIfTrue="1" operator="equal">
      <formula>0</formula>
    </cfRule>
    <cfRule type="cellIs" dxfId="92" priority="128" stopIfTrue="1" operator="greaterThan">
      <formula>0</formula>
    </cfRule>
  </conditionalFormatting>
  <conditionalFormatting sqref="C26 C29">
    <cfRule type="cellIs" dxfId="91" priority="123" stopIfTrue="1" operator="equal">
      <formula>0</formula>
    </cfRule>
    <cfRule type="cellIs" dxfId="90" priority="124" stopIfTrue="1" operator="greaterThan">
      <formula>0</formula>
    </cfRule>
  </conditionalFormatting>
  <conditionalFormatting sqref="C17">
    <cfRule type="cellIs" dxfId="89" priority="117" stopIfTrue="1" operator="equal">
      <formula>0</formula>
    </cfRule>
    <cfRule type="cellIs" dxfId="88" priority="118" stopIfTrue="1" operator="greaterThan">
      <formula>0</formula>
    </cfRule>
  </conditionalFormatting>
  <conditionalFormatting sqref="C8">
    <cfRule type="cellIs" dxfId="87" priority="107" stopIfTrue="1" operator="equal">
      <formula>0</formula>
    </cfRule>
    <cfRule type="cellIs" dxfId="86" priority="108" stopIfTrue="1" operator="greaterThan">
      <formula>0</formula>
    </cfRule>
  </conditionalFormatting>
  <conditionalFormatting sqref="C10">
    <cfRule type="cellIs" dxfId="85" priority="105" stopIfTrue="1" operator="equal">
      <formula>0</formula>
    </cfRule>
    <cfRule type="cellIs" dxfId="84" priority="106" stopIfTrue="1" operator="greaterThan">
      <formula>0</formula>
    </cfRule>
  </conditionalFormatting>
  <conditionalFormatting sqref="C9">
    <cfRule type="cellIs" dxfId="83" priority="103" stopIfTrue="1" operator="equal">
      <formula>0</formula>
    </cfRule>
    <cfRule type="cellIs" dxfId="82" priority="104" stopIfTrue="1" operator="greaterThan">
      <formula>0</formula>
    </cfRule>
  </conditionalFormatting>
  <conditionalFormatting sqref="C7 D6:E6 E6:E32 D7:D32">
    <cfRule type="cellIs" dxfId="81" priority="101" stopIfTrue="1" operator="equal">
      <formula>0</formula>
    </cfRule>
    <cfRule type="cellIs" dxfId="80" priority="102" stopIfTrue="1" operator="greaterThan">
      <formula>0</formula>
    </cfRule>
  </conditionalFormatting>
  <conditionalFormatting sqref="C12">
    <cfRule type="cellIs" dxfId="79" priority="99" stopIfTrue="1" operator="equal">
      <formula>0</formula>
    </cfRule>
    <cfRule type="cellIs" dxfId="78" priority="100" stopIfTrue="1" operator="greaterThan">
      <formula>0</formula>
    </cfRule>
  </conditionalFormatting>
  <conditionalFormatting sqref="U10:V10">
    <cfRule type="cellIs" dxfId="77" priority="95" stopIfTrue="1" operator="equal">
      <formula>0</formula>
    </cfRule>
    <cfRule type="cellIs" dxfId="76" priority="96" stopIfTrue="1" operator="greaterThan">
      <formula>0</formula>
    </cfRule>
  </conditionalFormatting>
  <conditionalFormatting sqref="C13">
    <cfRule type="cellIs" dxfId="75" priority="93" stopIfTrue="1" operator="equal">
      <formula>0</formula>
    </cfRule>
    <cfRule type="cellIs" dxfId="74" priority="94" stopIfTrue="1" operator="greaterThan">
      <formula>0</formula>
    </cfRule>
  </conditionalFormatting>
  <conditionalFormatting sqref="C14">
    <cfRule type="cellIs" dxfId="73" priority="89" stopIfTrue="1" operator="equal">
      <formula>0</formula>
    </cfRule>
    <cfRule type="cellIs" dxfId="72" priority="90" stopIfTrue="1" operator="greaterThan">
      <formula>0</formula>
    </cfRule>
  </conditionalFormatting>
  <conditionalFormatting sqref="C16">
    <cfRule type="cellIs" dxfId="71" priority="87" stopIfTrue="1" operator="equal">
      <formula>0</formula>
    </cfRule>
    <cfRule type="cellIs" dxfId="70" priority="88" stopIfTrue="1" operator="greaterThan">
      <formula>0</formula>
    </cfRule>
  </conditionalFormatting>
  <conditionalFormatting sqref="C18">
    <cfRule type="cellIs" dxfId="69" priority="85" stopIfTrue="1" operator="equal">
      <formula>0</formula>
    </cfRule>
    <cfRule type="cellIs" dxfId="68" priority="86" stopIfTrue="1" operator="greaterThan">
      <formula>0</formula>
    </cfRule>
  </conditionalFormatting>
  <conditionalFormatting sqref="C19">
    <cfRule type="cellIs" dxfId="67" priority="83" stopIfTrue="1" operator="equal">
      <formula>0</formula>
    </cfRule>
    <cfRule type="cellIs" dxfId="66" priority="84" stopIfTrue="1" operator="greaterThan">
      <formula>0</formula>
    </cfRule>
  </conditionalFormatting>
  <conditionalFormatting sqref="C20">
    <cfRule type="cellIs" dxfId="65" priority="81" stopIfTrue="1" operator="equal">
      <formula>0</formula>
    </cfRule>
    <cfRule type="cellIs" dxfId="64" priority="82" stopIfTrue="1" operator="greaterThan">
      <formula>0</formula>
    </cfRule>
  </conditionalFormatting>
  <conditionalFormatting sqref="C21">
    <cfRule type="cellIs" dxfId="63" priority="79" stopIfTrue="1" operator="equal">
      <formula>0</formula>
    </cfRule>
    <cfRule type="cellIs" dxfId="62" priority="80" stopIfTrue="1" operator="greaterThan">
      <formula>0</formula>
    </cfRule>
  </conditionalFormatting>
  <conditionalFormatting sqref="C24:C25">
    <cfRule type="cellIs" dxfId="61" priority="75" stopIfTrue="1" operator="equal">
      <formula>0</formula>
    </cfRule>
    <cfRule type="cellIs" dxfId="60" priority="76" stopIfTrue="1" operator="greaterThan">
      <formula>0</formula>
    </cfRule>
  </conditionalFormatting>
  <conditionalFormatting sqref="C28">
    <cfRule type="cellIs" dxfId="59" priority="73" stopIfTrue="1" operator="equal">
      <formula>0</formula>
    </cfRule>
    <cfRule type="cellIs" dxfId="58" priority="74" stopIfTrue="1" operator="greaterThan">
      <formula>0</formula>
    </cfRule>
  </conditionalFormatting>
  <conditionalFormatting sqref="C27">
    <cfRule type="cellIs" dxfId="57" priority="71" stopIfTrue="1" operator="equal">
      <formula>0</formula>
    </cfRule>
    <cfRule type="cellIs" dxfId="56" priority="72" stopIfTrue="1" operator="greaterThan">
      <formula>0</formula>
    </cfRule>
  </conditionalFormatting>
  <conditionalFormatting sqref="I8">
    <cfRule type="cellIs" dxfId="55" priority="67" stopIfTrue="1" operator="equal">
      <formula>0</formula>
    </cfRule>
    <cfRule type="cellIs" dxfId="54" priority="68" stopIfTrue="1" operator="greaterThan">
      <formula>0</formula>
    </cfRule>
  </conditionalFormatting>
  <conditionalFormatting sqref="I10">
    <cfRule type="cellIs" dxfId="53" priority="65" stopIfTrue="1" operator="equal">
      <formula>0</formula>
    </cfRule>
    <cfRule type="cellIs" dxfId="52" priority="66" stopIfTrue="1" operator="greaterThan">
      <formula>0</formula>
    </cfRule>
  </conditionalFormatting>
  <conditionalFormatting sqref="I11">
    <cfRule type="cellIs" dxfId="51" priority="61" stopIfTrue="1" operator="equal">
      <formula>0</formula>
    </cfRule>
    <cfRule type="cellIs" dxfId="50" priority="62" stopIfTrue="1" operator="greaterThan">
      <formula>0</formula>
    </cfRule>
  </conditionalFormatting>
  <conditionalFormatting sqref="I12">
    <cfRule type="cellIs" dxfId="49" priority="57" stopIfTrue="1" operator="equal">
      <formula>0</formula>
    </cfRule>
    <cfRule type="cellIs" dxfId="48" priority="58" stopIfTrue="1" operator="greaterThan">
      <formula>0</formula>
    </cfRule>
  </conditionalFormatting>
  <conditionalFormatting sqref="C30:C31">
    <cfRule type="cellIs" dxfId="47" priority="55" stopIfTrue="1" operator="equal">
      <formula>0</formula>
    </cfRule>
    <cfRule type="cellIs" dxfId="46" priority="56" stopIfTrue="1" operator="greaterThan">
      <formula>0</formula>
    </cfRule>
  </conditionalFormatting>
  <conditionalFormatting sqref="I19">
    <cfRule type="cellIs" dxfId="45" priority="53" stopIfTrue="1" operator="equal">
      <formula>0</formula>
    </cfRule>
    <cfRule type="cellIs" dxfId="44" priority="54" stopIfTrue="1" operator="greaterThan">
      <formula>0</formula>
    </cfRule>
  </conditionalFormatting>
  <conditionalFormatting sqref="I15">
    <cfRule type="cellIs" dxfId="43" priority="47" stopIfTrue="1" operator="equal">
      <formula>0</formula>
    </cfRule>
    <cfRule type="cellIs" dxfId="42" priority="48" stopIfTrue="1" operator="greaterThan">
      <formula>0</formula>
    </cfRule>
  </conditionalFormatting>
  <conditionalFormatting sqref="I16">
    <cfRule type="cellIs" dxfId="41" priority="45" stopIfTrue="1" operator="equal">
      <formula>0</formula>
    </cfRule>
    <cfRule type="cellIs" dxfId="40" priority="46" stopIfTrue="1" operator="greaterThan">
      <formula>0</formula>
    </cfRule>
  </conditionalFormatting>
  <conditionalFormatting sqref="I17">
    <cfRule type="cellIs" dxfId="39" priority="43" stopIfTrue="1" operator="equal">
      <formula>0</formula>
    </cfRule>
    <cfRule type="cellIs" dxfId="38" priority="44" stopIfTrue="1" operator="greaterThan">
      <formula>0</formula>
    </cfRule>
  </conditionalFormatting>
  <conditionalFormatting sqref="I18">
    <cfRule type="cellIs" dxfId="37" priority="39" stopIfTrue="1" operator="equal">
      <formula>0</formula>
    </cfRule>
    <cfRule type="cellIs" dxfId="36" priority="40" stopIfTrue="1" operator="greaterThan">
      <formula>0</formula>
    </cfRule>
  </conditionalFormatting>
  <conditionalFormatting sqref="I20:I21">
    <cfRule type="cellIs" dxfId="35" priority="37" stopIfTrue="1" operator="equal">
      <formula>0</formula>
    </cfRule>
    <cfRule type="cellIs" dxfId="34" priority="38" stopIfTrue="1" operator="greaterThan">
      <formula>0</formula>
    </cfRule>
  </conditionalFormatting>
  <conditionalFormatting sqref="V15">
    <cfRule type="cellIs" dxfId="33" priority="35" stopIfTrue="1" operator="equal">
      <formula>0</formula>
    </cfRule>
    <cfRule type="cellIs" dxfId="32" priority="36" stopIfTrue="1" operator="greaterThan">
      <formula>0</formula>
    </cfRule>
  </conditionalFormatting>
  <conditionalFormatting sqref="C32">
    <cfRule type="cellIs" dxfId="31" priority="33" stopIfTrue="1" operator="equal">
      <formula>0</formula>
    </cfRule>
    <cfRule type="cellIs" dxfId="30" priority="34" stopIfTrue="1" operator="greaterThan">
      <formula>0</formula>
    </cfRule>
  </conditionalFormatting>
  <conditionalFormatting sqref="I32:K32">
    <cfRule type="cellIs" dxfId="29" priority="31" stopIfTrue="1" operator="equal">
      <formula>0</formula>
    </cfRule>
    <cfRule type="cellIs" dxfId="28" priority="32" stopIfTrue="1" operator="greaterThan">
      <formula>0</formula>
    </cfRule>
  </conditionalFormatting>
  <conditionalFormatting sqref="I31:K31">
    <cfRule type="cellIs" dxfId="27" priority="29" stopIfTrue="1" operator="equal">
      <formula>0</formula>
    </cfRule>
    <cfRule type="cellIs" dxfId="26" priority="30" stopIfTrue="1" operator="greaterThan">
      <formula>0</formula>
    </cfRule>
  </conditionalFormatting>
  <conditionalFormatting sqref="I29:J30">
    <cfRule type="cellIs" dxfId="25" priority="27" stopIfTrue="1" operator="equal">
      <formula>0</formula>
    </cfRule>
    <cfRule type="cellIs" dxfId="24" priority="28" stopIfTrue="1" operator="greaterThan">
      <formula>0</formula>
    </cfRule>
  </conditionalFormatting>
  <conditionalFormatting sqref="I28:J28">
    <cfRule type="cellIs" dxfId="23" priority="25" stopIfTrue="1" operator="equal">
      <formula>0</formula>
    </cfRule>
    <cfRule type="cellIs" dxfId="22" priority="26" stopIfTrue="1" operator="greaterThan">
      <formula>0</formula>
    </cfRule>
  </conditionalFormatting>
  <conditionalFormatting sqref="I23:I24">
    <cfRule type="cellIs" dxfId="21" priority="21" stopIfTrue="1" operator="equal">
      <formula>0</formula>
    </cfRule>
    <cfRule type="cellIs" dxfId="20" priority="22" stopIfTrue="1" operator="greaterThan">
      <formula>0</formula>
    </cfRule>
  </conditionalFormatting>
  <conditionalFormatting sqref="I26">
    <cfRule type="cellIs" dxfId="19" priority="19" stopIfTrue="1" operator="equal">
      <formula>0</formula>
    </cfRule>
    <cfRule type="cellIs" dxfId="18" priority="20" stopIfTrue="1" operator="greaterThan">
      <formula>0</formula>
    </cfRule>
  </conditionalFormatting>
  <conditionalFormatting sqref="I27:J27">
    <cfRule type="cellIs" dxfId="17" priority="17" stopIfTrue="1" operator="equal">
      <formula>0</formula>
    </cfRule>
    <cfRule type="cellIs" dxfId="16" priority="18" stopIfTrue="1" operator="greaterThan">
      <formula>0</formula>
    </cfRule>
  </conditionalFormatting>
  <conditionalFormatting sqref="F26 F29">
    <cfRule type="cellIs" dxfId="15" priority="15" stopIfTrue="1" operator="equal">
      <formula>0</formula>
    </cfRule>
    <cfRule type="cellIs" dxfId="14" priority="16" stopIfTrue="1" operator="greaterThan">
      <formula>0</formula>
    </cfRule>
  </conditionalFormatting>
  <conditionalFormatting sqref="F6:F25">
    <cfRule type="cellIs" dxfId="13" priority="13" stopIfTrue="1" operator="equal">
      <formula>0</formula>
    </cfRule>
    <cfRule type="cellIs" dxfId="12" priority="14" stopIfTrue="1" operator="greaterThan">
      <formula>0</formula>
    </cfRule>
  </conditionalFormatting>
  <conditionalFormatting sqref="F27:F28">
    <cfRule type="cellIs" dxfId="11" priority="11" stopIfTrue="1" operator="equal">
      <formula>0</formula>
    </cfRule>
    <cfRule type="cellIs" dxfId="10" priority="12" stopIfTrue="1" operator="greaterThan">
      <formula>0</formula>
    </cfRule>
  </conditionalFormatting>
  <conditionalFormatting sqref="F30:F31">
    <cfRule type="cellIs" dxfId="9" priority="9" stopIfTrue="1" operator="equal">
      <formula>0</formula>
    </cfRule>
    <cfRule type="cellIs" dxfId="8" priority="10" stopIfTrue="1" operator="greaterThan">
      <formula>0</formula>
    </cfRule>
  </conditionalFormatting>
  <conditionalFormatting sqref="F32">
    <cfRule type="cellIs" dxfId="7" priority="7" stopIfTrue="1" operator="equal">
      <formula>0</formula>
    </cfRule>
    <cfRule type="cellIs" dxfId="6" priority="8" stopIfTrue="1" operator="greaterThan">
      <formula>0</formula>
    </cfRule>
  </conditionalFormatting>
  <conditionalFormatting sqref="C45">
    <cfRule type="cellIs" dxfId="5" priority="5" stopIfTrue="1" operator="equal">
      <formula>0</formula>
    </cfRule>
    <cfRule type="cellIs" dxfId="4" priority="6" stopIfTrue="1" operator="greaterThan">
      <formula>0</formula>
    </cfRule>
  </conditionalFormatting>
  <conditionalFormatting sqref="C22">
    <cfRule type="cellIs" dxfId="3" priority="3" stopIfTrue="1" operator="equal">
      <formula>0</formula>
    </cfRule>
    <cfRule type="cellIs" dxfId="2" priority="4" stopIfTrue="1" operator="greaterThan">
      <formula>0</formula>
    </cfRule>
  </conditionalFormatting>
  <conditionalFormatting sqref="J6:J26">
    <cfRule type="cellIs" dxfId="1" priority="1" stopIfTrue="1" operator="equal">
      <formula>0</formula>
    </cfRule>
    <cfRule type="cellIs" dxfId="0" priority="2" stopIfTrue="1" operator="greaterThan">
      <formula>0</formula>
    </cfRule>
  </conditionalFormatting>
  <printOptions horizontalCentered="1" verticalCentered="1" headings="1"/>
  <pageMargins left="0.23" right="0.25" top="0.17" bottom="0" header="0.25" footer="0.16"/>
  <pageSetup scale="76" orientation="portrait" blackAndWhite="1" r:id="rId1"/>
  <headerFooter alignWithMargins="0">
    <oddFooter>&amp;L&amp;Z&amp;F</oddFooter>
  </headerFooter>
  <ignoredErrors>
    <ignoredError sqref="D35 C54" unlockedFormula="1"/>
    <ignoredError sqref="C43:E43 E48 E51 C47:D47 C46:E46 C45 E45 C44 E44" evalError="1"/>
  </ignoredErrors>
  <drawing r:id="rId2"/>
  <legacyDrawing r:id="rId3"/>
  <controls>
    <mc:AlternateContent xmlns:mc="http://schemas.openxmlformats.org/markup-compatibility/2006">
      <mc:Choice Requires="x14">
        <control shapeId="6147" r:id="rId4" name="cmdOpenAdmin">
          <controlPr defaultSize="0" print="0" autoLine="0" r:id="rId5">
            <anchor moveWithCells="1">
              <from>
                <xdr:col>2</xdr:col>
                <xdr:colOff>0</xdr:colOff>
                <xdr:row>64</xdr:row>
                <xdr:rowOff>0</xdr:rowOff>
              </from>
              <to>
                <xdr:col>4</xdr:col>
                <xdr:colOff>670560</xdr:colOff>
                <xdr:row>66</xdr:row>
                <xdr:rowOff>30480</xdr:rowOff>
              </to>
            </anchor>
          </controlPr>
        </control>
      </mc:Choice>
      <mc:Fallback>
        <control shapeId="6147" r:id="rId4" name="cmdOpenAdmin"/>
      </mc:Fallback>
    </mc:AlternateContent>
    <mc:AlternateContent xmlns:mc="http://schemas.openxmlformats.org/markup-compatibility/2006">
      <mc:Choice Requires="x14">
        <control shapeId="6333" r:id="rId6" name="Check Box 189">
          <controlPr locked="0" defaultSize="0" autoFill="0" autoLine="0" autoPict="0">
            <anchor moveWithCells="1">
              <from>
                <xdr:col>8</xdr:col>
                <xdr:colOff>68580</xdr:colOff>
                <xdr:row>42</xdr:row>
                <xdr:rowOff>137160</xdr:rowOff>
              </from>
              <to>
                <xdr:col>9</xdr:col>
                <xdr:colOff>289560</xdr:colOff>
                <xdr:row>44</xdr:row>
                <xdr:rowOff>30480</xdr:rowOff>
              </to>
            </anchor>
          </controlPr>
        </control>
      </mc:Choice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B658"/>
  <sheetViews>
    <sheetView showZeros="0" tabSelected="1" zoomScale="80" zoomScaleNormal="80" workbookViewId="0">
      <pane ySplit="2" topLeftCell="A3" activePane="bottomLeft" state="frozen"/>
      <selection activeCell="B1" sqref="B1"/>
      <selection pane="bottomLeft" activeCell="A20" sqref="A20"/>
    </sheetView>
  </sheetViews>
  <sheetFormatPr defaultColWidth="9.109375" defaultRowHeight="14.4"/>
  <cols>
    <col min="1" max="1" width="18.33203125" style="478" bestFit="1" customWidth="1"/>
    <col min="2" max="2" width="15.109375" style="478" bestFit="1" customWidth="1"/>
    <col min="3" max="3" width="6.33203125" style="478" bestFit="1" customWidth="1"/>
    <col min="4" max="4" width="10.6640625" style="490" bestFit="1" customWidth="1"/>
    <col min="5" max="5" width="6.6640625" style="763" customWidth="1"/>
    <col min="6" max="6" width="6.33203125" style="493" bestFit="1" customWidth="1"/>
    <col min="7" max="7" width="10.33203125" style="478" bestFit="1" customWidth="1"/>
    <col min="8" max="8" width="9.33203125" style="493" bestFit="1" customWidth="1"/>
    <col min="9" max="9" width="10.109375" style="754" customWidth="1"/>
    <col min="10" max="10" width="5.33203125" style="493" customWidth="1"/>
    <col min="11" max="11" width="9" style="478" bestFit="1" customWidth="1"/>
    <col min="12" max="12" width="10.109375" style="771" bestFit="1" customWidth="1"/>
    <col min="13" max="13" width="14.109375" style="490" bestFit="1" customWidth="1"/>
    <col min="14" max="14" width="9.33203125" style="478" bestFit="1" customWidth="1"/>
    <col min="15" max="15" width="8.33203125" style="491" bestFit="1" customWidth="1"/>
    <col min="16" max="16" width="4.6640625" style="478" bestFit="1" customWidth="1"/>
    <col min="17" max="17" width="11.33203125" style="478" customWidth="1"/>
    <col min="18" max="18" width="6" style="491" bestFit="1" customWidth="1"/>
    <col min="19" max="19" width="6" style="478" bestFit="1" customWidth="1"/>
    <col min="20" max="20" width="5" style="494" bestFit="1" customWidth="1"/>
    <col min="21" max="21" width="11.6640625" style="478" bestFit="1" customWidth="1"/>
    <col min="22" max="22" width="7.44140625" style="478" customWidth="1"/>
    <col min="23" max="23" width="7.33203125" style="478" bestFit="1" customWidth="1"/>
    <col min="24" max="24" width="6.33203125" style="478" bestFit="1" customWidth="1"/>
    <col min="25" max="25" width="7.44140625" style="478" customWidth="1"/>
    <col min="26" max="26" width="12.5546875" style="478" customWidth="1"/>
    <col min="27" max="28" width="12.5546875" style="478" hidden="1" customWidth="1"/>
    <col min="29" max="29" width="12.5546875" style="478" customWidth="1"/>
    <col min="30" max="16384" width="9.109375" style="478"/>
  </cols>
  <sheetData>
    <row r="1" spans="1:28" s="479" customFormat="1" ht="66.75" customHeight="1">
      <c r="D1" s="827" t="s">
        <v>463</v>
      </c>
      <c r="E1" s="828"/>
      <c r="F1" s="577"/>
      <c r="G1" s="831" t="s">
        <v>464</v>
      </c>
      <c r="H1" s="830"/>
      <c r="I1" s="743" t="s">
        <v>607</v>
      </c>
      <c r="J1" s="576" t="s">
        <v>606</v>
      </c>
      <c r="K1" s="829" t="s">
        <v>515</v>
      </c>
      <c r="L1" s="830"/>
      <c r="M1" s="832" t="s">
        <v>498</v>
      </c>
      <c r="N1" s="833"/>
      <c r="O1" s="833"/>
      <c r="P1" s="827" t="s">
        <v>466</v>
      </c>
      <c r="Q1" s="833"/>
      <c r="R1" s="833"/>
      <c r="S1" s="504" t="s">
        <v>517</v>
      </c>
      <c r="T1" s="496" t="s">
        <v>511</v>
      </c>
      <c r="U1" s="826" t="s">
        <v>188</v>
      </c>
      <c r="V1" s="826"/>
      <c r="W1" s="826"/>
      <c r="X1" s="826"/>
      <c r="Y1" s="561"/>
    </row>
    <row r="2" spans="1:28" ht="30" customHeight="1" thickBot="1">
      <c r="A2" s="523" t="s">
        <v>457</v>
      </c>
      <c r="B2" s="524" t="s">
        <v>473</v>
      </c>
      <c r="C2" s="523" t="s">
        <v>456</v>
      </c>
      <c r="D2" s="525" t="s">
        <v>32</v>
      </c>
      <c r="E2" s="755" t="s">
        <v>391</v>
      </c>
      <c r="F2" s="578" t="s">
        <v>605</v>
      </c>
      <c r="G2" s="527" t="s">
        <v>510</v>
      </c>
      <c r="H2" s="527" t="s">
        <v>391</v>
      </c>
      <c r="I2" s="744" t="s">
        <v>391</v>
      </c>
      <c r="J2" s="621" t="s">
        <v>605</v>
      </c>
      <c r="K2" s="527" t="s">
        <v>510</v>
      </c>
      <c r="L2" s="764" t="s">
        <v>391</v>
      </c>
      <c r="M2" s="529" t="s">
        <v>499</v>
      </c>
      <c r="N2" s="527" t="s">
        <v>32</v>
      </c>
      <c r="O2" s="526" t="s">
        <v>455</v>
      </c>
      <c r="P2" s="530" t="s">
        <v>34</v>
      </c>
      <c r="Q2" s="530" t="s">
        <v>465</v>
      </c>
      <c r="R2" s="531" t="s">
        <v>516</v>
      </c>
      <c r="S2" s="527" t="s">
        <v>391</v>
      </c>
      <c r="T2" s="528" t="s">
        <v>391</v>
      </c>
      <c r="U2" s="532" t="s">
        <v>454</v>
      </c>
      <c r="V2" s="532" t="s">
        <v>453</v>
      </c>
      <c r="W2" s="532" t="s">
        <v>452</v>
      </c>
      <c r="X2" s="532" t="s">
        <v>451</v>
      </c>
      <c r="Y2" s="575" t="s">
        <v>446</v>
      </c>
      <c r="Z2" s="533" t="s">
        <v>532</v>
      </c>
      <c r="AA2" s="483" t="s">
        <v>518</v>
      </c>
      <c r="AB2" s="483" t="s">
        <v>519</v>
      </c>
    </row>
    <row r="3" spans="1:28" s="522" customFormat="1" ht="14.25" customHeight="1" thickTop="1">
      <c r="A3" s="741" t="s">
        <v>702</v>
      </c>
      <c r="B3" s="651" t="s">
        <v>480</v>
      </c>
      <c r="C3" s="634">
        <v>1</v>
      </c>
      <c r="D3" s="635">
        <v>1000</v>
      </c>
      <c r="E3" s="756">
        <f>IF(B3="",0,VLOOKUP(B3,Assemblies!$B$3:$F$200,2,FALSE))</f>
        <v>12</v>
      </c>
      <c r="F3" s="668">
        <f>IF(B3="",0,VLOOKUP(B3,Assemblies!$B$3:$H$200,6,FALSE))</f>
        <v>0</v>
      </c>
      <c r="G3" s="636">
        <v>300</v>
      </c>
      <c r="H3" s="634">
        <v>4</v>
      </c>
      <c r="I3" s="745"/>
      <c r="J3" s="637"/>
      <c r="K3" s="636">
        <v>2500</v>
      </c>
      <c r="L3" s="765">
        <v>60</v>
      </c>
      <c r="M3" s="644" t="s">
        <v>568</v>
      </c>
      <c r="N3" s="647">
        <f>IF(M3="",0,VLOOKUP(M3,CntrlAssembly!$A$3:$B$200,2,FALSE))</f>
        <v>0</v>
      </c>
      <c r="O3" s="648">
        <f>IF(M3="",0,VLOOKUP(M3,CntrlAssembly!$A$3:$C$200,3,FALSE))</f>
        <v>4</v>
      </c>
      <c r="P3" s="640"/>
      <c r="Q3" s="641"/>
      <c r="R3" s="639"/>
      <c r="S3" s="495">
        <f>IF(B3="",0,VLOOKUP(B3,Assemblies!$B$3:$F$200,4,FALSE))+P3*IF(B3="",0.5,VLOOKUP(B3,Assemblies!$B$3:$F$200,5,FALSE))</f>
        <v>0</v>
      </c>
      <c r="T3" s="519">
        <f>IF(B3="",0,VLOOKUP(B3,Assemblies!$B$3:$F$200,3,FALSE))</f>
        <v>6</v>
      </c>
      <c r="U3" s="627">
        <f t="shared" ref="U3:U18" si="0">(D3+G3+K3+N3+P3*Q3)*C3</f>
        <v>3800</v>
      </c>
      <c r="V3" s="628">
        <f t="shared" ref="V3:V18" si="1">(E3+I3+P3*R3)*C3</f>
        <v>12</v>
      </c>
      <c r="W3" s="628">
        <f t="shared" ref="W3:W18" si="2">H3*C3</f>
        <v>4</v>
      </c>
      <c r="X3" s="628">
        <f t="shared" ref="X3:X18" si="3">(L3+O3+T3+S3)*C3</f>
        <v>70</v>
      </c>
      <c r="Y3" s="626">
        <f t="shared" ref="Y3:Y52" si="4">C3*(J3+F3)</f>
        <v>0</v>
      </c>
      <c r="Z3" s="681" t="s">
        <v>450</v>
      </c>
      <c r="AA3" s="521">
        <f t="shared" ref="AA3:AA18" si="5">C3*(D3+N3)*0.03</f>
        <v>30</v>
      </c>
      <c r="AB3" s="522">
        <f t="shared" ref="AB3:AB18" si="6">C3*(E3+I3)/16</f>
        <v>0.75</v>
      </c>
    </row>
    <row r="4" spans="1:28" s="522" customFormat="1" ht="14.25" customHeight="1">
      <c r="A4" s="652"/>
      <c r="B4" s="651"/>
      <c r="C4" s="634"/>
      <c r="D4" s="635"/>
      <c r="E4" s="756">
        <f>IF(B4="",0,VLOOKUP(B4,Assemblies!$B$3:$F$200,2,FALSE))</f>
        <v>0</v>
      </c>
      <c r="F4" s="668">
        <f>IF(B4="",0,VLOOKUP(B4,Assemblies!$B$3:$H$200,6,FALSE))</f>
        <v>0</v>
      </c>
      <c r="G4" s="636"/>
      <c r="H4" s="634"/>
      <c r="I4" s="745"/>
      <c r="J4" s="637"/>
      <c r="K4" s="636"/>
      <c r="L4" s="765"/>
      <c r="M4" s="638"/>
      <c r="N4" s="647">
        <f>IF(M4="",0,VLOOKUP(M4,CntrlAssembly!$A$3:$B$200,2,FALSE))</f>
        <v>0</v>
      </c>
      <c r="O4" s="648">
        <f>IF(M4="",0,VLOOKUP(M4,CntrlAssembly!$A$3:$C$200,3,FALSE))</f>
        <v>0</v>
      </c>
      <c r="P4" s="640"/>
      <c r="Q4" s="641"/>
      <c r="R4" s="639"/>
      <c r="S4" s="495">
        <f>IF(B4="",0,VLOOKUP(B4,Assemblies!$B$3:$F$200,4,FALSE))+P4*IF(B4="",0.5,VLOOKUP(B4,Assemblies!$B$3:$F$200,5,FALSE))</f>
        <v>0</v>
      </c>
      <c r="T4" s="519">
        <f>IF(B4="",0,VLOOKUP(B4,Assemblies!$B$3:$F$200,3,FALSE))</f>
        <v>0</v>
      </c>
      <c r="U4" s="627">
        <f t="shared" si="0"/>
        <v>0</v>
      </c>
      <c r="V4" s="628">
        <f t="shared" si="1"/>
        <v>0</v>
      </c>
      <c r="W4" s="628">
        <f t="shared" si="2"/>
        <v>0</v>
      </c>
      <c r="X4" s="628">
        <f t="shared" si="3"/>
        <v>0</v>
      </c>
      <c r="Y4" s="626">
        <f t="shared" si="4"/>
        <v>0</v>
      </c>
      <c r="Z4" s="681" t="s">
        <v>450</v>
      </c>
      <c r="AA4" s="521">
        <f t="shared" si="5"/>
        <v>0</v>
      </c>
      <c r="AB4" s="522">
        <f t="shared" si="6"/>
        <v>0</v>
      </c>
    </row>
    <row r="5" spans="1:28" s="522" customFormat="1" ht="14.25" customHeight="1">
      <c r="A5" s="741" t="s">
        <v>703</v>
      </c>
      <c r="B5" s="649" t="s">
        <v>483</v>
      </c>
      <c r="C5" s="634">
        <v>1</v>
      </c>
      <c r="D5" s="635">
        <v>200</v>
      </c>
      <c r="E5" s="756">
        <f>IF(B5="",0,VLOOKUP(B5,Assemblies!$B$3:$F$200,2,FALSE))</f>
        <v>4</v>
      </c>
      <c r="F5" s="668">
        <f>IF(B5="",0,VLOOKUP(B5,Assemblies!$B$3:$H$200,6,FALSE))</f>
        <v>0</v>
      </c>
      <c r="G5" s="636"/>
      <c r="H5" s="634"/>
      <c r="I5" s="745"/>
      <c r="J5" s="637"/>
      <c r="K5" s="636">
        <v>300</v>
      </c>
      <c r="L5" s="765">
        <v>24</v>
      </c>
      <c r="M5" s="642" t="s">
        <v>568</v>
      </c>
      <c r="N5" s="647">
        <f>IF(M5="",0,VLOOKUP(M5,CntrlAssembly!$A$3:$B$200,2,FALSE))</f>
        <v>0</v>
      </c>
      <c r="O5" s="648">
        <f>IF(M5="",0,VLOOKUP(M5,CntrlAssembly!$A$3:$C$200,3,FALSE))</f>
        <v>4</v>
      </c>
      <c r="P5" s="640"/>
      <c r="Q5" s="641"/>
      <c r="R5" s="639"/>
      <c r="S5" s="495">
        <f>IF(B5="",0,VLOOKUP(B5,Assemblies!$B$3:$F$200,4,FALSE))+P5*IF(B5="",0.5,VLOOKUP(B5,Assemblies!$B$3:$F$200,5,FALSE))</f>
        <v>0</v>
      </c>
      <c r="T5" s="519">
        <f>IF(B5="",0,VLOOKUP(B5,Assemblies!$B$3:$F$200,3,FALSE))</f>
        <v>0.5</v>
      </c>
      <c r="U5" s="627">
        <f t="shared" si="0"/>
        <v>500</v>
      </c>
      <c r="V5" s="628">
        <f t="shared" si="1"/>
        <v>4</v>
      </c>
      <c r="W5" s="628">
        <f t="shared" si="2"/>
        <v>0</v>
      </c>
      <c r="X5" s="628">
        <f t="shared" si="3"/>
        <v>28.5</v>
      </c>
      <c r="Y5" s="626">
        <f t="shared" si="4"/>
        <v>0</v>
      </c>
      <c r="Z5" s="681" t="s">
        <v>450</v>
      </c>
      <c r="AA5" s="521">
        <f t="shared" si="5"/>
        <v>6</v>
      </c>
      <c r="AB5" s="522">
        <f t="shared" si="6"/>
        <v>0.25</v>
      </c>
    </row>
    <row r="6" spans="1:28" s="522" customFormat="1" ht="14.25" customHeight="1">
      <c r="A6" s="651"/>
      <c r="B6" s="649"/>
      <c r="C6" s="634"/>
      <c r="D6" s="635"/>
      <c r="E6" s="756">
        <f>IF(B6="",0,VLOOKUP(B6,Assemblies!$B$3:$F$200,2,FALSE))</f>
        <v>0</v>
      </c>
      <c r="F6" s="668">
        <f>IF(B6="",0,VLOOKUP(B6,Assemblies!$B$3:$H$200,6,FALSE))</f>
        <v>0</v>
      </c>
      <c r="G6" s="636"/>
      <c r="H6" s="634"/>
      <c r="I6" s="745"/>
      <c r="J6" s="637"/>
      <c r="K6" s="636"/>
      <c r="L6" s="765"/>
      <c r="M6" s="644"/>
      <c r="N6" s="647">
        <f>IF(M6="",0,VLOOKUP(M6,CntrlAssembly!$A$3:$B$200,2,FALSE))</f>
        <v>0</v>
      </c>
      <c r="O6" s="648">
        <f>IF(M6="",0,VLOOKUP(M6,CntrlAssembly!$A$3:$C$200,3,FALSE))</f>
        <v>0</v>
      </c>
      <c r="P6" s="640"/>
      <c r="Q6" s="641"/>
      <c r="R6" s="639"/>
      <c r="S6" s="495">
        <f>IF(B6="",0,VLOOKUP(B6,Assemblies!$B$3:$F$200,4,FALSE))+P6*IF(B6="",0.5,VLOOKUP(B6,Assemblies!$B$3:$F$200,5,FALSE))</f>
        <v>0</v>
      </c>
      <c r="T6" s="519">
        <f>IF(B6="",0,VLOOKUP(B6,Assemblies!$B$3:$F$200,3,FALSE))</f>
        <v>0</v>
      </c>
      <c r="U6" s="627">
        <f t="shared" si="0"/>
        <v>0</v>
      </c>
      <c r="V6" s="628">
        <f t="shared" si="1"/>
        <v>0</v>
      </c>
      <c r="W6" s="628">
        <f t="shared" si="2"/>
        <v>0</v>
      </c>
      <c r="X6" s="628">
        <f t="shared" si="3"/>
        <v>0</v>
      </c>
      <c r="Y6" s="626">
        <f t="shared" si="4"/>
        <v>0</v>
      </c>
      <c r="Z6" s="681" t="s">
        <v>450</v>
      </c>
      <c r="AA6" s="521">
        <f t="shared" si="5"/>
        <v>0</v>
      </c>
      <c r="AB6" s="522">
        <f t="shared" si="6"/>
        <v>0</v>
      </c>
    </row>
    <row r="7" spans="1:28" s="522" customFormat="1" ht="14.25" customHeight="1">
      <c r="A7" s="741" t="s">
        <v>704</v>
      </c>
      <c r="B7" s="653" t="s">
        <v>481</v>
      </c>
      <c r="C7" s="634">
        <v>3</v>
      </c>
      <c r="D7" s="635"/>
      <c r="E7" s="756">
        <f>IF(B7="",0,VLOOKUP(B7,Assemblies!$B$3:$F$200,2,FALSE))</f>
        <v>3</v>
      </c>
      <c r="F7" s="668">
        <f>IF(B7="",0,VLOOKUP(B7,Assemblies!$B$3:$H$200,6,FALSE))</f>
        <v>0</v>
      </c>
      <c r="G7" s="636"/>
      <c r="H7" s="634"/>
      <c r="I7" s="745"/>
      <c r="J7" s="637"/>
      <c r="K7" s="636">
        <v>300</v>
      </c>
      <c r="L7" s="765">
        <v>14</v>
      </c>
      <c r="M7" s="645" t="s">
        <v>701</v>
      </c>
      <c r="N7" s="647">
        <f>IF(M7="",0,VLOOKUP(M7,CntrlAssembly!$A$3:$B$200,2,FALSE))</f>
        <v>0</v>
      </c>
      <c r="O7" s="648">
        <f>IF(M7="",0,VLOOKUP(M7,CntrlAssembly!$A$3:$C$200,3,FALSE))</f>
        <v>2</v>
      </c>
      <c r="P7" s="640"/>
      <c r="Q7" s="641"/>
      <c r="R7" s="639"/>
      <c r="S7" s="495">
        <f>IF(B7="",0,VLOOKUP(B7,Assemblies!$B$3:$F$200,4,FALSE))+P7*IF(B7="",0.5,VLOOKUP(B7,Assemblies!$B$3:$F$200,5,FALSE))</f>
        <v>0</v>
      </c>
      <c r="T7" s="519">
        <f>IF(B7="",0,VLOOKUP(B7,Assemblies!$B$3:$F$200,3,FALSE))</f>
        <v>1</v>
      </c>
      <c r="U7" s="627">
        <f t="shared" si="0"/>
        <v>900</v>
      </c>
      <c r="V7" s="628">
        <f t="shared" si="1"/>
        <v>9</v>
      </c>
      <c r="W7" s="628">
        <f t="shared" si="2"/>
        <v>0</v>
      </c>
      <c r="X7" s="628">
        <f t="shared" si="3"/>
        <v>51</v>
      </c>
      <c r="Y7" s="626">
        <f t="shared" si="4"/>
        <v>0</v>
      </c>
      <c r="Z7" s="681" t="s">
        <v>450</v>
      </c>
      <c r="AA7" s="521">
        <f t="shared" si="5"/>
        <v>0</v>
      </c>
      <c r="AB7" s="522">
        <f t="shared" si="6"/>
        <v>0.5625</v>
      </c>
    </row>
    <row r="8" spans="1:28" s="522" customFormat="1" ht="14.25" customHeight="1">
      <c r="A8" s="741"/>
      <c r="B8" s="653"/>
      <c r="C8" s="634"/>
      <c r="D8" s="635"/>
      <c r="E8" s="756"/>
      <c r="F8" s="668"/>
      <c r="G8" s="636"/>
      <c r="H8" s="634"/>
      <c r="I8" s="745"/>
      <c r="J8" s="637"/>
      <c r="K8" s="636"/>
      <c r="L8" s="765"/>
      <c r="M8" s="645"/>
      <c r="N8" s="647"/>
      <c r="O8" s="648"/>
      <c r="P8" s="640"/>
      <c r="Q8" s="641"/>
      <c r="R8" s="639"/>
      <c r="S8" s="495"/>
      <c r="T8" s="519"/>
      <c r="U8" s="627"/>
      <c r="V8" s="628"/>
      <c r="W8" s="628"/>
      <c r="X8" s="628"/>
      <c r="Y8" s="626"/>
      <c r="Z8" s="681"/>
      <c r="AA8" s="521"/>
    </row>
    <row r="9" spans="1:28" s="522" customFormat="1" ht="14.25" customHeight="1">
      <c r="A9" s="741" t="s">
        <v>705</v>
      </c>
      <c r="B9" s="741" t="s">
        <v>481</v>
      </c>
      <c r="C9" s="634">
        <v>1</v>
      </c>
      <c r="D9" s="635"/>
      <c r="E9" s="756">
        <f>IF(B9="",0,VLOOKUP(B9,Assemblies!$B$3:$F$200,2,FALSE))</f>
        <v>3</v>
      </c>
      <c r="F9" s="668">
        <f>IF(B9="",0,VLOOKUP(B9,Assemblies!$B$3:$H$200,6,FALSE))</f>
        <v>0</v>
      </c>
      <c r="G9" s="636"/>
      <c r="H9" s="634"/>
      <c r="I9" s="745"/>
      <c r="J9" s="637"/>
      <c r="K9" s="636">
        <v>50</v>
      </c>
      <c r="L9" s="765">
        <v>2</v>
      </c>
      <c r="M9" s="742" t="s">
        <v>701</v>
      </c>
      <c r="N9" s="647">
        <f>IF(M9="",0,VLOOKUP(M9,CntrlAssembly!$A$3:$B$200,2,FALSE))</f>
        <v>0</v>
      </c>
      <c r="O9" s="648">
        <f>IF(M9="",0,VLOOKUP(M9,CntrlAssembly!$A$3:$C$200,3,FALSE))</f>
        <v>2</v>
      </c>
      <c r="P9" s="640"/>
      <c r="Q9" s="641"/>
      <c r="R9" s="639"/>
      <c r="S9" s="495">
        <f>IF(B9="",0,VLOOKUP(B9,Assemblies!$B$3:$F$200,4,FALSE))+P9*IF(B9="",0.5,VLOOKUP(B9,Assemblies!$B$3:$F$200,5,FALSE))</f>
        <v>0</v>
      </c>
      <c r="T9" s="519">
        <f>IF(B9="",0,VLOOKUP(B9,Assemblies!$B$3:$F$200,3,FALSE))</f>
        <v>1</v>
      </c>
      <c r="U9" s="627">
        <f t="shared" si="0"/>
        <v>50</v>
      </c>
      <c r="V9" s="628">
        <f t="shared" si="1"/>
        <v>3</v>
      </c>
      <c r="W9" s="628">
        <f t="shared" si="2"/>
        <v>0</v>
      </c>
      <c r="X9" s="628">
        <f t="shared" si="3"/>
        <v>5</v>
      </c>
      <c r="Y9" s="626">
        <f t="shared" si="4"/>
        <v>0</v>
      </c>
      <c r="Z9" s="681" t="s">
        <v>450</v>
      </c>
      <c r="AA9" s="521">
        <f t="shared" si="5"/>
        <v>0</v>
      </c>
      <c r="AB9" s="522">
        <f t="shared" si="6"/>
        <v>0.1875</v>
      </c>
    </row>
    <row r="10" spans="1:28" s="522" customFormat="1" ht="14.25" customHeight="1">
      <c r="A10" s="649"/>
      <c r="B10" s="649"/>
      <c r="C10" s="634"/>
      <c r="D10" s="635"/>
      <c r="E10" s="756">
        <f>IF(B10="",0,VLOOKUP(B10,Assemblies!$B$3:$F$200,2,FALSE))</f>
        <v>0</v>
      </c>
      <c r="F10" s="668">
        <f>IF(B10="",0,VLOOKUP(B10,Assemblies!$B$3:$H$200,6,FALSE))</f>
        <v>0</v>
      </c>
      <c r="G10" s="636"/>
      <c r="H10" s="634"/>
      <c r="I10" s="745"/>
      <c r="J10" s="637"/>
      <c r="K10" s="636"/>
      <c r="L10" s="765"/>
      <c r="M10" s="644"/>
      <c r="N10" s="647">
        <f>IF(M10="",0,VLOOKUP(M10,CntrlAssembly!$A$3:$B$200,2,FALSE))</f>
        <v>0</v>
      </c>
      <c r="O10" s="648">
        <f>IF(M10="",0,VLOOKUP(M10,CntrlAssembly!$A$3:$C$200,3,FALSE))</f>
        <v>0</v>
      </c>
      <c r="P10" s="640"/>
      <c r="Q10" s="641"/>
      <c r="R10" s="639"/>
      <c r="S10" s="495">
        <f>IF(B10="",0,VLOOKUP(B10,Assemblies!$B$3:$F$200,4,FALSE))+P10*IF(B10="",0.5,VLOOKUP(B10,Assemblies!$B$3:$F$200,5,FALSE))</f>
        <v>0</v>
      </c>
      <c r="T10" s="519">
        <f>IF(B10="",0,VLOOKUP(B10,Assemblies!$B$3:$F$200,3,FALSE))</f>
        <v>0</v>
      </c>
      <c r="U10" s="627">
        <f t="shared" si="0"/>
        <v>0</v>
      </c>
      <c r="V10" s="628">
        <f t="shared" si="1"/>
        <v>0</v>
      </c>
      <c r="W10" s="628">
        <f t="shared" si="2"/>
        <v>0</v>
      </c>
      <c r="X10" s="628">
        <f t="shared" si="3"/>
        <v>0</v>
      </c>
      <c r="Y10" s="626">
        <f t="shared" si="4"/>
        <v>0</v>
      </c>
      <c r="Z10" s="681" t="s">
        <v>450</v>
      </c>
      <c r="AA10" s="521">
        <f t="shared" si="5"/>
        <v>0</v>
      </c>
      <c r="AB10" s="522">
        <f t="shared" si="6"/>
        <v>0</v>
      </c>
    </row>
    <row r="11" spans="1:28" s="522" customFormat="1" ht="14.25" customHeight="1">
      <c r="A11" s="741" t="s">
        <v>706</v>
      </c>
      <c r="B11" s="741" t="s">
        <v>459</v>
      </c>
      <c r="C11" s="634">
        <v>1</v>
      </c>
      <c r="D11" s="635">
        <v>300</v>
      </c>
      <c r="E11" s="756">
        <f>IF(B11="",0,VLOOKUP(B11,Assemblies!$B$3:$F$200,2,FALSE))</f>
        <v>4</v>
      </c>
      <c r="F11" s="668">
        <f>IF(B11="",0,VLOOKUP(B11,Assemblies!$B$3:$H$200,6,FALSE))</f>
        <v>0</v>
      </c>
      <c r="G11" s="636">
        <v>900</v>
      </c>
      <c r="H11" s="634">
        <v>4</v>
      </c>
      <c r="I11" s="745">
        <v>40</v>
      </c>
      <c r="J11" s="637"/>
      <c r="K11" s="636"/>
      <c r="L11" s="765"/>
      <c r="M11" s="742" t="s">
        <v>468</v>
      </c>
      <c r="N11" s="647">
        <f>IF(M11="",0,VLOOKUP(M11,CntrlAssembly!$A$3:$B$200,2,FALSE))</f>
        <v>185</v>
      </c>
      <c r="O11" s="648">
        <f>IF(M11="",0,VLOOKUP(M11,CntrlAssembly!$A$3:$C$200,3,FALSE))</f>
        <v>3</v>
      </c>
      <c r="P11" s="640">
        <v>6</v>
      </c>
      <c r="Q11" s="641">
        <v>75</v>
      </c>
      <c r="R11" s="639">
        <v>1</v>
      </c>
      <c r="S11" s="495">
        <f>IF(B11="",0,VLOOKUP(B11,Assemblies!$B$3:$F$200,4,FALSE))+P11*IF(B11="",0.5,VLOOKUP(B11,Assemblies!$B$3:$F$200,5,FALSE))</f>
        <v>4.5999999999999996</v>
      </c>
      <c r="T11" s="519">
        <f>IF(B11="",0,VLOOKUP(B11,Assemblies!$B$3:$F$200,3,FALSE))</f>
        <v>0.5</v>
      </c>
      <c r="U11" s="627">
        <f t="shared" si="0"/>
        <v>1835</v>
      </c>
      <c r="V11" s="628">
        <f t="shared" si="1"/>
        <v>50</v>
      </c>
      <c r="W11" s="628">
        <f t="shared" si="2"/>
        <v>4</v>
      </c>
      <c r="X11" s="628">
        <f t="shared" si="3"/>
        <v>8.1</v>
      </c>
      <c r="Y11" s="626">
        <f t="shared" si="4"/>
        <v>0</v>
      </c>
      <c r="Z11" s="681" t="s">
        <v>450</v>
      </c>
      <c r="AA11" s="521">
        <f t="shared" si="5"/>
        <v>14.549999999999999</v>
      </c>
      <c r="AB11" s="522">
        <f t="shared" si="6"/>
        <v>2.75</v>
      </c>
    </row>
    <row r="12" spans="1:28" s="522" customFormat="1" ht="14.25" customHeight="1">
      <c r="A12" s="741"/>
      <c r="B12" s="741" t="s">
        <v>707</v>
      </c>
      <c r="C12" s="634">
        <v>2</v>
      </c>
      <c r="D12" s="635">
        <v>120</v>
      </c>
      <c r="E12" s="756">
        <f>IF(B12="",0,VLOOKUP(B12,Assemblies!$B$3:$F$200,2,FALSE))</f>
        <v>1</v>
      </c>
      <c r="F12" s="668">
        <f>IF(B12="",0,VLOOKUP(B12,Assemblies!$B$3:$H$200,6,FALSE))</f>
        <v>0</v>
      </c>
      <c r="G12" s="636"/>
      <c r="H12" s="634"/>
      <c r="I12" s="745"/>
      <c r="J12" s="637"/>
      <c r="K12" s="636"/>
      <c r="L12" s="765"/>
      <c r="M12" s="742" t="s">
        <v>708</v>
      </c>
      <c r="N12" s="647">
        <f>IF(M12="",0,VLOOKUP(M12,CntrlAssembly!$A$3:$B$200,2,FALSE))</f>
        <v>125</v>
      </c>
      <c r="O12" s="648">
        <f>IF(M12="",0,VLOOKUP(M12,CntrlAssembly!$A$3:$C$200,3,FALSE))</f>
        <v>1</v>
      </c>
      <c r="P12" s="640"/>
      <c r="Q12" s="641"/>
      <c r="R12" s="639"/>
      <c r="S12" s="495">
        <f>IF(B12="",0,VLOOKUP(B12,Assemblies!$B$3:$F$200,4,FALSE))+P12*IF(B12="",0.5,VLOOKUP(B12,Assemblies!$B$3:$F$200,5,FALSE))</f>
        <v>0</v>
      </c>
      <c r="T12" s="519">
        <f>IF(B12="",0,VLOOKUP(B12,Assemblies!$B$3:$F$200,3,FALSE))</f>
        <v>0.5</v>
      </c>
      <c r="U12" s="627">
        <f t="shared" si="0"/>
        <v>490</v>
      </c>
      <c r="V12" s="628">
        <f t="shared" si="1"/>
        <v>2</v>
      </c>
      <c r="W12" s="628">
        <f t="shared" si="2"/>
        <v>0</v>
      </c>
      <c r="X12" s="628">
        <f t="shared" si="3"/>
        <v>3</v>
      </c>
      <c r="Y12" s="626">
        <f t="shared" si="4"/>
        <v>0</v>
      </c>
      <c r="Z12" s="681" t="s">
        <v>450</v>
      </c>
      <c r="AA12" s="521">
        <f t="shared" si="5"/>
        <v>14.7</v>
      </c>
      <c r="AB12" s="522">
        <f t="shared" si="6"/>
        <v>0.125</v>
      </c>
    </row>
    <row r="13" spans="1:28" s="522" customFormat="1" ht="14.25" customHeight="1">
      <c r="A13" s="741"/>
      <c r="B13" s="741" t="s">
        <v>709</v>
      </c>
      <c r="C13" s="634">
        <v>2</v>
      </c>
      <c r="D13" s="635">
        <v>200</v>
      </c>
      <c r="E13" s="756">
        <f>IF(B13="",0,VLOOKUP(B13,Assemblies!$B$3:$F$200,2,FALSE))</f>
        <v>2</v>
      </c>
      <c r="F13" s="668">
        <f>IF(B13="",0,VLOOKUP(B13,Assemblies!$B$3:$H$200,6,FALSE))</f>
        <v>0</v>
      </c>
      <c r="G13" s="636"/>
      <c r="H13" s="634"/>
      <c r="I13" s="745"/>
      <c r="J13" s="637"/>
      <c r="K13" s="636"/>
      <c r="L13" s="765"/>
      <c r="M13" s="643"/>
      <c r="N13" s="647">
        <f>IF(M13="",0,VLOOKUP(M13,CntrlAssembly!$A$3:$B$200,2,FALSE))</f>
        <v>0</v>
      </c>
      <c r="O13" s="648">
        <f>IF(M13="",0,VLOOKUP(M13,CntrlAssembly!$A$3:$C$200,3,FALSE))</f>
        <v>0</v>
      </c>
      <c r="P13" s="640"/>
      <c r="Q13" s="641"/>
      <c r="R13" s="639"/>
      <c r="S13" s="495">
        <f>IF(B13="",0,VLOOKUP(B13,Assemblies!$B$3:$F$200,4,FALSE))+P13*IF(B13="",0.5,VLOOKUP(B13,Assemblies!$B$3:$F$200,5,FALSE))</f>
        <v>0</v>
      </c>
      <c r="T13" s="519">
        <f>IF(B13="",0,VLOOKUP(B13,Assemblies!$B$3:$F$200,3,FALSE))</f>
        <v>0</v>
      </c>
      <c r="U13" s="627">
        <f t="shared" si="0"/>
        <v>400</v>
      </c>
      <c r="V13" s="628">
        <f t="shared" si="1"/>
        <v>4</v>
      </c>
      <c r="W13" s="628">
        <f t="shared" si="2"/>
        <v>0</v>
      </c>
      <c r="X13" s="628">
        <f t="shared" si="3"/>
        <v>0</v>
      </c>
      <c r="Y13" s="626">
        <f t="shared" si="4"/>
        <v>0</v>
      </c>
      <c r="Z13" s="681" t="s">
        <v>450</v>
      </c>
      <c r="AA13" s="521">
        <f t="shared" si="5"/>
        <v>12</v>
      </c>
      <c r="AB13" s="522">
        <f t="shared" si="6"/>
        <v>0.25</v>
      </c>
    </row>
    <row r="14" spans="1:28" s="522" customFormat="1" ht="14.25" customHeight="1">
      <c r="A14" s="652"/>
      <c r="B14" s="653"/>
      <c r="C14" s="634"/>
      <c r="D14" s="635"/>
      <c r="E14" s="756">
        <f>IF(B14="",0,VLOOKUP(B14,Assemblies!$B$3:$F$200,2,FALSE))</f>
        <v>0</v>
      </c>
      <c r="F14" s="668">
        <f>IF(B14="",0,VLOOKUP(B14,Assemblies!$B$3:$H$200,6,FALSE))</f>
        <v>0</v>
      </c>
      <c r="G14" s="636"/>
      <c r="H14" s="634"/>
      <c r="I14" s="745"/>
      <c r="J14" s="637"/>
      <c r="K14" s="636"/>
      <c r="L14" s="765"/>
      <c r="M14" s="638"/>
      <c r="N14" s="647">
        <f>IF(M14="",0,VLOOKUP(M14,CntrlAssembly!$A$3:$B$200,2,FALSE))</f>
        <v>0</v>
      </c>
      <c r="O14" s="648">
        <f>IF(M14="",0,VLOOKUP(M14,CntrlAssembly!$A$3:$C$200,3,FALSE))</f>
        <v>0</v>
      </c>
      <c r="P14" s="640"/>
      <c r="Q14" s="641"/>
      <c r="R14" s="639"/>
      <c r="S14" s="495">
        <f>IF(B14="",0,VLOOKUP(B14,Assemblies!$B$3:$F$200,4,FALSE))+P14*IF(B14="",0.5,VLOOKUP(B14,Assemblies!$B$3:$F$200,5,FALSE))</f>
        <v>0</v>
      </c>
      <c r="T14" s="519">
        <f>IF(B14="",0,VLOOKUP(B14,Assemblies!$B$3:$F$200,3,FALSE))</f>
        <v>0</v>
      </c>
      <c r="U14" s="627">
        <f t="shared" si="0"/>
        <v>0</v>
      </c>
      <c r="V14" s="628">
        <f t="shared" si="1"/>
        <v>0</v>
      </c>
      <c r="W14" s="628">
        <f t="shared" si="2"/>
        <v>0</v>
      </c>
      <c r="X14" s="628">
        <f t="shared" si="3"/>
        <v>0</v>
      </c>
      <c r="Y14" s="626">
        <f t="shared" si="4"/>
        <v>0</v>
      </c>
      <c r="Z14" s="681" t="s">
        <v>450</v>
      </c>
      <c r="AA14" s="521">
        <f t="shared" si="5"/>
        <v>0</v>
      </c>
      <c r="AB14" s="522">
        <f t="shared" si="6"/>
        <v>0</v>
      </c>
    </row>
    <row r="15" spans="1:28" s="522" customFormat="1" ht="14.25" customHeight="1">
      <c r="A15" s="741" t="s">
        <v>710</v>
      </c>
      <c r="B15" s="741" t="s">
        <v>711</v>
      </c>
      <c r="C15" s="634">
        <v>17</v>
      </c>
      <c r="D15" s="635">
        <v>100</v>
      </c>
      <c r="E15" s="756">
        <f>IF(B15="",0,VLOOKUP(B15,Assemblies!$B$3:$F$200,2,FALSE))</f>
        <v>3</v>
      </c>
      <c r="F15" s="668">
        <f>IF(B15="",0,VLOOKUP(B15,Assemblies!$B$3:$H$200,6,FALSE))</f>
        <v>0</v>
      </c>
      <c r="G15" s="636"/>
      <c r="H15" s="634"/>
      <c r="I15" s="745"/>
      <c r="J15" s="637"/>
      <c r="K15" s="636">
        <v>300</v>
      </c>
      <c r="L15" s="765">
        <v>14</v>
      </c>
      <c r="M15" s="742" t="s">
        <v>701</v>
      </c>
      <c r="N15" s="647">
        <f>IF(M15="",0,VLOOKUP(M15,CntrlAssembly!$A$3:$B$200,2,FALSE))</f>
        <v>0</v>
      </c>
      <c r="O15" s="648">
        <f>IF(M15="",0,VLOOKUP(M15,CntrlAssembly!$A$3:$C$200,3,FALSE))</f>
        <v>2</v>
      </c>
      <c r="P15" s="640"/>
      <c r="Q15" s="641"/>
      <c r="R15" s="639"/>
      <c r="S15" s="495">
        <f>IF(B15="",0,VLOOKUP(B15,Assemblies!$B$3:$F$200,4,FALSE))+P15*IF(B15="",0.5,VLOOKUP(B15,Assemblies!$B$3:$F$200,5,FALSE))</f>
        <v>0</v>
      </c>
      <c r="T15" s="519">
        <f>IF(B15="",0,VLOOKUP(B15,Assemblies!$B$3:$F$200,3,FALSE))</f>
        <v>1</v>
      </c>
      <c r="U15" s="627">
        <f t="shared" si="0"/>
        <v>6800</v>
      </c>
      <c r="V15" s="628">
        <f t="shared" si="1"/>
        <v>51</v>
      </c>
      <c r="W15" s="628">
        <f t="shared" si="2"/>
        <v>0</v>
      </c>
      <c r="X15" s="628">
        <f t="shared" si="3"/>
        <v>289</v>
      </c>
      <c r="Y15" s="626">
        <f t="shared" si="4"/>
        <v>0</v>
      </c>
      <c r="Z15" s="681" t="s">
        <v>450</v>
      </c>
      <c r="AA15" s="521">
        <f t="shared" si="5"/>
        <v>51</v>
      </c>
      <c r="AB15" s="522">
        <f t="shared" si="6"/>
        <v>3.1875</v>
      </c>
    </row>
    <row r="16" spans="1:28" s="522" customFormat="1" ht="14.25" customHeight="1">
      <c r="A16" s="649"/>
      <c r="B16" s="650"/>
      <c r="C16" s="634"/>
      <c r="D16" s="635"/>
      <c r="E16" s="756">
        <f>IF(B16="",0,VLOOKUP(B16,Assemblies!$B$3:$F$200,2,FALSE))</f>
        <v>0</v>
      </c>
      <c r="F16" s="668">
        <f>IF(B16="",0,VLOOKUP(B16,Assemblies!$B$3:$H$200,6,FALSE))</f>
        <v>0</v>
      </c>
      <c r="G16" s="636"/>
      <c r="H16" s="634"/>
      <c r="I16" s="745"/>
      <c r="J16" s="637"/>
      <c r="K16" s="636"/>
      <c r="L16" s="765"/>
      <c r="M16" s="642"/>
      <c r="N16" s="647">
        <f>IF(M16="",0,VLOOKUP(M16,CntrlAssembly!$A$3:$B$200,2,FALSE))</f>
        <v>0</v>
      </c>
      <c r="O16" s="648">
        <f>IF(M16="",0,VLOOKUP(M16,CntrlAssembly!$A$3:$C$200,3,FALSE))</f>
        <v>0</v>
      </c>
      <c r="P16" s="640"/>
      <c r="Q16" s="641"/>
      <c r="R16" s="639"/>
      <c r="S16" s="495">
        <f>IF(B16="",0,VLOOKUP(B16,Assemblies!$B$3:$F$200,4,FALSE))+P16*IF(B16="",0.5,VLOOKUP(B16,Assemblies!$B$3:$F$200,5,FALSE))</f>
        <v>0</v>
      </c>
      <c r="T16" s="519">
        <f>IF(B16="",0,VLOOKUP(B16,Assemblies!$B$3:$F$200,3,FALSE))</f>
        <v>0</v>
      </c>
      <c r="U16" s="627">
        <f t="shared" si="0"/>
        <v>0</v>
      </c>
      <c r="V16" s="628">
        <f t="shared" si="1"/>
        <v>0</v>
      </c>
      <c r="W16" s="628">
        <f t="shared" si="2"/>
        <v>0</v>
      </c>
      <c r="X16" s="628">
        <f t="shared" si="3"/>
        <v>0</v>
      </c>
      <c r="Y16" s="626">
        <f t="shared" si="4"/>
        <v>0</v>
      </c>
      <c r="Z16" s="681" t="s">
        <v>450</v>
      </c>
      <c r="AA16" s="521">
        <f t="shared" si="5"/>
        <v>0</v>
      </c>
      <c r="AB16" s="522">
        <f t="shared" si="6"/>
        <v>0</v>
      </c>
    </row>
    <row r="17" spans="1:28" s="522" customFormat="1" ht="14.25" customHeight="1">
      <c r="A17" s="653"/>
      <c r="B17" s="653"/>
      <c r="C17" s="634"/>
      <c r="D17" s="635"/>
      <c r="E17" s="756">
        <f>IF(B17="",0,VLOOKUP(B17,Assemblies!$B$3:$F$200,2,FALSE))</f>
        <v>0</v>
      </c>
      <c r="F17" s="668">
        <f>IF(B17="",0,VLOOKUP(B17,Assemblies!$B$3:$H$200,6,FALSE))</f>
        <v>0</v>
      </c>
      <c r="G17" s="636"/>
      <c r="H17" s="634"/>
      <c r="I17" s="745"/>
      <c r="J17" s="637"/>
      <c r="K17" s="636"/>
      <c r="L17" s="765"/>
      <c r="M17" s="638"/>
      <c r="N17" s="647">
        <f>IF(M17="",0,VLOOKUP(M17,CntrlAssembly!$A$3:$B$200,2,FALSE))</f>
        <v>0</v>
      </c>
      <c r="O17" s="648">
        <f>IF(M17="",0,VLOOKUP(M17,CntrlAssembly!$A$3:$C$200,3,FALSE))</f>
        <v>0</v>
      </c>
      <c r="P17" s="640"/>
      <c r="Q17" s="641"/>
      <c r="R17" s="639"/>
      <c r="S17" s="495">
        <f>IF(B17="",0,VLOOKUP(B17,Assemblies!$B$3:$F$200,4,FALSE))+P17*IF(B17="",0.5,VLOOKUP(B17,Assemblies!$B$3:$F$200,5,FALSE))</f>
        <v>0</v>
      </c>
      <c r="T17" s="519">
        <f>IF(B17="",0,VLOOKUP(B17,Assemblies!$B$3:$F$200,3,FALSE))</f>
        <v>0</v>
      </c>
      <c r="U17" s="627">
        <f t="shared" si="0"/>
        <v>0</v>
      </c>
      <c r="V17" s="628">
        <f t="shared" si="1"/>
        <v>0</v>
      </c>
      <c r="W17" s="628">
        <f t="shared" si="2"/>
        <v>0</v>
      </c>
      <c r="X17" s="628">
        <f t="shared" si="3"/>
        <v>0</v>
      </c>
      <c r="Y17" s="626">
        <f t="shared" si="4"/>
        <v>0</v>
      </c>
      <c r="Z17" s="681" t="s">
        <v>450</v>
      </c>
      <c r="AA17" s="521">
        <f t="shared" si="5"/>
        <v>0</v>
      </c>
      <c r="AB17" s="522">
        <f t="shared" si="6"/>
        <v>0</v>
      </c>
    </row>
    <row r="18" spans="1:28" s="522" customFormat="1" ht="14.25" customHeight="1">
      <c r="A18" s="741" t="s">
        <v>706</v>
      </c>
      <c r="B18" s="741" t="s">
        <v>459</v>
      </c>
      <c r="C18" s="634">
        <v>3</v>
      </c>
      <c r="D18" s="635">
        <v>300</v>
      </c>
      <c r="E18" s="756">
        <f>IF(B18="",0,VLOOKUP(B18,Assemblies!$B$3:$F$200,2,FALSE))</f>
        <v>4</v>
      </c>
      <c r="F18" s="668">
        <f>IF(B18="",0,VLOOKUP(B18,Assemblies!$B$3:$H$200,6,FALSE))</f>
        <v>0</v>
      </c>
      <c r="G18" s="636">
        <v>900</v>
      </c>
      <c r="H18" s="634">
        <v>4</v>
      </c>
      <c r="I18" s="745">
        <v>48</v>
      </c>
      <c r="J18" s="637"/>
      <c r="K18" s="636"/>
      <c r="L18" s="765"/>
      <c r="M18" s="742" t="s">
        <v>468</v>
      </c>
      <c r="N18" s="647">
        <f>IF(M18="",0,VLOOKUP(M18,CntrlAssembly!$A$3:$B$200,2,FALSE))</f>
        <v>185</v>
      </c>
      <c r="O18" s="648">
        <f>IF(M18="",0,VLOOKUP(M18,CntrlAssembly!$A$3:$C$200,3,FALSE))</f>
        <v>3</v>
      </c>
      <c r="P18" s="640">
        <v>6</v>
      </c>
      <c r="Q18" s="641">
        <v>75</v>
      </c>
      <c r="R18" s="639">
        <v>1</v>
      </c>
      <c r="S18" s="495">
        <f>IF(B18="",0,VLOOKUP(B18,Assemblies!$B$3:$F$200,4,FALSE))+P18*IF(B18="",0.5,VLOOKUP(B18,Assemblies!$B$3:$F$200,5,FALSE))</f>
        <v>4.5999999999999996</v>
      </c>
      <c r="T18" s="519">
        <f>IF(B18="",0,VLOOKUP(B18,Assemblies!$B$3:$F$200,3,FALSE))</f>
        <v>0.5</v>
      </c>
      <c r="U18" s="627">
        <f t="shared" si="0"/>
        <v>5505</v>
      </c>
      <c r="V18" s="628">
        <f t="shared" si="1"/>
        <v>174</v>
      </c>
      <c r="W18" s="628">
        <f t="shared" si="2"/>
        <v>12</v>
      </c>
      <c r="X18" s="628">
        <f t="shared" si="3"/>
        <v>24.299999999999997</v>
      </c>
      <c r="Y18" s="626">
        <f t="shared" si="4"/>
        <v>0</v>
      </c>
      <c r="Z18" s="681" t="s">
        <v>450</v>
      </c>
      <c r="AA18" s="521">
        <f t="shared" si="5"/>
        <v>43.65</v>
      </c>
      <c r="AB18" s="522">
        <f t="shared" si="6"/>
        <v>9.75</v>
      </c>
    </row>
    <row r="19" spans="1:28" s="522" customFormat="1" ht="14.25" customHeight="1">
      <c r="A19" s="741"/>
      <c r="B19" s="741" t="s">
        <v>707</v>
      </c>
      <c r="C19" s="634">
        <v>6</v>
      </c>
      <c r="D19" s="635">
        <v>120</v>
      </c>
      <c r="E19" s="756">
        <f>IF(B19="",0,VLOOKUP(B19,Assemblies!$B$3:$F$200,2,FALSE))</f>
        <v>1</v>
      </c>
      <c r="F19" s="668">
        <f>IF(B19="",0,VLOOKUP(B19,Assemblies!$B$3:$H$200,6,FALSE))</f>
        <v>0</v>
      </c>
      <c r="G19" s="636"/>
      <c r="H19" s="634"/>
      <c r="I19" s="745"/>
      <c r="J19" s="637"/>
      <c r="K19" s="636"/>
      <c r="L19" s="765"/>
      <c r="M19" s="742" t="s">
        <v>708</v>
      </c>
      <c r="N19" s="647">
        <f>IF(M19="",0,VLOOKUP(M19,CntrlAssembly!$A$3:$B$200,2,FALSE))</f>
        <v>125</v>
      </c>
      <c r="O19" s="648">
        <f>IF(M19="",0,VLOOKUP(M19,CntrlAssembly!$A$3:$C$200,3,FALSE))</f>
        <v>1</v>
      </c>
      <c r="P19" s="640"/>
      <c r="Q19" s="641"/>
      <c r="R19" s="639"/>
      <c r="S19" s="495">
        <f>IF(B19="",0,VLOOKUP(B19,Assemblies!$B$3:$F$200,4,FALSE))+P19*IF(B19="",0.5,VLOOKUP(B19,Assemblies!$B$3:$F$200,5,FALSE))</f>
        <v>0</v>
      </c>
      <c r="T19" s="519">
        <f>IF(B19="",0,VLOOKUP(B19,Assemblies!$B$3:$F$200,3,FALSE))</f>
        <v>0.5</v>
      </c>
      <c r="U19" s="627">
        <f t="shared" ref="U19:U50" si="7">(D19+G19+K19+N19+P19*Q19)*C19</f>
        <v>1470</v>
      </c>
      <c r="V19" s="628">
        <f t="shared" ref="V19:V50" si="8">(E19+I19+P19*R19)*C19</f>
        <v>6</v>
      </c>
      <c r="W19" s="628">
        <f t="shared" ref="W19:W50" si="9">H19*C19</f>
        <v>0</v>
      </c>
      <c r="X19" s="628">
        <f t="shared" ref="X19:X50" si="10">(L19+O19+T19+S19)*C19</f>
        <v>9</v>
      </c>
      <c r="Y19" s="626">
        <f t="shared" si="4"/>
        <v>0</v>
      </c>
      <c r="Z19" s="681" t="s">
        <v>450</v>
      </c>
      <c r="AA19" s="521">
        <f t="shared" ref="AA19:AA50" si="11">C19*(D19+N19)*0.03</f>
        <v>44.1</v>
      </c>
      <c r="AB19" s="522">
        <f t="shared" ref="AB19:AB50" si="12">C19*(E19+I19)/16</f>
        <v>0.375</v>
      </c>
    </row>
    <row r="20" spans="1:28" s="522" customFormat="1" ht="14.25" customHeight="1">
      <c r="A20" s="741"/>
      <c r="B20" s="741" t="s">
        <v>709</v>
      </c>
      <c r="C20" s="634">
        <v>6</v>
      </c>
      <c r="D20" s="635">
        <v>200</v>
      </c>
      <c r="E20" s="756">
        <f>IF(B20="",0,VLOOKUP(B20,Assemblies!$B$3:$F$200,2,FALSE))</f>
        <v>2</v>
      </c>
      <c r="F20" s="668">
        <f>IF(B20="",0,VLOOKUP(B20,Assemblies!$B$3:$H$200,6,FALSE))</f>
        <v>0</v>
      </c>
      <c r="G20" s="636"/>
      <c r="H20" s="634"/>
      <c r="I20" s="745"/>
      <c r="J20" s="637"/>
      <c r="K20" s="636"/>
      <c r="L20" s="765"/>
      <c r="M20" s="643"/>
      <c r="N20" s="647">
        <f>IF(M20="",0,VLOOKUP(M20,CntrlAssembly!$A$3:$B$200,2,FALSE))</f>
        <v>0</v>
      </c>
      <c r="O20" s="648">
        <f>IF(M20="",0,VLOOKUP(M20,CntrlAssembly!$A$3:$C$200,3,FALSE))</f>
        <v>0</v>
      </c>
      <c r="P20" s="640"/>
      <c r="Q20" s="641"/>
      <c r="R20" s="639"/>
      <c r="S20" s="495">
        <f>IF(B20="",0,VLOOKUP(B20,Assemblies!$B$3:$F$200,4,FALSE))+P20*IF(B20="",0.5,VLOOKUP(B20,Assemblies!$B$3:$F$200,5,FALSE))</f>
        <v>0</v>
      </c>
      <c r="T20" s="519">
        <f>IF(B20="",0,VLOOKUP(B20,Assemblies!$B$3:$F$200,3,FALSE))</f>
        <v>0</v>
      </c>
      <c r="U20" s="627">
        <f t="shared" si="7"/>
        <v>1200</v>
      </c>
      <c r="V20" s="628">
        <f t="shared" si="8"/>
        <v>12</v>
      </c>
      <c r="W20" s="628">
        <f t="shared" si="9"/>
        <v>0</v>
      </c>
      <c r="X20" s="628">
        <f t="shared" si="10"/>
        <v>0</v>
      </c>
      <c r="Y20" s="626">
        <f t="shared" si="4"/>
        <v>0</v>
      </c>
      <c r="Z20" s="681" t="s">
        <v>450</v>
      </c>
      <c r="AA20" s="521">
        <f t="shared" si="11"/>
        <v>36</v>
      </c>
      <c r="AB20" s="522">
        <f t="shared" si="12"/>
        <v>0.75</v>
      </c>
    </row>
    <row r="21" spans="1:28" s="522" customFormat="1" ht="14.25" customHeight="1">
      <c r="A21" s="650"/>
      <c r="B21" s="653"/>
      <c r="C21" s="634"/>
      <c r="D21" s="635"/>
      <c r="E21" s="756">
        <f>IF(B21="",0,VLOOKUP(B21,Assemblies!$B$3:$F$200,2,FALSE))</f>
        <v>0</v>
      </c>
      <c r="F21" s="668">
        <f>IF(B21="",0,VLOOKUP(B21,Assemblies!$B$3:$H$200,6,FALSE))</f>
        <v>0</v>
      </c>
      <c r="G21" s="636"/>
      <c r="H21" s="634"/>
      <c r="I21" s="745"/>
      <c r="J21" s="637"/>
      <c r="K21" s="636"/>
      <c r="L21" s="765"/>
      <c r="M21" s="642"/>
      <c r="N21" s="647">
        <f>IF(M21="",0,VLOOKUP(M21,CntrlAssembly!$A$3:$B$200,2,FALSE))</f>
        <v>0</v>
      </c>
      <c r="O21" s="648">
        <f>IF(M21="",0,VLOOKUP(M21,CntrlAssembly!$A$3:$C$200,3,FALSE))</f>
        <v>0</v>
      </c>
      <c r="P21" s="640"/>
      <c r="Q21" s="641"/>
      <c r="R21" s="639"/>
      <c r="S21" s="495">
        <f>IF(B21="",0,VLOOKUP(B21,Assemblies!$B$3:$F$200,4,FALSE))+P21*IF(B21="",0.5,VLOOKUP(B21,Assemblies!$B$3:$F$200,5,FALSE))</f>
        <v>0</v>
      </c>
      <c r="T21" s="519">
        <f>IF(B21="",0,VLOOKUP(B21,Assemblies!$B$3:$F$200,3,FALSE))</f>
        <v>0</v>
      </c>
      <c r="U21" s="627">
        <f t="shared" si="7"/>
        <v>0</v>
      </c>
      <c r="V21" s="628">
        <f t="shared" si="8"/>
        <v>0</v>
      </c>
      <c r="W21" s="628">
        <f t="shared" si="9"/>
        <v>0</v>
      </c>
      <c r="X21" s="628">
        <f t="shared" si="10"/>
        <v>0</v>
      </c>
      <c r="Y21" s="626">
        <f t="shared" si="4"/>
        <v>0</v>
      </c>
      <c r="Z21" s="681" t="s">
        <v>450</v>
      </c>
      <c r="AA21" s="521">
        <f t="shared" si="11"/>
        <v>0</v>
      </c>
      <c r="AB21" s="522">
        <f t="shared" si="12"/>
        <v>0</v>
      </c>
    </row>
    <row r="22" spans="1:28" s="522" customFormat="1" ht="14.25" customHeight="1">
      <c r="A22" s="741" t="s">
        <v>712</v>
      </c>
      <c r="B22" s="741" t="s">
        <v>713</v>
      </c>
      <c r="C22" s="634">
        <v>4</v>
      </c>
      <c r="D22" s="635">
        <v>750</v>
      </c>
      <c r="E22" s="756">
        <f>IF(B22="",0,VLOOKUP(B22,Assemblies!$B$3:$F$200,2,FALSE))</f>
        <v>4</v>
      </c>
      <c r="F22" s="668">
        <f>IF(B22="",0,VLOOKUP(B22,Assemblies!$B$3:$H$200,6,FALSE))</f>
        <v>0</v>
      </c>
      <c r="G22" s="636"/>
      <c r="H22" s="634"/>
      <c r="I22" s="745"/>
      <c r="J22" s="637"/>
      <c r="K22" s="636"/>
      <c r="L22" s="765"/>
      <c r="M22" s="742" t="s">
        <v>714</v>
      </c>
      <c r="N22" s="647">
        <f>IF(M22="",0,VLOOKUP(M22,CntrlAssembly!$A$3:$B$200,2,FALSE))</f>
        <v>185</v>
      </c>
      <c r="O22" s="648">
        <f>IF(M22="",0,VLOOKUP(M22,CntrlAssembly!$A$3:$C$200,3,FALSE))</f>
        <v>3</v>
      </c>
      <c r="P22" s="640"/>
      <c r="Q22" s="641"/>
      <c r="R22" s="639"/>
      <c r="S22" s="495">
        <f>IF(B22="",0,VLOOKUP(B22,Assemblies!$B$3:$F$200,4,FALSE))+P22*IF(B22="",0.5,VLOOKUP(B22,Assemblies!$B$3:$F$200,5,FALSE))</f>
        <v>1</v>
      </c>
      <c r="T22" s="519">
        <f>IF(B22="",0,VLOOKUP(B22,Assemblies!$B$3:$F$200,3,FALSE))</f>
        <v>0.5</v>
      </c>
      <c r="U22" s="627">
        <f t="shared" si="7"/>
        <v>3740</v>
      </c>
      <c r="V22" s="628">
        <f t="shared" si="8"/>
        <v>16</v>
      </c>
      <c r="W22" s="628">
        <f t="shared" si="9"/>
        <v>0</v>
      </c>
      <c r="X22" s="628">
        <f t="shared" si="10"/>
        <v>18</v>
      </c>
      <c r="Y22" s="626">
        <f t="shared" si="4"/>
        <v>0</v>
      </c>
      <c r="Z22" s="681" t="s">
        <v>450</v>
      </c>
      <c r="AA22" s="521">
        <f t="shared" si="11"/>
        <v>112.2</v>
      </c>
      <c r="AB22" s="522">
        <f t="shared" si="12"/>
        <v>1</v>
      </c>
    </row>
    <row r="23" spans="1:28" s="522" customFormat="1" ht="14.25" customHeight="1">
      <c r="A23" s="653"/>
      <c r="B23" s="649"/>
      <c r="C23" s="634"/>
      <c r="D23" s="635"/>
      <c r="E23" s="756">
        <f>IF(B23="",0,VLOOKUP(B23,Assemblies!$B$3:$F$200,2,FALSE))</f>
        <v>0</v>
      </c>
      <c r="F23" s="668">
        <f>IF(B23="",0,VLOOKUP(B23,Assemblies!$B$3:$H$200,6,FALSE))</f>
        <v>0</v>
      </c>
      <c r="G23" s="636"/>
      <c r="H23" s="634"/>
      <c r="I23" s="745"/>
      <c r="J23" s="637"/>
      <c r="K23" s="636"/>
      <c r="L23" s="765"/>
      <c r="M23" s="645"/>
      <c r="N23" s="647">
        <f>IF(M23="",0,VLOOKUP(M23,CntrlAssembly!$A$3:$B$200,2,FALSE))</f>
        <v>0</v>
      </c>
      <c r="O23" s="648">
        <f>IF(M23="",0,VLOOKUP(M23,CntrlAssembly!$A$3:$C$200,3,FALSE))</f>
        <v>0</v>
      </c>
      <c r="P23" s="640"/>
      <c r="Q23" s="641"/>
      <c r="R23" s="639"/>
      <c r="S23" s="495">
        <f>IF(B23="",0,VLOOKUP(B23,Assemblies!$B$3:$F$200,4,FALSE))+P23*IF(B23="",0.5,VLOOKUP(B23,Assemblies!$B$3:$F$200,5,FALSE))</f>
        <v>0</v>
      </c>
      <c r="T23" s="519">
        <f>IF(B23="",0,VLOOKUP(B23,Assemblies!$B$3:$F$200,3,FALSE))</f>
        <v>0</v>
      </c>
      <c r="U23" s="627">
        <f t="shared" si="7"/>
        <v>0</v>
      </c>
      <c r="V23" s="628">
        <f t="shared" si="8"/>
        <v>0</v>
      </c>
      <c r="W23" s="628">
        <f t="shared" si="9"/>
        <v>0</v>
      </c>
      <c r="X23" s="628">
        <f t="shared" si="10"/>
        <v>0</v>
      </c>
      <c r="Y23" s="626">
        <f t="shared" si="4"/>
        <v>0</v>
      </c>
      <c r="Z23" s="681" t="s">
        <v>450</v>
      </c>
      <c r="AA23" s="521">
        <f t="shared" si="11"/>
        <v>0</v>
      </c>
      <c r="AB23" s="522">
        <f t="shared" si="12"/>
        <v>0</v>
      </c>
    </row>
    <row r="24" spans="1:28" s="522" customFormat="1" ht="14.25" customHeight="1">
      <c r="A24" s="741" t="s">
        <v>715</v>
      </c>
      <c r="B24" s="741" t="s">
        <v>716</v>
      </c>
      <c r="C24" s="634">
        <v>1</v>
      </c>
      <c r="D24" s="635">
        <v>45000</v>
      </c>
      <c r="E24" s="756">
        <f>IF(B24="",0,VLOOKUP(B24,Assemblies!$B$3:$F$200,2,FALSE))</f>
        <v>0</v>
      </c>
      <c r="F24" s="668">
        <f>IF(B24="",0,VLOOKUP(B24,Assemblies!$B$3:$H$200,6,FALSE))</f>
        <v>0</v>
      </c>
      <c r="G24" s="636"/>
      <c r="H24" s="634"/>
      <c r="I24" s="745"/>
      <c r="J24" s="637"/>
      <c r="K24" s="636"/>
      <c r="L24" s="765"/>
      <c r="M24" s="638"/>
      <c r="N24" s="647">
        <f>IF(M24="",0,VLOOKUP(M24,CntrlAssembly!$A$3:$B$200,2,FALSE))</f>
        <v>0</v>
      </c>
      <c r="O24" s="648">
        <f>IF(M24="",0,VLOOKUP(M24,CntrlAssembly!$A$3:$C$200,3,FALSE))</f>
        <v>0</v>
      </c>
      <c r="P24" s="640"/>
      <c r="Q24" s="641"/>
      <c r="R24" s="639"/>
      <c r="S24" s="495">
        <f>IF(B24="",0,VLOOKUP(B24,Assemblies!$B$3:$F$200,4,FALSE))+P24*IF(B24="",0.5,VLOOKUP(B24,Assemblies!$B$3:$F$200,5,FALSE))</f>
        <v>0</v>
      </c>
      <c r="T24" s="519">
        <f>IF(B24="",0,VLOOKUP(B24,Assemblies!$B$3:$F$200,3,FALSE))</f>
        <v>0</v>
      </c>
      <c r="U24" s="627">
        <f t="shared" si="7"/>
        <v>45000</v>
      </c>
      <c r="V24" s="628">
        <f t="shared" si="8"/>
        <v>0</v>
      </c>
      <c r="W24" s="628">
        <f t="shared" si="9"/>
        <v>0</v>
      </c>
      <c r="X24" s="628">
        <f t="shared" si="10"/>
        <v>0</v>
      </c>
      <c r="Y24" s="626">
        <f t="shared" si="4"/>
        <v>0</v>
      </c>
      <c r="Z24" s="681" t="s">
        <v>450</v>
      </c>
      <c r="AA24" s="521">
        <f t="shared" si="11"/>
        <v>1350</v>
      </c>
      <c r="AB24" s="522">
        <f t="shared" si="12"/>
        <v>0</v>
      </c>
    </row>
    <row r="25" spans="1:28" s="522" customFormat="1" ht="14.25" customHeight="1">
      <c r="A25" s="653"/>
      <c r="B25" s="650"/>
      <c r="C25" s="634"/>
      <c r="D25" s="635"/>
      <c r="E25" s="756">
        <f>IF(B25="",0,VLOOKUP(B25,Assemblies!$B$3:$F$200,2,FALSE))</f>
        <v>0</v>
      </c>
      <c r="F25" s="668">
        <f>IF(B25="",0,VLOOKUP(B25,Assemblies!$B$3:$H$200,6,FALSE))</f>
        <v>0</v>
      </c>
      <c r="G25" s="636"/>
      <c r="H25" s="634"/>
      <c r="I25" s="745"/>
      <c r="J25" s="637"/>
      <c r="K25" s="636"/>
      <c r="L25" s="765"/>
      <c r="M25" s="638"/>
      <c r="N25" s="647">
        <f>IF(M25="",0,VLOOKUP(M25,CntrlAssembly!$A$3:$B$200,2,FALSE))</f>
        <v>0</v>
      </c>
      <c r="O25" s="648">
        <f>IF(M25="",0,VLOOKUP(M25,CntrlAssembly!$A$3:$C$200,3,FALSE))</f>
        <v>0</v>
      </c>
      <c r="P25" s="640"/>
      <c r="Q25" s="641"/>
      <c r="R25" s="639"/>
      <c r="S25" s="495">
        <f>IF(B25="",0,VLOOKUP(B25,Assemblies!$B$3:$F$200,4,FALSE))+P25*IF(B25="",0.5,VLOOKUP(B25,Assemblies!$B$3:$F$200,5,FALSE))</f>
        <v>0</v>
      </c>
      <c r="T25" s="519">
        <f>IF(B25="",0,VLOOKUP(B25,Assemblies!$B$3:$F$200,3,FALSE))</f>
        <v>0</v>
      </c>
      <c r="U25" s="627">
        <f t="shared" si="7"/>
        <v>0</v>
      </c>
      <c r="V25" s="628">
        <f t="shared" si="8"/>
        <v>0</v>
      </c>
      <c r="W25" s="628">
        <f t="shared" si="9"/>
        <v>0</v>
      </c>
      <c r="X25" s="628">
        <f t="shared" si="10"/>
        <v>0</v>
      </c>
      <c r="Y25" s="626">
        <f t="shared" si="4"/>
        <v>0</v>
      </c>
      <c r="Z25" s="681" t="s">
        <v>450</v>
      </c>
      <c r="AA25" s="521">
        <f t="shared" si="11"/>
        <v>0</v>
      </c>
      <c r="AB25" s="522">
        <f t="shared" si="12"/>
        <v>0</v>
      </c>
    </row>
    <row r="26" spans="1:28" s="522" customFormat="1" ht="14.25" customHeight="1">
      <c r="A26" s="653"/>
      <c r="B26" s="650"/>
      <c r="C26" s="634"/>
      <c r="D26" s="635"/>
      <c r="E26" s="756">
        <f>IF(B26="",0,VLOOKUP(B26,Assemblies!$B$3:$F$200,2,FALSE))</f>
        <v>0</v>
      </c>
      <c r="F26" s="668">
        <f>IF(B26="",0,VLOOKUP(B26,Assemblies!$B$3:$H$200,6,FALSE))</f>
        <v>0</v>
      </c>
      <c r="G26" s="636"/>
      <c r="H26" s="634"/>
      <c r="I26" s="745"/>
      <c r="J26" s="637"/>
      <c r="K26" s="636"/>
      <c r="L26" s="765"/>
      <c r="M26" s="638"/>
      <c r="N26" s="647">
        <f>IF(M26="",0,VLOOKUP(M26,CntrlAssembly!$A$3:$B$200,2,FALSE))</f>
        <v>0</v>
      </c>
      <c r="O26" s="648">
        <f>IF(M26="",0,VLOOKUP(M26,CntrlAssembly!$A$3:$C$200,3,FALSE))</f>
        <v>0</v>
      </c>
      <c r="P26" s="640"/>
      <c r="Q26" s="641"/>
      <c r="R26" s="639"/>
      <c r="S26" s="495">
        <f>IF(B26="",0,VLOOKUP(B26,Assemblies!$B$3:$F$200,4,FALSE))+P26*IF(B26="",0.5,VLOOKUP(B26,Assemblies!$B$3:$F$200,5,FALSE))</f>
        <v>0</v>
      </c>
      <c r="T26" s="519">
        <f>IF(B26="",0,VLOOKUP(B26,Assemblies!$B$3:$F$200,3,FALSE))</f>
        <v>0</v>
      </c>
      <c r="U26" s="627">
        <f t="shared" si="7"/>
        <v>0</v>
      </c>
      <c r="V26" s="628">
        <f t="shared" si="8"/>
        <v>0</v>
      </c>
      <c r="W26" s="628">
        <f t="shared" si="9"/>
        <v>0</v>
      </c>
      <c r="X26" s="628">
        <f t="shared" si="10"/>
        <v>0</v>
      </c>
      <c r="Y26" s="626">
        <f t="shared" si="4"/>
        <v>0</v>
      </c>
      <c r="Z26" s="681" t="s">
        <v>450</v>
      </c>
      <c r="AA26" s="521">
        <f t="shared" si="11"/>
        <v>0</v>
      </c>
      <c r="AB26" s="522">
        <f t="shared" si="12"/>
        <v>0</v>
      </c>
    </row>
    <row r="27" spans="1:28" s="522" customFormat="1" ht="14.25" customHeight="1">
      <c r="A27" s="651"/>
      <c r="B27" s="654"/>
      <c r="C27" s="634"/>
      <c r="D27" s="635"/>
      <c r="E27" s="756">
        <f>IF(B27="",0,VLOOKUP(B27,Assemblies!$B$3:$F$200,2,FALSE))</f>
        <v>0</v>
      </c>
      <c r="F27" s="668">
        <f>IF(B27="",0,VLOOKUP(B27,Assemblies!$B$3:$H$200,6,FALSE))</f>
        <v>0</v>
      </c>
      <c r="G27" s="636"/>
      <c r="H27" s="634"/>
      <c r="I27" s="745"/>
      <c r="J27" s="637"/>
      <c r="K27" s="636"/>
      <c r="L27" s="765"/>
      <c r="M27" s="638"/>
      <c r="N27" s="647">
        <f>IF(M27="",0,VLOOKUP(M27,CntrlAssembly!$A$3:$B$200,2,FALSE))</f>
        <v>0</v>
      </c>
      <c r="O27" s="648">
        <f>IF(M27="",0,VLOOKUP(M27,CntrlAssembly!$A$3:$C$200,3,FALSE))</f>
        <v>0</v>
      </c>
      <c r="P27" s="640"/>
      <c r="Q27" s="641"/>
      <c r="R27" s="639"/>
      <c r="S27" s="495">
        <f>IF(B27="",0,VLOOKUP(B27,Assemblies!$B$3:$F$200,4,FALSE))+P27*IF(B27="",0.5,VLOOKUP(B27,Assemblies!$B$3:$F$200,5,FALSE))</f>
        <v>0</v>
      </c>
      <c r="T27" s="519">
        <f>IF(B27="",0,VLOOKUP(B27,Assemblies!$B$3:$F$200,3,FALSE))</f>
        <v>0</v>
      </c>
      <c r="U27" s="627">
        <f t="shared" si="7"/>
        <v>0</v>
      </c>
      <c r="V27" s="628">
        <f t="shared" si="8"/>
        <v>0</v>
      </c>
      <c r="W27" s="628">
        <f t="shared" si="9"/>
        <v>0</v>
      </c>
      <c r="X27" s="628">
        <f t="shared" si="10"/>
        <v>0</v>
      </c>
      <c r="Y27" s="626">
        <f t="shared" si="4"/>
        <v>0</v>
      </c>
      <c r="Z27" s="681" t="s">
        <v>450</v>
      </c>
      <c r="AA27" s="521">
        <f t="shared" si="11"/>
        <v>0</v>
      </c>
      <c r="AB27" s="522">
        <f t="shared" si="12"/>
        <v>0</v>
      </c>
    </row>
    <row r="28" spans="1:28" s="522" customFormat="1" ht="14.25" customHeight="1">
      <c r="A28" s="650"/>
      <c r="B28" s="650"/>
      <c r="C28" s="634"/>
      <c r="D28" s="635"/>
      <c r="E28" s="756">
        <f>IF(B28="",0,VLOOKUP(B28,Assemblies!$B$3:$F$200,2,FALSE))</f>
        <v>0</v>
      </c>
      <c r="F28" s="668">
        <f>IF(B28="",0,VLOOKUP(B28,Assemblies!$B$3:$H$200,6,FALSE))</f>
        <v>0</v>
      </c>
      <c r="G28" s="636"/>
      <c r="H28" s="634"/>
      <c r="I28" s="745"/>
      <c r="J28" s="637"/>
      <c r="K28" s="636"/>
      <c r="L28" s="765"/>
      <c r="M28" s="642"/>
      <c r="N28" s="647">
        <f>IF(M28="",0,VLOOKUP(M28,CntrlAssembly!$A$3:$B$200,2,FALSE))</f>
        <v>0</v>
      </c>
      <c r="O28" s="648">
        <f>IF(M28="",0,VLOOKUP(M28,CntrlAssembly!$A$3:$C$200,3,FALSE))</f>
        <v>0</v>
      </c>
      <c r="P28" s="640"/>
      <c r="Q28" s="641"/>
      <c r="R28" s="639"/>
      <c r="S28" s="495">
        <f>IF(B28="",0,VLOOKUP(B28,Assemblies!$B$3:$F$200,4,FALSE))+P28*IF(B28="",0.5,VLOOKUP(B28,Assemblies!$B$3:$F$200,5,FALSE))</f>
        <v>0</v>
      </c>
      <c r="T28" s="519">
        <f>IF(B28="",0,VLOOKUP(B28,Assemblies!$B$3:$F$200,3,FALSE))</f>
        <v>0</v>
      </c>
      <c r="U28" s="627">
        <f t="shared" si="7"/>
        <v>0</v>
      </c>
      <c r="V28" s="628">
        <f t="shared" si="8"/>
        <v>0</v>
      </c>
      <c r="W28" s="628">
        <f t="shared" si="9"/>
        <v>0</v>
      </c>
      <c r="X28" s="628">
        <f t="shared" si="10"/>
        <v>0</v>
      </c>
      <c r="Y28" s="626">
        <f t="shared" si="4"/>
        <v>0</v>
      </c>
      <c r="Z28" s="681" t="s">
        <v>450</v>
      </c>
      <c r="AA28" s="521">
        <f t="shared" si="11"/>
        <v>0</v>
      </c>
      <c r="AB28" s="522">
        <f t="shared" si="12"/>
        <v>0</v>
      </c>
    </row>
    <row r="29" spans="1:28" s="522" customFormat="1" ht="14.25" customHeight="1">
      <c r="A29" s="651"/>
      <c r="B29" s="650"/>
      <c r="C29" s="634"/>
      <c r="D29" s="635"/>
      <c r="E29" s="756">
        <f>IF(B29="",0,VLOOKUP(B29,Assemblies!$B$3:$F$200,2,FALSE))</f>
        <v>0</v>
      </c>
      <c r="F29" s="668">
        <f>IF(B29="",0,VLOOKUP(B29,Assemblies!$B$3:$H$200,6,FALSE))</f>
        <v>0</v>
      </c>
      <c r="G29" s="636"/>
      <c r="H29" s="634"/>
      <c r="I29" s="745"/>
      <c r="J29" s="637"/>
      <c r="K29" s="636"/>
      <c r="L29" s="765"/>
      <c r="M29" s="642"/>
      <c r="N29" s="647">
        <f>IF(M29="",0,VLOOKUP(M29,CntrlAssembly!$A$3:$B$200,2,FALSE))</f>
        <v>0</v>
      </c>
      <c r="O29" s="648">
        <f>IF(M29="",0,VLOOKUP(M29,CntrlAssembly!$A$3:$C$200,3,FALSE))</f>
        <v>0</v>
      </c>
      <c r="P29" s="640"/>
      <c r="Q29" s="641"/>
      <c r="R29" s="639"/>
      <c r="S29" s="495">
        <f>IF(B29="",0,VLOOKUP(B29,Assemblies!$B$3:$F$200,4,FALSE))+P29*IF(B29="",0.5,VLOOKUP(B29,Assemblies!$B$3:$F$200,5,FALSE))</f>
        <v>0</v>
      </c>
      <c r="T29" s="519">
        <f>IF(B29="",0,VLOOKUP(B29,Assemblies!$B$3:$F$200,3,FALSE))</f>
        <v>0</v>
      </c>
      <c r="U29" s="627">
        <f t="shared" si="7"/>
        <v>0</v>
      </c>
      <c r="V29" s="628">
        <f t="shared" si="8"/>
        <v>0</v>
      </c>
      <c r="W29" s="628">
        <f t="shared" si="9"/>
        <v>0</v>
      </c>
      <c r="X29" s="628">
        <f t="shared" si="10"/>
        <v>0</v>
      </c>
      <c r="Y29" s="626">
        <f t="shared" si="4"/>
        <v>0</v>
      </c>
      <c r="Z29" s="681" t="s">
        <v>450</v>
      </c>
      <c r="AA29" s="521">
        <f t="shared" si="11"/>
        <v>0</v>
      </c>
      <c r="AB29" s="522">
        <f t="shared" si="12"/>
        <v>0</v>
      </c>
    </row>
    <row r="30" spans="1:28" s="522" customFormat="1" ht="14.25" customHeight="1">
      <c r="A30" s="653"/>
      <c r="B30" s="653"/>
      <c r="C30" s="634"/>
      <c r="D30" s="635"/>
      <c r="E30" s="756">
        <f>IF(B30="",0,VLOOKUP(B30,Assemblies!$B$3:$F$200,2,FALSE))</f>
        <v>0</v>
      </c>
      <c r="F30" s="668">
        <f>IF(B30="",0,VLOOKUP(B30,Assemblies!$B$3:$H$200,6,FALSE))</f>
        <v>0</v>
      </c>
      <c r="G30" s="636"/>
      <c r="H30" s="634"/>
      <c r="I30" s="745"/>
      <c r="J30" s="637"/>
      <c r="K30" s="636"/>
      <c r="L30" s="765"/>
      <c r="M30" s="645"/>
      <c r="N30" s="647">
        <f>IF(M30="",0,VLOOKUP(M30,CntrlAssembly!$A$3:$B$200,2,FALSE))</f>
        <v>0</v>
      </c>
      <c r="O30" s="648">
        <f>IF(M30="",0,VLOOKUP(M30,CntrlAssembly!$A$3:$C$200,3,FALSE))</f>
        <v>0</v>
      </c>
      <c r="P30" s="640"/>
      <c r="Q30" s="641"/>
      <c r="R30" s="639"/>
      <c r="S30" s="495">
        <f>IF(B30="",0,VLOOKUP(B30,Assemblies!$B$3:$F$200,4,FALSE))+P30*IF(B30="",0.5,VLOOKUP(B30,Assemblies!$B$3:$F$200,5,FALSE))</f>
        <v>0</v>
      </c>
      <c r="T30" s="519">
        <f>IF(B30="",0,VLOOKUP(B30,Assemblies!$B$3:$F$200,3,FALSE))</f>
        <v>0</v>
      </c>
      <c r="U30" s="627">
        <f t="shared" si="7"/>
        <v>0</v>
      </c>
      <c r="V30" s="628">
        <f t="shared" si="8"/>
        <v>0</v>
      </c>
      <c r="W30" s="628">
        <f t="shared" si="9"/>
        <v>0</v>
      </c>
      <c r="X30" s="628">
        <f t="shared" si="10"/>
        <v>0</v>
      </c>
      <c r="Y30" s="626">
        <f t="shared" si="4"/>
        <v>0</v>
      </c>
      <c r="Z30" s="681" t="s">
        <v>450</v>
      </c>
      <c r="AA30" s="521">
        <f t="shared" si="11"/>
        <v>0</v>
      </c>
      <c r="AB30" s="522">
        <f t="shared" si="12"/>
        <v>0</v>
      </c>
    </row>
    <row r="31" spans="1:28" s="522" customFormat="1" ht="14.25" customHeight="1">
      <c r="A31" s="651"/>
      <c r="B31" s="653"/>
      <c r="C31" s="634"/>
      <c r="D31" s="635"/>
      <c r="E31" s="756">
        <f>IF(B31="",0,VLOOKUP(B31,Assemblies!$B$3:$F$200,2,FALSE))</f>
        <v>0</v>
      </c>
      <c r="F31" s="668">
        <f>IF(B31="",0,VLOOKUP(B31,Assemblies!$B$3:$H$200,6,FALSE))</f>
        <v>0</v>
      </c>
      <c r="G31" s="636"/>
      <c r="H31" s="634"/>
      <c r="I31" s="745"/>
      <c r="J31" s="637"/>
      <c r="K31" s="636"/>
      <c r="L31" s="765"/>
      <c r="M31" s="645"/>
      <c r="N31" s="647">
        <f>IF(M31="",0,VLOOKUP(M31,CntrlAssembly!$A$3:$B$200,2,FALSE))</f>
        <v>0</v>
      </c>
      <c r="O31" s="648">
        <f>IF(M31="",0,VLOOKUP(M31,CntrlAssembly!$A$3:$C$200,3,FALSE))</f>
        <v>0</v>
      </c>
      <c r="P31" s="640"/>
      <c r="Q31" s="641"/>
      <c r="R31" s="639"/>
      <c r="S31" s="495">
        <f>IF(B31="",0,VLOOKUP(B31,Assemblies!$B$3:$F$200,4,FALSE))+P31*IF(B31="",0.5,VLOOKUP(B31,Assemblies!$B$3:$F$200,5,FALSE))</f>
        <v>0</v>
      </c>
      <c r="T31" s="519">
        <f>IF(B31="",0,VLOOKUP(B31,Assemblies!$B$3:$F$200,3,FALSE))</f>
        <v>0</v>
      </c>
      <c r="U31" s="627">
        <f t="shared" si="7"/>
        <v>0</v>
      </c>
      <c r="V31" s="628">
        <f t="shared" si="8"/>
        <v>0</v>
      </c>
      <c r="W31" s="628">
        <f t="shared" si="9"/>
        <v>0</v>
      </c>
      <c r="X31" s="628">
        <f t="shared" si="10"/>
        <v>0</v>
      </c>
      <c r="Y31" s="626">
        <f t="shared" si="4"/>
        <v>0</v>
      </c>
      <c r="Z31" s="681" t="s">
        <v>450</v>
      </c>
      <c r="AA31" s="521">
        <f t="shared" si="11"/>
        <v>0</v>
      </c>
      <c r="AB31" s="522">
        <f t="shared" si="12"/>
        <v>0</v>
      </c>
    </row>
    <row r="32" spans="1:28" s="522" customFormat="1" ht="14.25" customHeight="1">
      <c r="A32" s="651"/>
      <c r="B32" s="653"/>
      <c r="C32" s="634"/>
      <c r="D32" s="635"/>
      <c r="E32" s="756">
        <f>IF(B32="",0,VLOOKUP(B32,Assemblies!$B$3:$F$200,2,FALSE))</f>
        <v>0</v>
      </c>
      <c r="F32" s="668">
        <f>IF(B32="",0,VLOOKUP(B32,Assemblies!$B$3:$H$200,6,FALSE))</f>
        <v>0</v>
      </c>
      <c r="G32" s="636"/>
      <c r="H32" s="634"/>
      <c r="I32" s="745"/>
      <c r="J32" s="637"/>
      <c r="K32" s="636"/>
      <c r="L32" s="765"/>
      <c r="M32" s="644"/>
      <c r="N32" s="647">
        <f>IF(M32="",0,VLOOKUP(M32,CntrlAssembly!$A$3:$B$200,2,FALSE))</f>
        <v>0</v>
      </c>
      <c r="O32" s="648">
        <f>IF(M32="",0,VLOOKUP(M32,CntrlAssembly!$A$3:$C$200,3,FALSE))</f>
        <v>0</v>
      </c>
      <c r="P32" s="640"/>
      <c r="Q32" s="641"/>
      <c r="R32" s="639"/>
      <c r="S32" s="495">
        <f>IF(B32="",0,VLOOKUP(B32,Assemblies!$B$3:$F$200,4,FALSE))+P32*IF(B32="",0.5,VLOOKUP(B32,Assemblies!$B$3:$F$200,5,FALSE))</f>
        <v>0</v>
      </c>
      <c r="T32" s="519">
        <f>IF(B32="",0,VLOOKUP(B32,Assemblies!$B$3:$F$200,3,FALSE))</f>
        <v>0</v>
      </c>
      <c r="U32" s="627">
        <f t="shared" si="7"/>
        <v>0</v>
      </c>
      <c r="V32" s="628">
        <f t="shared" si="8"/>
        <v>0</v>
      </c>
      <c r="W32" s="628">
        <f t="shared" si="9"/>
        <v>0</v>
      </c>
      <c r="X32" s="628">
        <f t="shared" si="10"/>
        <v>0</v>
      </c>
      <c r="Y32" s="626">
        <f t="shared" si="4"/>
        <v>0</v>
      </c>
      <c r="Z32" s="681" t="s">
        <v>450</v>
      </c>
      <c r="AA32" s="521">
        <f t="shared" si="11"/>
        <v>0</v>
      </c>
      <c r="AB32" s="522">
        <f t="shared" si="12"/>
        <v>0</v>
      </c>
    </row>
    <row r="33" spans="1:28" s="522" customFormat="1" ht="14.25" customHeight="1">
      <c r="A33" s="650"/>
      <c r="B33" s="650"/>
      <c r="C33" s="634"/>
      <c r="D33" s="635"/>
      <c r="E33" s="756">
        <f>IF(B33="",0,VLOOKUP(B33,Assemblies!$B$3:$F$200,2,FALSE))</f>
        <v>0</v>
      </c>
      <c r="F33" s="668">
        <f>IF(B33="",0,VLOOKUP(B33,Assemblies!$B$3:$H$200,6,FALSE))</f>
        <v>0</v>
      </c>
      <c r="G33" s="636"/>
      <c r="H33" s="634"/>
      <c r="I33" s="745"/>
      <c r="J33" s="637"/>
      <c r="K33" s="636"/>
      <c r="L33" s="765"/>
      <c r="M33" s="642"/>
      <c r="N33" s="647">
        <f>IF(M33="",0,VLOOKUP(M33,CntrlAssembly!$A$3:$B$200,2,FALSE))</f>
        <v>0</v>
      </c>
      <c r="O33" s="648">
        <f>IF(M33="",0,VLOOKUP(M33,CntrlAssembly!$A$3:$C$200,3,FALSE))</f>
        <v>0</v>
      </c>
      <c r="P33" s="640"/>
      <c r="Q33" s="641"/>
      <c r="R33" s="639"/>
      <c r="S33" s="495">
        <f>IF(B33="",0,VLOOKUP(B33,Assemblies!$B$3:$F$200,4,FALSE))+P33*IF(B33="",0.5,VLOOKUP(B33,Assemblies!$B$3:$F$200,5,FALSE))</f>
        <v>0</v>
      </c>
      <c r="T33" s="519">
        <f>IF(B33="",0,VLOOKUP(B33,Assemblies!$B$3:$F$200,3,FALSE))</f>
        <v>0</v>
      </c>
      <c r="U33" s="627">
        <f t="shared" si="7"/>
        <v>0</v>
      </c>
      <c r="V33" s="628">
        <f t="shared" si="8"/>
        <v>0</v>
      </c>
      <c r="W33" s="628">
        <f t="shared" si="9"/>
        <v>0</v>
      </c>
      <c r="X33" s="628">
        <f t="shared" si="10"/>
        <v>0</v>
      </c>
      <c r="Y33" s="626">
        <f t="shared" si="4"/>
        <v>0</v>
      </c>
      <c r="Z33" s="681" t="s">
        <v>450</v>
      </c>
      <c r="AA33" s="521">
        <f t="shared" si="11"/>
        <v>0</v>
      </c>
      <c r="AB33" s="522">
        <f t="shared" si="12"/>
        <v>0</v>
      </c>
    </row>
    <row r="34" spans="1:28" s="522" customFormat="1">
      <c r="A34" s="653"/>
      <c r="B34" s="653"/>
      <c r="C34" s="634"/>
      <c r="D34" s="635"/>
      <c r="E34" s="756">
        <f>IF(B34="",0,VLOOKUP(B34,Assemblies!$B$3:$F$200,2,FALSE))</f>
        <v>0</v>
      </c>
      <c r="F34" s="668">
        <f>IF(B34="",0,VLOOKUP(B34,Assemblies!$B$3:$H$200,6,FALSE))</f>
        <v>0</v>
      </c>
      <c r="G34" s="636"/>
      <c r="H34" s="634"/>
      <c r="I34" s="745"/>
      <c r="J34" s="637"/>
      <c r="K34" s="636"/>
      <c r="L34" s="765"/>
      <c r="M34" s="645"/>
      <c r="N34" s="647">
        <f>IF(M34="",0,VLOOKUP(M34,CntrlAssembly!$A$3:$B$200,2,FALSE))</f>
        <v>0</v>
      </c>
      <c r="O34" s="648">
        <f>IF(M34="",0,VLOOKUP(M34,CntrlAssembly!$A$3:$C$200,3,FALSE))</f>
        <v>0</v>
      </c>
      <c r="P34" s="640"/>
      <c r="Q34" s="641"/>
      <c r="R34" s="639"/>
      <c r="S34" s="495">
        <f>IF(B34="",0,VLOOKUP(B34,Assemblies!$B$3:$F$200,4,FALSE))+P34*IF(B34="",0.5,VLOOKUP(B34,Assemblies!$B$3:$F$200,5,FALSE))</f>
        <v>0</v>
      </c>
      <c r="T34" s="519">
        <f>IF(B34="",0,VLOOKUP(B34,Assemblies!$B$3:$F$200,3,FALSE))</f>
        <v>0</v>
      </c>
      <c r="U34" s="627">
        <f t="shared" si="7"/>
        <v>0</v>
      </c>
      <c r="V34" s="628">
        <f t="shared" si="8"/>
        <v>0</v>
      </c>
      <c r="W34" s="628">
        <f t="shared" si="9"/>
        <v>0</v>
      </c>
      <c r="X34" s="628">
        <f t="shared" si="10"/>
        <v>0</v>
      </c>
      <c r="Y34" s="626">
        <f t="shared" si="4"/>
        <v>0</v>
      </c>
      <c r="Z34" s="681" t="s">
        <v>450</v>
      </c>
      <c r="AA34" s="521">
        <f t="shared" si="11"/>
        <v>0</v>
      </c>
      <c r="AB34" s="522">
        <f t="shared" si="12"/>
        <v>0</v>
      </c>
    </row>
    <row r="35" spans="1:28" s="522" customFormat="1">
      <c r="A35" s="653"/>
      <c r="B35" s="653"/>
      <c r="C35" s="634"/>
      <c r="D35" s="635"/>
      <c r="E35" s="756">
        <f>IF(B35="",0,VLOOKUP(B35,Assemblies!$B$3:$F$200,2,FALSE))</f>
        <v>0</v>
      </c>
      <c r="F35" s="668">
        <f>IF(B35="",0,VLOOKUP(B35,Assemblies!$B$3:$H$200,6,FALSE))</f>
        <v>0</v>
      </c>
      <c r="G35" s="636"/>
      <c r="H35" s="634"/>
      <c r="I35" s="745"/>
      <c r="J35" s="637"/>
      <c r="K35" s="636"/>
      <c r="L35" s="765"/>
      <c r="M35" s="645"/>
      <c r="N35" s="647">
        <f>IF(M35="",0,VLOOKUP(M35,CntrlAssembly!$A$3:$B$200,2,FALSE))</f>
        <v>0</v>
      </c>
      <c r="O35" s="648">
        <f>IF(M35="",0,VLOOKUP(M35,CntrlAssembly!$A$3:$C$200,3,FALSE))</f>
        <v>0</v>
      </c>
      <c r="P35" s="640"/>
      <c r="Q35" s="641"/>
      <c r="R35" s="639"/>
      <c r="S35" s="495">
        <f>IF(B35="",0,VLOOKUP(B35,Assemblies!$B$3:$F$200,4,FALSE))+P35*IF(B35="",0.5,VLOOKUP(B35,Assemblies!$B$3:$F$200,5,FALSE))</f>
        <v>0</v>
      </c>
      <c r="T35" s="519">
        <f>IF(B35="",0,VLOOKUP(B35,Assemblies!$B$3:$F$200,3,FALSE))</f>
        <v>0</v>
      </c>
      <c r="U35" s="627">
        <f t="shared" si="7"/>
        <v>0</v>
      </c>
      <c r="V35" s="628">
        <f t="shared" si="8"/>
        <v>0</v>
      </c>
      <c r="W35" s="628">
        <f t="shared" si="9"/>
        <v>0</v>
      </c>
      <c r="X35" s="628">
        <f t="shared" si="10"/>
        <v>0</v>
      </c>
      <c r="Y35" s="626">
        <f t="shared" si="4"/>
        <v>0</v>
      </c>
      <c r="Z35" s="681" t="s">
        <v>450</v>
      </c>
      <c r="AA35" s="521">
        <f t="shared" si="11"/>
        <v>0</v>
      </c>
      <c r="AB35" s="522">
        <f t="shared" si="12"/>
        <v>0</v>
      </c>
    </row>
    <row r="36" spans="1:28" s="522" customFormat="1">
      <c r="A36" s="653"/>
      <c r="B36" s="653"/>
      <c r="C36" s="634"/>
      <c r="D36" s="635"/>
      <c r="E36" s="756">
        <f>IF(B36="",0,VLOOKUP(B36,Assemblies!$B$3:$F$200,2,FALSE))</f>
        <v>0</v>
      </c>
      <c r="F36" s="668">
        <f>IF(B36="",0,VLOOKUP(B36,Assemblies!$B$3:$H$200,6,FALSE))</f>
        <v>0</v>
      </c>
      <c r="G36" s="636"/>
      <c r="H36" s="634"/>
      <c r="I36" s="745"/>
      <c r="J36" s="637"/>
      <c r="K36" s="636"/>
      <c r="L36" s="765"/>
      <c r="M36" s="645"/>
      <c r="N36" s="647">
        <f>IF(M36="",0,VLOOKUP(M36,CntrlAssembly!$A$3:$B$200,2,FALSE))</f>
        <v>0</v>
      </c>
      <c r="O36" s="648">
        <f>IF(M36="",0,VLOOKUP(M36,CntrlAssembly!$A$3:$C$200,3,FALSE))</f>
        <v>0</v>
      </c>
      <c r="P36" s="640"/>
      <c r="Q36" s="641"/>
      <c r="R36" s="639"/>
      <c r="S36" s="495">
        <f>IF(B36="",0,VLOOKUP(B36,Assemblies!$B$3:$F$200,4,FALSE))+P36*IF(B36="",0.5,VLOOKUP(B36,Assemblies!$B$3:$F$200,5,FALSE))</f>
        <v>0</v>
      </c>
      <c r="T36" s="519">
        <f>IF(B36="",0,VLOOKUP(B36,Assemblies!$B$3:$F$200,3,FALSE))</f>
        <v>0</v>
      </c>
      <c r="U36" s="627">
        <f t="shared" si="7"/>
        <v>0</v>
      </c>
      <c r="V36" s="628">
        <f t="shared" si="8"/>
        <v>0</v>
      </c>
      <c r="W36" s="628">
        <f t="shared" si="9"/>
        <v>0</v>
      </c>
      <c r="X36" s="628">
        <f t="shared" si="10"/>
        <v>0</v>
      </c>
      <c r="Y36" s="626">
        <f t="shared" si="4"/>
        <v>0</v>
      </c>
      <c r="Z36" s="681" t="s">
        <v>450</v>
      </c>
      <c r="AA36" s="521">
        <f t="shared" si="11"/>
        <v>0</v>
      </c>
      <c r="AB36" s="522">
        <f t="shared" si="12"/>
        <v>0</v>
      </c>
    </row>
    <row r="37" spans="1:28" s="522" customFormat="1">
      <c r="A37" s="653"/>
      <c r="B37" s="650"/>
      <c r="C37" s="634"/>
      <c r="D37" s="635"/>
      <c r="E37" s="756">
        <f>IF(B37="",0,VLOOKUP(B37,Assemblies!$B$3:$F$200,2,FALSE))</f>
        <v>0</v>
      </c>
      <c r="F37" s="668">
        <f>IF(B37="",0,VLOOKUP(B37,Assemblies!$B$3:$H$200,6,FALSE))</f>
        <v>0</v>
      </c>
      <c r="G37" s="636"/>
      <c r="H37" s="634"/>
      <c r="I37" s="745"/>
      <c r="J37" s="637"/>
      <c r="K37" s="636"/>
      <c r="L37" s="765"/>
      <c r="M37" s="638"/>
      <c r="N37" s="647">
        <f>IF(M37="",0,VLOOKUP(M37,CntrlAssembly!$A$3:$B$200,2,FALSE))</f>
        <v>0</v>
      </c>
      <c r="O37" s="648">
        <f>IF(M37="",0,VLOOKUP(M37,CntrlAssembly!$A$3:$C$200,3,FALSE))</f>
        <v>0</v>
      </c>
      <c r="P37" s="640"/>
      <c r="Q37" s="641"/>
      <c r="R37" s="639"/>
      <c r="S37" s="495">
        <f>IF(B37="",0,VLOOKUP(B37,Assemblies!$B$3:$F$200,4,FALSE))+P37*IF(B37="",0.5,VLOOKUP(B37,Assemblies!$B$3:$F$200,5,FALSE))</f>
        <v>0</v>
      </c>
      <c r="T37" s="519">
        <f>IF(B37="",0,VLOOKUP(B37,Assemblies!$B$3:$F$200,3,FALSE))</f>
        <v>0</v>
      </c>
      <c r="U37" s="627">
        <f t="shared" si="7"/>
        <v>0</v>
      </c>
      <c r="V37" s="628">
        <f t="shared" si="8"/>
        <v>0</v>
      </c>
      <c r="W37" s="628">
        <f t="shared" si="9"/>
        <v>0</v>
      </c>
      <c r="X37" s="628">
        <f t="shared" si="10"/>
        <v>0</v>
      </c>
      <c r="Y37" s="626">
        <f t="shared" si="4"/>
        <v>0</v>
      </c>
      <c r="Z37" s="681" t="s">
        <v>450</v>
      </c>
      <c r="AA37" s="521">
        <f t="shared" si="11"/>
        <v>0</v>
      </c>
      <c r="AB37" s="522">
        <f t="shared" si="12"/>
        <v>0</v>
      </c>
    </row>
    <row r="38" spans="1:28" s="522" customFormat="1">
      <c r="A38" s="653"/>
      <c r="B38" s="650"/>
      <c r="C38" s="634"/>
      <c r="D38" s="635"/>
      <c r="E38" s="756">
        <f>IF(B38="",0,VLOOKUP(B38,Assemblies!$B$3:$F$200,2,FALSE))</f>
        <v>0</v>
      </c>
      <c r="F38" s="668">
        <f>IF(B38="",0,VLOOKUP(B38,Assemblies!$B$3:$H$200,6,FALSE))</f>
        <v>0</v>
      </c>
      <c r="G38" s="636"/>
      <c r="H38" s="634"/>
      <c r="I38" s="745"/>
      <c r="J38" s="637"/>
      <c r="K38" s="636"/>
      <c r="L38" s="765"/>
      <c r="M38" s="638"/>
      <c r="N38" s="647">
        <f>IF(M38="",0,VLOOKUP(M38,CntrlAssembly!$A$3:$B$200,2,FALSE))</f>
        <v>0</v>
      </c>
      <c r="O38" s="648">
        <f>IF(M38="",0,VLOOKUP(M38,CntrlAssembly!$A$3:$C$200,3,FALSE))</f>
        <v>0</v>
      </c>
      <c r="P38" s="640"/>
      <c r="Q38" s="641"/>
      <c r="R38" s="639"/>
      <c r="S38" s="495">
        <f>IF(B38="",0,VLOOKUP(B38,Assemblies!$B$3:$F$200,4,FALSE))+P38*IF(B38="",0.5,VLOOKUP(B38,Assemblies!$B$3:$F$200,5,FALSE))</f>
        <v>0</v>
      </c>
      <c r="T38" s="519">
        <f>IF(B38="",0,VLOOKUP(B38,Assemblies!$B$3:$F$200,3,FALSE))</f>
        <v>0</v>
      </c>
      <c r="U38" s="627">
        <f t="shared" si="7"/>
        <v>0</v>
      </c>
      <c r="V38" s="628">
        <f t="shared" si="8"/>
        <v>0</v>
      </c>
      <c r="W38" s="628">
        <f t="shared" si="9"/>
        <v>0</v>
      </c>
      <c r="X38" s="628">
        <f t="shared" si="10"/>
        <v>0</v>
      </c>
      <c r="Y38" s="626">
        <f t="shared" si="4"/>
        <v>0</v>
      </c>
      <c r="Z38" s="681" t="s">
        <v>450</v>
      </c>
      <c r="AA38" s="521">
        <f t="shared" si="11"/>
        <v>0</v>
      </c>
      <c r="AB38" s="522">
        <f t="shared" si="12"/>
        <v>0</v>
      </c>
    </row>
    <row r="39" spans="1:28" s="522" customFormat="1">
      <c r="A39" s="652"/>
      <c r="B39" s="654"/>
      <c r="C39" s="634"/>
      <c r="D39" s="635"/>
      <c r="E39" s="756">
        <f>IF(B39="",0,VLOOKUP(B39,Assemblies!$B$3:$F$200,2,FALSE))</f>
        <v>0</v>
      </c>
      <c r="F39" s="668">
        <f>IF(B39="",0,VLOOKUP(B39,Assemblies!$B$3:$H$200,6,FALSE))</f>
        <v>0</v>
      </c>
      <c r="G39" s="636"/>
      <c r="H39" s="634"/>
      <c r="I39" s="745"/>
      <c r="J39" s="637"/>
      <c r="K39" s="636"/>
      <c r="L39" s="765"/>
      <c r="M39" s="638"/>
      <c r="N39" s="647">
        <f>IF(M39="",0,VLOOKUP(M39,CntrlAssembly!$A$3:$B$200,2,FALSE))</f>
        <v>0</v>
      </c>
      <c r="O39" s="648">
        <f>IF(M39="",0,VLOOKUP(M39,CntrlAssembly!$A$3:$C$200,3,FALSE))</f>
        <v>0</v>
      </c>
      <c r="P39" s="640"/>
      <c r="Q39" s="641"/>
      <c r="R39" s="639"/>
      <c r="S39" s="495">
        <f>IF(B39="",0,VLOOKUP(B39,Assemblies!$B$3:$F$200,4,FALSE))+P39*IF(B39="",0.5,VLOOKUP(B39,Assemblies!$B$3:$F$200,5,FALSE))</f>
        <v>0</v>
      </c>
      <c r="T39" s="519">
        <f>IF(B39="",0,VLOOKUP(B39,Assemblies!$B$3:$F$200,3,FALSE))</f>
        <v>0</v>
      </c>
      <c r="U39" s="627">
        <f t="shared" si="7"/>
        <v>0</v>
      </c>
      <c r="V39" s="628">
        <f t="shared" si="8"/>
        <v>0</v>
      </c>
      <c r="W39" s="628">
        <f t="shared" si="9"/>
        <v>0</v>
      </c>
      <c r="X39" s="628">
        <f t="shared" si="10"/>
        <v>0</v>
      </c>
      <c r="Y39" s="626">
        <f t="shared" si="4"/>
        <v>0</v>
      </c>
      <c r="Z39" s="681" t="s">
        <v>450</v>
      </c>
      <c r="AA39" s="521">
        <f t="shared" si="11"/>
        <v>0</v>
      </c>
      <c r="AB39" s="522">
        <f t="shared" si="12"/>
        <v>0</v>
      </c>
    </row>
    <row r="40" spans="1:28" s="522" customFormat="1">
      <c r="A40" s="653"/>
      <c r="B40" s="653"/>
      <c r="C40" s="634"/>
      <c r="D40" s="635"/>
      <c r="E40" s="756">
        <f>IF(B40="",0,VLOOKUP(B40,Assemblies!$B$3:$F$200,2,FALSE))</f>
        <v>0</v>
      </c>
      <c r="F40" s="668">
        <f>IF(B40="",0,VLOOKUP(B40,Assemblies!$B$3:$H$200,6,FALSE))</f>
        <v>0</v>
      </c>
      <c r="G40" s="636"/>
      <c r="H40" s="634"/>
      <c r="I40" s="745"/>
      <c r="J40" s="637"/>
      <c r="K40" s="636"/>
      <c r="L40" s="765"/>
      <c r="M40" s="645"/>
      <c r="N40" s="647">
        <f>IF(M40="",0,VLOOKUP(M40,CntrlAssembly!$A$3:$B$200,2,FALSE))</f>
        <v>0</v>
      </c>
      <c r="O40" s="648">
        <f>IF(M40="",0,VLOOKUP(M40,CntrlAssembly!$A$3:$C$200,3,FALSE))</f>
        <v>0</v>
      </c>
      <c r="P40" s="640"/>
      <c r="Q40" s="641"/>
      <c r="R40" s="639"/>
      <c r="S40" s="495">
        <f>IF(B40="",0,VLOOKUP(B40,Assemblies!$B$3:$F$200,4,FALSE))+P40*IF(B40="",0.5,VLOOKUP(B40,Assemblies!$B$3:$F$200,5,FALSE))</f>
        <v>0</v>
      </c>
      <c r="T40" s="519">
        <f>IF(B40="",0,VLOOKUP(B40,Assemblies!$B$3:$F$200,3,FALSE))</f>
        <v>0</v>
      </c>
      <c r="U40" s="627">
        <f t="shared" si="7"/>
        <v>0</v>
      </c>
      <c r="V40" s="628">
        <f t="shared" si="8"/>
        <v>0</v>
      </c>
      <c r="W40" s="628">
        <f t="shared" si="9"/>
        <v>0</v>
      </c>
      <c r="X40" s="628">
        <f t="shared" si="10"/>
        <v>0</v>
      </c>
      <c r="Y40" s="626">
        <f t="shared" si="4"/>
        <v>0</v>
      </c>
      <c r="Z40" s="681" t="s">
        <v>450</v>
      </c>
      <c r="AA40" s="521">
        <f t="shared" si="11"/>
        <v>0</v>
      </c>
      <c r="AB40" s="522">
        <f t="shared" si="12"/>
        <v>0</v>
      </c>
    </row>
    <row r="41" spans="1:28" s="522" customFormat="1">
      <c r="A41" s="652"/>
      <c r="B41" s="653"/>
      <c r="C41" s="634"/>
      <c r="D41" s="635"/>
      <c r="E41" s="756">
        <f>IF(B41="",0,VLOOKUP(B41,Assemblies!$B$3:$F$200,2,FALSE))</f>
        <v>0</v>
      </c>
      <c r="F41" s="668">
        <f>IF(B41="",0,VLOOKUP(B41,Assemblies!$B$3:$H$200,6,FALSE))</f>
        <v>0</v>
      </c>
      <c r="G41" s="636"/>
      <c r="H41" s="634"/>
      <c r="I41" s="745"/>
      <c r="J41" s="637"/>
      <c r="K41" s="636"/>
      <c r="L41" s="765"/>
      <c r="M41" s="645"/>
      <c r="N41" s="647">
        <f>IF(M41="",0,VLOOKUP(M41,CntrlAssembly!$A$3:$B$200,2,FALSE))</f>
        <v>0</v>
      </c>
      <c r="O41" s="648">
        <f>IF(M41="",0,VLOOKUP(M41,CntrlAssembly!$A$3:$C$200,3,FALSE))</f>
        <v>0</v>
      </c>
      <c r="P41" s="640"/>
      <c r="Q41" s="641"/>
      <c r="R41" s="639"/>
      <c r="S41" s="495">
        <f>IF(B41="",0,VLOOKUP(B41,Assemblies!$B$3:$F$200,4,FALSE))+P41*IF(B41="",0.5,VLOOKUP(B41,Assemblies!$B$3:$F$200,5,FALSE))</f>
        <v>0</v>
      </c>
      <c r="T41" s="519">
        <f>IF(B41="",0,VLOOKUP(B41,Assemblies!$B$3:$F$200,3,FALSE))</f>
        <v>0</v>
      </c>
      <c r="U41" s="627">
        <f t="shared" si="7"/>
        <v>0</v>
      </c>
      <c r="V41" s="628">
        <f t="shared" si="8"/>
        <v>0</v>
      </c>
      <c r="W41" s="628">
        <f t="shared" si="9"/>
        <v>0</v>
      </c>
      <c r="X41" s="628">
        <f t="shared" si="10"/>
        <v>0</v>
      </c>
      <c r="Y41" s="626">
        <f t="shared" si="4"/>
        <v>0</v>
      </c>
      <c r="Z41" s="681" t="s">
        <v>450</v>
      </c>
      <c r="AA41" s="521">
        <f t="shared" si="11"/>
        <v>0</v>
      </c>
      <c r="AB41" s="522">
        <f t="shared" si="12"/>
        <v>0</v>
      </c>
    </row>
    <row r="42" spans="1:28" s="522" customFormat="1">
      <c r="A42" s="650"/>
      <c r="B42" s="650"/>
      <c r="C42" s="634"/>
      <c r="D42" s="635"/>
      <c r="E42" s="756">
        <f>IF(B42="",0,VLOOKUP(B42,Assemblies!$B$3:$F$200,2,FALSE))</f>
        <v>0</v>
      </c>
      <c r="F42" s="668">
        <f>IF(B42="",0,VLOOKUP(B42,Assemblies!$B$3:$H$200,6,FALSE))</f>
        <v>0</v>
      </c>
      <c r="G42" s="636"/>
      <c r="H42" s="634"/>
      <c r="I42" s="745"/>
      <c r="J42" s="637"/>
      <c r="K42" s="636"/>
      <c r="L42" s="765"/>
      <c r="M42" s="642"/>
      <c r="N42" s="647">
        <f>IF(M42="",0,VLOOKUP(M42,CntrlAssembly!$A$3:$B$200,2,FALSE))</f>
        <v>0</v>
      </c>
      <c r="O42" s="648">
        <f>IF(M42="",0,VLOOKUP(M42,CntrlAssembly!$A$3:$C$200,3,FALSE))</f>
        <v>0</v>
      </c>
      <c r="P42" s="640"/>
      <c r="Q42" s="641"/>
      <c r="R42" s="639"/>
      <c r="S42" s="495">
        <f>IF(B42="",0,VLOOKUP(B42,Assemblies!$B$3:$F$200,4,FALSE))+P42*IF(B42="",0.5,VLOOKUP(B42,Assemblies!$B$3:$F$200,5,FALSE))</f>
        <v>0</v>
      </c>
      <c r="T42" s="519">
        <f>IF(B42="",0,VLOOKUP(B42,Assemblies!$B$3:$F$200,3,FALSE))</f>
        <v>0</v>
      </c>
      <c r="U42" s="627">
        <f t="shared" si="7"/>
        <v>0</v>
      </c>
      <c r="V42" s="628">
        <f t="shared" si="8"/>
        <v>0</v>
      </c>
      <c r="W42" s="628">
        <f t="shared" si="9"/>
        <v>0</v>
      </c>
      <c r="X42" s="628">
        <f t="shared" si="10"/>
        <v>0</v>
      </c>
      <c r="Y42" s="626">
        <f t="shared" si="4"/>
        <v>0</v>
      </c>
      <c r="Z42" s="681" t="s">
        <v>450</v>
      </c>
      <c r="AA42" s="521">
        <f t="shared" si="11"/>
        <v>0</v>
      </c>
      <c r="AB42" s="522">
        <f t="shared" si="12"/>
        <v>0</v>
      </c>
    </row>
    <row r="43" spans="1:28" s="522" customFormat="1">
      <c r="A43" s="653"/>
      <c r="B43" s="653"/>
      <c r="C43" s="634"/>
      <c r="D43" s="635"/>
      <c r="E43" s="756">
        <f>IF(B43="",0,VLOOKUP(B43,Assemblies!$B$3:$F$200,2,FALSE))</f>
        <v>0</v>
      </c>
      <c r="F43" s="668">
        <f>IF(B43="",0,VLOOKUP(B43,Assemblies!$B$3:$H$200,6,FALSE))</f>
        <v>0</v>
      </c>
      <c r="G43" s="636"/>
      <c r="H43" s="634"/>
      <c r="I43" s="745"/>
      <c r="J43" s="637"/>
      <c r="K43" s="636"/>
      <c r="L43" s="765"/>
      <c r="M43" s="645"/>
      <c r="N43" s="647">
        <f>IF(M43="",0,VLOOKUP(M43,CntrlAssembly!$A$3:$B$200,2,FALSE))</f>
        <v>0</v>
      </c>
      <c r="O43" s="648">
        <f>IF(M43="",0,VLOOKUP(M43,CntrlAssembly!$A$3:$C$200,3,FALSE))</f>
        <v>0</v>
      </c>
      <c r="P43" s="640"/>
      <c r="Q43" s="641"/>
      <c r="R43" s="639"/>
      <c r="S43" s="495">
        <f>IF(B43="",0,VLOOKUP(B43,Assemblies!$B$3:$F$200,4,FALSE))+P43*IF(B43="",0.5,VLOOKUP(B43,Assemblies!$B$3:$F$200,5,FALSE))</f>
        <v>0</v>
      </c>
      <c r="T43" s="519">
        <f>IF(B43="",0,VLOOKUP(B43,Assemblies!$B$3:$F$200,3,FALSE))</f>
        <v>0</v>
      </c>
      <c r="U43" s="627">
        <f t="shared" si="7"/>
        <v>0</v>
      </c>
      <c r="V43" s="628">
        <f t="shared" si="8"/>
        <v>0</v>
      </c>
      <c r="W43" s="628">
        <f t="shared" si="9"/>
        <v>0</v>
      </c>
      <c r="X43" s="628">
        <f t="shared" si="10"/>
        <v>0</v>
      </c>
      <c r="Y43" s="626">
        <f t="shared" si="4"/>
        <v>0</v>
      </c>
      <c r="Z43" s="682" t="s">
        <v>450</v>
      </c>
      <c r="AA43" s="521">
        <f t="shared" si="11"/>
        <v>0</v>
      </c>
      <c r="AB43" s="522">
        <f t="shared" si="12"/>
        <v>0</v>
      </c>
    </row>
    <row r="44" spans="1:28" s="522" customFormat="1">
      <c r="A44" s="653"/>
      <c r="B44" s="650"/>
      <c r="C44" s="634"/>
      <c r="D44" s="635"/>
      <c r="E44" s="756">
        <f>IF(B44="",0,VLOOKUP(B44,Assemblies!$B$3:$F$200,2,FALSE))</f>
        <v>0</v>
      </c>
      <c r="F44" s="668">
        <f>IF(B44="",0,VLOOKUP(B44,Assemblies!$B$3:$H$200,6,FALSE))</f>
        <v>0</v>
      </c>
      <c r="G44" s="636"/>
      <c r="H44" s="634"/>
      <c r="I44" s="745"/>
      <c r="J44" s="637"/>
      <c r="K44" s="636"/>
      <c r="L44" s="765"/>
      <c r="M44" s="645"/>
      <c r="N44" s="647">
        <f>IF(M44="",0,VLOOKUP(M44,CntrlAssembly!$A$3:$B$200,2,FALSE))</f>
        <v>0</v>
      </c>
      <c r="O44" s="648">
        <f>IF(M44="",0,VLOOKUP(M44,CntrlAssembly!$A$3:$C$200,3,FALSE))</f>
        <v>0</v>
      </c>
      <c r="P44" s="640"/>
      <c r="Q44" s="641"/>
      <c r="R44" s="639"/>
      <c r="S44" s="495">
        <f>IF(B44="",0,VLOOKUP(B44,Assemblies!$B$3:$F$200,4,FALSE))+P44*IF(B44="",0.5,VLOOKUP(B44,Assemblies!$B$3:$F$200,5,FALSE))</f>
        <v>0</v>
      </c>
      <c r="T44" s="519">
        <f>IF(B44="",0,VLOOKUP(B44,Assemblies!$B$3:$F$200,3,FALSE))</f>
        <v>0</v>
      </c>
      <c r="U44" s="627">
        <f t="shared" si="7"/>
        <v>0</v>
      </c>
      <c r="V44" s="628">
        <f t="shared" si="8"/>
        <v>0</v>
      </c>
      <c r="W44" s="628">
        <f t="shared" si="9"/>
        <v>0</v>
      </c>
      <c r="X44" s="628">
        <f t="shared" si="10"/>
        <v>0</v>
      </c>
      <c r="Y44" s="626">
        <f t="shared" si="4"/>
        <v>0</v>
      </c>
      <c r="Z44" s="681" t="s">
        <v>450</v>
      </c>
      <c r="AA44" s="521">
        <f t="shared" si="11"/>
        <v>0</v>
      </c>
      <c r="AB44" s="522">
        <f t="shared" si="12"/>
        <v>0</v>
      </c>
    </row>
    <row r="45" spans="1:28" s="522" customFormat="1">
      <c r="A45" s="650"/>
      <c r="B45" s="650"/>
      <c r="C45" s="634"/>
      <c r="D45" s="635"/>
      <c r="E45" s="756">
        <f>IF(B45="",0,VLOOKUP(B45,Assemblies!$B$3:$F$200,2,FALSE))</f>
        <v>0</v>
      </c>
      <c r="F45" s="668">
        <f>IF(B45="",0,VLOOKUP(B45,Assemblies!$B$3:$H$200,6,FALSE))</f>
        <v>0</v>
      </c>
      <c r="G45" s="636"/>
      <c r="H45" s="634"/>
      <c r="I45" s="745"/>
      <c r="J45" s="637"/>
      <c r="K45" s="636"/>
      <c r="L45" s="765"/>
      <c r="M45" s="642"/>
      <c r="N45" s="647">
        <f>IF(M45="",0,VLOOKUP(M45,CntrlAssembly!$A$3:$B$200,2,FALSE))</f>
        <v>0</v>
      </c>
      <c r="O45" s="648">
        <f>IF(M45="",0,VLOOKUP(M45,CntrlAssembly!$A$3:$C$200,3,FALSE))</f>
        <v>0</v>
      </c>
      <c r="P45" s="640"/>
      <c r="Q45" s="641"/>
      <c r="R45" s="639"/>
      <c r="S45" s="495">
        <f>IF(B45="",0,VLOOKUP(B45,Assemblies!$B$3:$F$200,4,FALSE))+P45*IF(B45="",0.5,VLOOKUP(B45,Assemblies!$B$3:$F$200,5,FALSE))</f>
        <v>0</v>
      </c>
      <c r="T45" s="519">
        <f>IF(B45="",0,VLOOKUP(B45,Assemblies!$B$3:$F$200,3,FALSE))</f>
        <v>0</v>
      </c>
      <c r="U45" s="627">
        <f t="shared" si="7"/>
        <v>0</v>
      </c>
      <c r="V45" s="628">
        <f t="shared" si="8"/>
        <v>0</v>
      </c>
      <c r="W45" s="628">
        <f t="shared" si="9"/>
        <v>0</v>
      </c>
      <c r="X45" s="628">
        <f t="shared" si="10"/>
        <v>0</v>
      </c>
      <c r="Y45" s="626">
        <f t="shared" si="4"/>
        <v>0</v>
      </c>
      <c r="Z45" s="681" t="s">
        <v>450</v>
      </c>
      <c r="AA45" s="521">
        <f t="shared" si="11"/>
        <v>0</v>
      </c>
      <c r="AB45" s="522">
        <f t="shared" si="12"/>
        <v>0</v>
      </c>
    </row>
    <row r="46" spans="1:28" s="522" customFormat="1">
      <c r="A46" s="655"/>
      <c r="B46" s="650"/>
      <c r="C46" s="634"/>
      <c r="D46" s="635"/>
      <c r="E46" s="756">
        <f>IF(B46="",0,VLOOKUP(B46,Assemblies!$B$3:$F$200,2,FALSE))</f>
        <v>0</v>
      </c>
      <c r="F46" s="668">
        <f>IF(B46="",0,VLOOKUP(B46,Assemblies!$B$3:$H$200,6,FALSE))</f>
        <v>0</v>
      </c>
      <c r="G46" s="636"/>
      <c r="H46" s="634"/>
      <c r="I46" s="745"/>
      <c r="J46" s="637"/>
      <c r="K46" s="636"/>
      <c r="L46" s="765"/>
      <c r="M46" s="642"/>
      <c r="N46" s="647">
        <f>IF(M46="",0,VLOOKUP(M46,CntrlAssembly!$A$3:$B$200,2,FALSE))</f>
        <v>0</v>
      </c>
      <c r="O46" s="648">
        <f>IF(M46="",0,VLOOKUP(M46,CntrlAssembly!$A$3:$C$200,3,FALSE))</f>
        <v>0</v>
      </c>
      <c r="P46" s="640"/>
      <c r="Q46" s="641"/>
      <c r="R46" s="639"/>
      <c r="S46" s="495">
        <f>IF(B46="",0,VLOOKUP(B46,Assemblies!$B$3:$F$200,4,FALSE))+P46*IF(B46="",0.5,VLOOKUP(B46,Assemblies!$B$3:$F$200,5,FALSE))</f>
        <v>0</v>
      </c>
      <c r="T46" s="519">
        <f>IF(B46="",0,VLOOKUP(B46,Assemblies!$B$3:$F$200,3,FALSE))</f>
        <v>0</v>
      </c>
      <c r="U46" s="627">
        <f t="shared" si="7"/>
        <v>0</v>
      </c>
      <c r="V46" s="628">
        <f t="shared" si="8"/>
        <v>0</v>
      </c>
      <c r="W46" s="628">
        <f t="shared" si="9"/>
        <v>0</v>
      </c>
      <c r="X46" s="628">
        <f t="shared" si="10"/>
        <v>0</v>
      </c>
      <c r="Y46" s="626">
        <f t="shared" si="4"/>
        <v>0</v>
      </c>
      <c r="Z46" s="681" t="s">
        <v>450</v>
      </c>
      <c r="AA46" s="521">
        <f t="shared" si="11"/>
        <v>0</v>
      </c>
      <c r="AB46" s="522">
        <f t="shared" si="12"/>
        <v>0</v>
      </c>
    </row>
    <row r="47" spans="1:28" s="522" customFormat="1">
      <c r="A47" s="652"/>
      <c r="B47" s="654"/>
      <c r="C47" s="634"/>
      <c r="D47" s="635"/>
      <c r="E47" s="756">
        <f>IF(B47="",0,VLOOKUP(B47,Assemblies!$B$3:$F$200,2,FALSE))</f>
        <v>0</v>
      </c>
      <c r="F47" s="668">
        <f>IF(B47="",0,VLOOKUP(B47,Assemblies!$B$3:$H$200,6,FALSE))</f>
        <v>0</v>
      </c>
      <c r="G47" s="636"/>
      <c r="H47" s="634"/>
      <c r="I47" s="745"/>
      <c r="J47" s="637"/>
      <c r="K47" s="636"/>
      <c r="L47" s="765"/>
      <c r="M47" s="638"/>
      <c r="N47" s="647">
        <f>IF(M47="",0,VLOOKUP(M47,CntrlAssembly!$A$3:$B$200,2,FALSE))</f>
        <v>0</v>
      </c>
      <c r="O47" s="648">
        <f>IF(M47="",0,VLOOKUP(M47,CntrlAssembly!$A$3:$C$200,3,FALSE))</f>
        <v>0</v>
      </c>
      <c r="P47" s="640"/>
      <c r="Q47" s="641"/>
      <c r="R47" s="639"/>
      <c r="S47" s="495">
        <f>IF(B47="",0,VLOOKUP(B47,Assemblies!$B$3:$F$200,4,FALSE))+P47*IF(B47="",0.5,VLOOKUP(B47,Assemblies!$B$3:$F$200,5,FALSE))</f>
        <v>0</v>
      </c>
      <c r="T47" s="519">
        <f>IF(B47="",0,VLOOKUP(B47,Assemblies!$B$3:$F$200,3,FALSE))</f>
        <v>0</v>
      </c>
      <c r="U47" s="627">
        <f t="shared" si="7"/>
        <v>0</v>
      </c>
      <c r="V47" s="628">
        <f t="shared" si="8"/>
        <v>0</v>
      </c>
      <c r="W47" s="628">
        <f t="shared" si="9"/>
        <v>0</v>
      </c>
      <c r="X47" s="628">
        <f t="shared" si="10"/>
        <v>0</v>
      </c>
      <c r="Y47" s="626">
        <f t="shared" si="4"/>
        <v>0</v>
      </c>
      <c r="Z47" s="681" t="s">
        <v>450</v>
      </c>
      <c r="AA47" s="521">
        <f t="shared" si="11"/>
        <v>0</v>
      </c>
      <c r="AB47" s="522">
        <f t="shared" si="12"/>
        <v>0</v>
      </c>
    </row>
    <row r="48" spans="1:28" s="522" customFormat="1">
      <c r="A48" s="653"/>
      <c r="B48" s="650"/>
      <c r="C48" s="634"/>
      <c r="D48" s="635"/>
      <c r="E48" s="756">
        <f>IF(B48="",0,VLOOKUP(B48,Assemblies!$B$3:$F$200,2,FALSE))</f>
        <v>0</v>
      </c>
      <c r="F48" s="668">
        <f>IF(B48="",0,VLOOKUP(B48,Assemblies!$B$3:$H$200,6,FALSE))</f>
        <v>0</v>
      </c>
      <c r="G48" s="636"/>
      <c r="H48" s="634"/>
      <c r="I48" s="745"/>
      <c r="J48" s="637"/>
      <c r="K48" s="636"/>
      <c r="L48" s="765"/>
      <c r="M48" s="642"/>
      <c r="N48" s="647">
        <f>IF(M48="",0,VLOOKUP(M48,CntrlAssembly!$A$3:$B$200,2,FALSE))</f>
        <v>0</v>
      </c>
      <c r="O48" s="648">
        <f>IF(M48="",0,VLOOKUP(M48,CntrlAssembly!$A$3:$C$200,3,FALSE))</f>
        <v>0</v>
      </c>
      <c r="P48" s="640"/>
      <c r="Q48" s="641"/>
      <c r="R48" s="639"/>
      <c r="S48" s="495">
        <f>IF(B48="",0,VLOOKUP(B48,Assemblies!$B$3:$F$200,4,FALSE))+P48*IF(B48="",0.5,VLOOKUP(B48,Assemblies!$B$3:$F$200,5,FALSE))</f>
        <v>0</v>
      </c>
      <c r="T48" s="519">
        <f>IF(B48="",0,VLOOKUP(B48,Assemblies!$B$3:$F$200,3,FALSE))</f>
        <v>0</v>
      </c>
      <c r="U48" s="627">
        <f t="shared" si="7"/>
        <v>0</v>
      </c>
      <c r="V48" s="628">
        <f t="shared" si="8"/>
        <v>0</v>
      </c>
      <c r="W48" s="628">
        <f t="shared" si="9"/>
        <v>0</v>
      </c>
      <c r="X48" s="628">
        <f t="shared" si="10"/>
        <v>0</v>
      </c>
      <c r="Y48" s="626">
        <f t="shared" si="4"/>
        <v>0</v>
      </c>
      <c r="Z48" s="681" t="s">
        <v>450</v>
      </c>
      <c r="AA48" s="521">
        <f t="shared" si="11"/>
        <v>0</v>
      </c>
      <c r="AB48" s="522">
        <f t="shared" si="12"/>
        <v>0</v>
      </c>
    </row>
    <row r="49" spans="1:28" s="522" customFormat="1">
      <c r="A49" s="653"/>
      <c r="B49" s="650"/>
      <c r="C49" s="634"/>
      <c r="D49" s="635"/>
      <c r="E49" s="756">
        <f>IF(B49="",0,VLOOKUP(B49,Assemblies!$B$3:$F$200,2,FALSE))</f>
        <v>0</v>
      </c>
      <c r="F49" s="668">
        <f>IF(B49="",0,VLOOKUP(B49,Assemblies!$B$3:$H$200,6,FALSE))</f>
        <v>0</v>
      </c>
      <c r="G49" s="636"/>
      <c r="H49" s="634"/>
      <c r="I49" s="745"/>
      <c r="J49" s="637"/>
      <c r="K49" s="636"/>
      <c r="L49" s="765"/>
      <c r="M49" s="638"/>
      <c r="N49" s="647">
        <f>IF(M49="",0,VLOOKUP(M49,CntrlAssembly!$A$3:$B$200,2,FALSE))</f>
        <v>0</v>
      </c>
      <c r="O49" s="648">
        <f>IF(M49="",0,VLOOKUP(M49,CntrlAssembly!$A$3:$C$200,3,FALSE))</f>
        <v>0</v>
      </c>
      <c r="P49" s="640"/>
      <c r="Q49" s="641"/>
      <c r="R49" s="639"/>
      <c r="S49" s="495">
        <f>IF(B49="",0,VLOOKUP(B49,Assemblies!$B$3:$F$200,4,FALSE))+P49*IF(B49="",0.5,VLOOKUP(B49,Assemblies!$B$3:$F$200,5,FALSE))</f>
        <v>0</v>
      </c>
      <c r="T49" s="519">
        <f>IF(B49="",0,VLOOKUP(B49,Assemblies!$B$3:$F$200,3,FALSE))</f>
        <v>0</v>
      </c>
      <c r="U49" s="627">
        <f t="shared" si="7"/>
        <v>0</v>
      </c>
      <c r="V49" s="628">
        <f t="shared" si="8"/>
        <v>0</v>
      </c>
      <c r="W49" s="628">
        <f t="shared" si="9"/>
        <v>0</v>
      </c>
      <c r="X49" s="628">
        <f t="shared" si="10"/>
        <v>0</v>
      </c>
      <c r="Y49" s="626">
        <f t="shared" si="4"/>
        <v>0</v>
      </c>
      <c r="Z49" s="681" t="s">
        <v>450</v>
      </c>
      <c r="AA49" s="521">
        <f t="shared" si="11"/>
        <v>0</v>
      </c>
      <c r="AB49" s="522">
        <f t="shared" si="12"/>
        <v>0</v>
      </c>
    </row>
    <row r="50" spans="1:28" s="522" customFormat="1">
      <c r="A50" s="652"/>
      <c r="B50" s="654"/>
      <c r="C50" s="634"/>
      <c r="D50" s="635"/>
      <c r="E50" s="756">
        <f>IF(B50="",0,VLOOKUP(B50,Assemblies!$B$3:$F$200,2,FALSE))</f>
        <v>0</v>
      </c>
      <c r="F50" s="668">
        <f>IF(B50="",0,VLOOKUP(B50,Assemblies!$B$3:$H$200,6,FALSE))</f>
        <v>0</v>
      </c>
      <c r="G50" s="636"/>
      <c r="H50" s="634"/>
      <c r="I50" s="745"/>
      <c r="J50" s="637"/>
      <c r="K50" s="636"/>
      <c r="L50" s="765"/>
      <c r="M50" s="638"/>
      <c r="N50" s="647">
        <f>IF(M50="",0,VLOOKUP(M50,CntrlAssembly!$A$3:$B$200,2,FALSE))</f>
        <v>0</v>
      </c>
      <c r="O50" s="648">
        <f>IF(M50="",0,VLOOKUP(M50,CntrlAssembly!$A$3:$C$200,3,FALSE))</f>
        <v>0</v>
      </c>
      <c r="P50" s="640"/>
      <c r="Q50" s="641"/>
      <c r="R50" s="639"/>
      <c r="S50" s="495">
        <f>IF(B50="",0,VLOOKUP(B50,Assemblies!$B$3:$F$200,4,FALSE))+P50*IF(B50="",0.5,VLOOKUP(B50,Assemblies!$B$3:$F$200,5,FALSE))</f>
        <v>0</v>
      </c>
      <c r="T50" s="519">
        <f>IF(B50="",0,VLOOKUP(B50,Assemblies!$B$3:$F$200,3,FALSE))</f>
        <v>0</v>
      </c>
      <c r="U50" s="627">
        <f t="shared" si="7"/>
        <v>0</v>
      </c>
      <c r="V50" s="628">
        <f t="shared" si="8"/>
        <v>0</v>
      </c>
      <c r="W50" s="628">
        <f t="shared" si="9"/>
        <v>0</v>
      </c>
      <c r="X50" s="628">
        <f t="shared" si="10"/>
        <v>0</v>
      </c>
      <c r="Y50" s="626">
        <f t="shared" si="4"/>
        <v>0</v>
      </c>
      <c r="Z50" s="681" t="s">
        <v>450</v>
      </c>
      <c r="AA50" s="521">
        <f t="shared" si="11"/>
        <v>0</v>
      </c>
      <c r="AB50" s="522">
        <f t="shared" si="12"/>
        <v>0</v>
      </c>
    </row>
    <row r="51" spans="1:28" s="522" customFormat="1">
      <c r="A51" s="650"/>
      <c r="B51" s="654"/>
      <c r="C51" s="634"/>
      <c r="D51" s="635"/>
      <c r="E51" s="756">
        <f>IF(B51="",0,VLOOKUP(B51,Assemblies!$B$3:$F$200,2,FALSE))</f>
        <v>0</v>
      </c>
      <c r="F51" s="668">
        <f>IF(B51="",0,VLOOKUP(B51,Assemblies!$B$3:$H$200,6,FALSE))</f>
        <v>0</v>
      </c>
      <c r="G51" s="636"/>
      <c r="H51" s="634"/>
      <c r="I51" s="745"/>
      <c r="J51" s="637"/>
      <c r="K51" s="636"/>
      <c r="L51" s="765"/>
      <c r="M51" s="642"/>
      <c r="N51" s="647">
        <f>IF(M51="",0,VLOOKUP(M51,CntrlAssembly!$A$3:$B$200,2,FALSE))</f>
        <v>0</v>
      </c>
      <c r="O51" s="648">
        <f>IF(M51="",0,VLOOKUP(M51,CntrlAssembly!$A$3:$C$200,3,FALSE))</f>
        <v>0</v>
      </c>
      <c r="P51" s="640"/>
      <c r="Q51" s="641"/>
      <c r="R51" s="639"/>
      <c r="S51" s="495">
        <f>IF(B51="",0,VLOOKUP(B51,Assemblies!$B$3:$F$200,4,FALSE))+P51*IF(B51="",0.5,VLOOKUP(B51,Assemblies!$B$3:$F$200,5,FALSE))</f>
        <v>0</v>
      </c>
      <c r="T51" s="519">
        <f>IF(B51="",0,VLOOKUP(B51,Assemblies!$B$3:$F$200,3,FALSE))</f>
        <v>0</v>
      </c>
      <c r="U51" s="627">
        <f t="shared" ref="U51:U82" si="13">(D51+G51+K51+N51+P51*Q51)*C51</f>
        <v>0</v>
      </c>
      <c r="V51" s="628">
        <f t="shared" ref="V51:V82" si="14">(E51+I51+P51*R51)*C51</f>
        <v>0</v>
      </c>
      <c r="W51" s="628">
        <f t="shared" ref="W51:W82" si="15">H51*C51</f>
        <v>0</v>
      </c>
      <c r="X51" s="628">
        <f t="shared" ref="X51:X82" si="16">(L51+O51+T51+S51)*C51</f>
        <v>0</v>
      </c>
      <c r="Y51" s="626">
        <f t="shared" si="4"/>
        <v>0</v>
      </c>
      <c r="Z51" s="681" t="s">
        <v>450</v>
      </c>
      <c r="AA51" s="521">
        <f t="shared" ref="AA51:AA82" si="17">C51*(D51+N51)*0.03</f>
        <v>0</v>
      </c>
      <c r="AB51" s="522">
        <f t="shared" ref="AB51:AB82" si="18">C51*(E51+I51)/16</f>
        <v>0</v>
      </c>
    </row>
    <row r="52" spans="1:28" s="522" customFormat="1">
      <c r="A52" s="652"/>
      <c r="B52" s="650"/>
      <c r="C52" s="634"/>
      <c r="D52" s="635"/>
      <c r="E52" s="756">
        <f>IF(B52="",0,VLOOKUP(B52,Assemblies!$B$3:$F$200,2,FALSE))</f>
        <v>0</v>
      </c>
      <c r="F52" s="668">
        <f>IF(B52="",0,VLOOKUP(B52,Assemblies!$B$3:$H$200,6,FALSE))</f>
        <v>0</v>
      </c>
      <c r="G52" s="636"/>
      <c r="H52" s="634"/>
      <c r="I52" s="745"/>
      <c r="J52" s="637"/>
      <c r="K52" s="636"/>
      <c r="L52" s="765"/>
      <c r="M52" s="642"/>
      <c r="N52" s="647">
        <f>IF(M52="",0,VLOOKUP(M52,CntrlAssembly!$A$3:$B$200,2,FALSE))</f>
        <v>0</v>
      </c>
      <c r="O52" s="648">
        <f>IF(M52="",0,VLOOKUP(M52,CntrlAssembly!$A$3:$C$200,3,FALSE))</f>
        <v>0</v>
      </c>
      <c r="P52" s="640"/>
      <c r="Q52" s="641"/>
      <c r="R52" s="639"/>
      <c r="S52" s="495">
        <f>IF(B52="",0,VLOOKUP(B52,Assemblies!$B$3:$F$200,4,FALSE))+P52*IF(B52="",0.5,VLOOKUP(B52,Assemblies!$B$3:$F$200,5,FALSE))</f>
        <v>0</v>
      </c>
      <c r="T52" s="519">
        <f>IF(B52="",0,VLOOKUP(B52,Assemblies!$B$3:$F$200,3,FALSE))</f>
        <v>0</v>
      </c>
      <c r="U52" s="627">
        <f t="shared" si="13"/>
        <v>0</v>
      </c>
      <c r="V52" s="628">
        <f t="shared" si="14"/>
        <v>0</v>
      </c>
      <c r="W52" s="628">
        <f t="shared" si="15"/>
        <v>0</v>
      </c>
      <c r="X52" s="628">
        <f t="shared" si="16"/>
        <v>0</v>
      </c>
      <c r="Y52" s="626">
        <f t="shared" si="4"/>
        <v>0</v>
      </c>
      <c r="Z52" s="681" t="s">
        <v>450</v>
      </c>
      <c r="AA52" s="521">
        <f t="shared" si="17"/>
        <v>0</v>
      </c>
      <c r="AB52" s="522">
        <f t="shared" si="18"/>
        <v>0</v>
      </c>
    </row>
    <row r="53" spans="1:28" s="522" customFormat="1">
      <c r="A53" s="652"/>
      <c r="B53" s="654"/>
      <c r="C53" s="634"/>
      <c r="D53" s="635"/>
      <c r="E53" s="756">
        <f>IF(B53="",0,VLOOKUP(B53,Assemblies!$B$3:$F$200,2,FALSE))</f>
        <v>0</v>
      </c>
      <c r="F53" s="668">
        <f>IF(B53="",0,VLOOKUP(B53,Assemblies!$B$3:$H$200,6,FALSE))</f>
        <v>0</v>
      </c>
      <c r="G53" s="636"/>
      <c r="H53" s="634"/>
      <c r="I53" s="745"/>
      <c r="J53" s="637"/>
      <c r="K53" s="636"/>
      <c r="L53" s="765"/>
      <c r="M53" s="642"/>
      <c r="N53" s="647">
        <f>IF(M53="",0,VLOOKUP(M53,CntrlAssembly!$A$3:$B$200,2,FALSE))</f>
        <v>0</v>
      </c>
      <c r="O53" s="648">
        <f>IF(M53="",0,VLOOKUP(M53,CntrlAssembly!$A$3:$C$200,3,FALSE))</f>
        <v>0</v>
      </c>
      <c r="P53" s="640"/>
      <c r="Q53" s="641"/>
      <c r="R53" s="639"/>
      <c r="S53" s="495">
        <f>IF(B53="",0,VLOOKUP(B53,Assemblies!$B$3:$F$200,4,FALSE))+P53*IF(B53="",0.5,VLOOKUP(B53,Assemblies!$B$3:$F$200,5,FALSE))</f>
        <v>0</v>
      </c>
      <c r="T53" s="519">
        <f>IF(B53="",0,VLOOKUP(B53,Assemblies!$B$3:$F$200,3,FALSE))</f>
        <v>0</v>
      </c>
      <c r="U53" s="627">
        <f t="shared" si="13"/>
        <v>0</v>
      </c>
      <c r="V53" s="628">
        <f t="shared" si="14"/>
        <v>0</v>
      </c>
      <c r="W53" s="628">
        <f t="shared" si="15"/>
        <v>0</v>
      </c>
      <c r="X53" s="628">
        <f t="shared" si="16"/>
        <v>0</v>
      </c>
      <c r="Y53" s="626">
        <f t="shared" ref="Y53:Y104" si="19">C53*(J53+F53)</f>
        <v>0</v>
      </c>
      <c r="Z53" s="681" t="s">
        <v>450</v>
      </c>
      <c r="AA53" s="521">
        <f t="shared" si="17"/>
        <v>0</v>
      </c>
      <c r="AB53" s="522">
        <f t="shared" si="18"/>
        <v>0</v>
      </c>
    </row>
    <row r="54" spans="1:28" s="522" customFormat="1">
      <c r="A54" s="650"/>
      <c r="B54" s="650"/>
      <c r="C54" s="634"/>
      <c r="D54" s="635"/>
      <c r="E54" s="756">
        <f>IF(B54="",0,VLOOKUP(B54,Assemblies!$B$3:$F$200,2,FALSE))</f>
        <v>0</v>
      </c>
      <c r="F54" s="668">
        <f>IF(B54="",0,VLOOKUP(B54,Assemblies!$B$3:$H$200,6,FALSE))</f>
        <v>0</v>
      </c>
      <c r="G54" s="636"/>
      <c r="H54" s="634"/>
      <c r="I54" s="745"/>
      <c r="J54" s="637"/>
      <c r="K54" s="636"/>
      <c r="L54" s="765"/>
      <c r="M54" s="638"/>
      <c r="N54" s="647">
        <f>IF(M54="",0,VLOOKUP(M54,CntrlAssembly!$A$3:$B$200,2,FALSE))</f>
        <v>0</v>
      </c>
      <c r="O54" s="648">
        <f>IF(M54="",0,VLOOKUP(M54,CntrlAssembly!$A$3:$C$200,3,FALSE))</f>
        <v>0</v>
      </c>
      <c r="P54" s="640"/>
      <c r="Q54" s="641"/>
      <c r="R54" s="639"/>
      <c r="S54" s="495">
        <f>IF(B54="",0,VLOOKUP(B54,Assemblies!$B$3:$F$200,4,FALSE))+P54*IF(B54="",0.5,VLOOKUP(B54,Assemblies!$B$3:$F$200,5,FALSE))</f>
        <v>0</v>
      </c>
      <c r="T54" s="519">
        <f>IF(B54="",0,VLOOKUP(B54,Assemblies!$B$3:$F$200,3,FALSE))</f>
        <v>0</v>
      </c>
      <c r="U54" s="627">
        <f t="shared" si="13"/>
        <v>0</v>
      </c>
      <c r="V54" s="628">
        <f t="shared" si="14"/>
        <v>0</v>
      </c>
      <c r="W54" s="628">
        <f t="shared" si="15"/>
        <v>0</v>
      </c>
      <c r="X54" s="628">
        <f t="shared" si="16"/>
        <v>0</v>
      </c>
      <c r="Y54" s="626">
        <f t="shared" si="19"/>
        <v>0</v>
      </c>
      <c r="Z54" s="681" t="s">
        <v>450</v>
      </c>
      <c r="AA54" s="521">
        <f t="shared" si="17"/>
        <v>0</v>
      </c>
      <c r="AB54" s="522">
        <f t="shared" si="18"/>
        <v>0</v>
      </c>
    </row>
    <row r="55" spans="1:28" s="522" customFormat="1">
      <c r="A55" s="652"/>
      <c r="B55" s="654"/>
      <c r="C55" s="634"/>
      <c r="D55" s="635"/>
      <c r="E55" s="756">
        <f>IF(B55="",0,VLOOKUP(B55,Assemblies!$B$3:$F$200,2,FALSE))</f>
        <v>0</v>
      </c>
      <c r="F55" s="668">
        <f>IF(B55="",0,VLOOKUP(B55,Assemblies!$B$3:$H$200,6,FALSE))</f>
        <v>0</v>
      </c>
      <c r="G55" s="636"/>
      <c r="H55" s="634"/>
      <c r="I55" s="745"/>
      <c r="J55" s="637"/>
      <c r="K55" s="636"/>
      <c r="L55" s="765"/>
      <c r="M55" s="638"/>
      <c r="N55" s="647">
        <f>IF(M55="",0,VLOOKUP(M55,CntrlAssembly!$A$3:$B$200,2,FALSE))</f>
        <v>0</v>
      </c>
      <c r="O55" s="648">
        <f>IF(M55="",0,VLOOKUP(M55,CntrlAssembly!$A$3:$C$200,3,FALSE))</f>
        <v>0</v>
      </c>
      <c r="P55" s="640"/>
      <c r="Q55" s="641"/>
      <c r="R55" s="639"/>
      <c r="S55" s="495">
        <f>IF(B55="",0,VLOOKUP(B55,Assemblies!$B$3:$F$200,4,FALSE))+P55*IF(B55="",0.5,VLOOKUP(B55,Assemblies!$B$3:$F$200,5,FALSE))</f>
        <v>0</v>
      </c>
      <c r="T55" s="519">
        <f>IF(B55="",0,VLOOKUP(B55,Assemblies!$B$3:$F$200,3,FALSE))</f>
        <v>0</v>
      </c>
      <c r="U55" s="627">
        <f t="shared" si="13"/>
        <v>0</v>
      </c>
      <c r="V55" s="628">
        <f t="shared" si="14"/>
        <v>0</v>
      </c>
      <c r="W55" s="628">
        <f t="shared" si="15"/>
        <v>0</v>
      </c>
      <c r="X55" s="628">
        <f t="shared" si="16"/>
        <v>0</v>
      </c>
      <c r="Y55" s="626">
        <f t="shared" si="19"/>
        <v>0</v>
      </c>
      <c r="Z55" s="681" t="s">
        <v>450</v>
      </c>
      <c r="AA55" s="521">
        <f t="shared" si="17"/>
        <v>0</v>
      </c>
      <c r="AB55" s="522">
        <f t="shared" si="18"/>
        <v>0</v>
      </c>
    </row>
    <row r="56" spans="1:28" s="522" customFormat="1">
      <c r="A56" s="656"/>
      <c r="B56" s="650"/>
      <c r="C56" s="634"/>
      <c r="D56" s="635"/>
      <c r="E56" s="756">
        <f>IF(B56="",0,VLOOKUP(B56,Assemblies!$B$3:$F$200,2,FALSE))</f>
        <v>0</v>
      </c>
      <c r="F56" s="668">
        <f>IF(B56="",0,VLOOKUP(B56,Assemblies!$B$3:$H$200,6,FALSE))</f>
        <v>0</v>
      </c>
      <c r="G56" s="636"/>
      <c r="H56" s="634"/>
      <c r="I56" s="745"/>
      <c r="J56" s="637"/>
      <c r="K56" s="636"/>
      <c r="L56" s="765"/>
      <c r="M56" s="642"/>
      <c r="N56" s="647">
        <f>IF(M56="",0,VLOOKUP(M56,CntrlAssembly!$A$3:$B$200,2,FALSE))</f>
        <v>0</v>
      </c>
      <c r="O56" s="648">
        <f>IF(M56="",0,VLOOKUP(M56,CntrlAssembly!$A$3:$C$200,3,FALSE))</f>
        <v>0</v>
      </c>
      <c r="P56" s="640"/>
      <c r="Q56" s="641"/>
      <c r="R56" s="639"/>
      <c r="S56" s="495">
        <f>IF(B56="",0,VLOOKUP(B56,Assemblies!$B$3:$F$200,4,FALSE))+P56*IF(B56="",0.5,VLOOKUP(B56,Assemblies!$B$3:$F$200,5,FALSE))</f>
        <v>0</v>
      </c>
      <c r="T56" s="519">
        <f>IF(B56="",0,VLOOKUP(B56,Assemblies!$B$3:$F$200,3,FALSE))</f>
        <v>0</v>
      </c>
      <c r="U56" s="627">
        <f t="shared" si="13"/>
        <v>0</v>
      </c>
      <c r="V56" s="628">
        <f t="shared" si="14"/>
        <v>0</v>
      </c>
      <c r="W56" s="628">
        <f t="shared" si="15"/>
        <v>0</v>
      </c>
      <c r="X56" s="628">
        <f t="shared" si="16"/>
        <v>0</v>
      </c>
      <c r="Y56" s="626">
        <f t="shared" si="19"/>
        <v>0</v>
      </c>
      <c r="Z56" s="681" t="s">
        <v>450</v>
      </c>
      <c r="AA56" s="521">
        <f t="shared" si="17"/>
        <v>0</v>
      </c>
      <c r="AB56" s="522">
        <f t="shared" si="18"/>
        <v>0</v>
      </c>
    </row>
    <row r="57" spans="1:28" s="522" customFormat="1">
      <c r="A57" s="652"/>
      <c r="B57" s="650"/>
      <c r="C57" s="634"/>
      <c r="D57" s="635"/>
      <c r="E57" s="756">
        <f>IF(B57="",0,VLOOKUP(B57,Assemblies!$B$3:$F$200,2,FALSE))</f>
        <v>0</v>
      </c>
      <c r="F57" s="668">
        <f>IF(B57="",0,VLOOKUP(B57,Assemblies!$B$3:$H$200,6,FALSE))</f>
        <v>0</v>
      </c>
      <c r="G57" s="636"/>
      <c r="H57" s="634"/>
      <c r="I57" s="745"/>
      <c r="J57" s="637"/>
      <c r="K57" s="636"/>
      <c r="L57" s="765"/>
      <c r="M57" s="638"/>
      <c r="N57" s="647">
        <f>IF(M57="",0,VLOOKUP(M57,CntrlAssembly!$A$3:$B$200,2,FALSE))</f>
        <v>0</v>
      </c>
      <c r="O57" s="648">
        <f>IF(M57="",0,VLOOKUP(M57,CntrlAssembly!$A$3:$C$200,3,FALSE))</f>
        <v>0</v>
      </c>
      <c r="P57" s="640"/>
      <c r="Q57" s="641"/>
      <c r="R57" s="639"/>
      <c r="S57" s="495">
        <f>IF(B57="",0,VLOOKUP(B57,Assemblies!$B$3:$F$200,4,FALSE))+P57*IF(B57="",0.5,VLOOKUP(B57,Assemblies!$B$3:$F$200,5,FALSE))</f>
        <v>0</v>
      </c>
      <c r="T57" s="519">
        <f>IF(B57="",0,VLOOKUP(B57,Assemblies!$B$3:$F$200,3,FALSE))</f>
        <v>0</v>
      </c>
      <c r="U57" s="627">
        <f t="shared" si="13"/>
        <v>0</v>
      </c>
      <c r="V57" s="628">
        <f t="shared" si="14"/>
        <v>0</v>
      </c>
      <c r="W57" s="628">
        <f t="shared" si="15"/>
        <v>0</v>
      </c>
      <c r="X57" s="628">
        <f t="shared" si="16"/>
        <v>0</v>
      </c>
      <c r="Y57" s="626">
        <f t="shared" si="19"/>
        <v>0</v>
      </c>
      <c r="Z57" s="681" t="s">
        <v>450</v>
      </c>
      <c r="AA57" s="521">
        <f t="shared" si="17"/>
        <v>0</v>
      </c>
      <c r="AB57" s="522">
        <f t="shared" si="18"/>
        <v>0</v>
      </c>
    </row>
    <row r="58" spans="1:28" s="522" customFormat="1">
      <c r="A58" s="652"/>
      <c r="B58" s="654"/>
      <c r="C58" s="634"/>
      <c r="D58" s="635"/>
      <c r="E58" s="756">
        <f>IF(B58="",0,VLOOKUP(B58,Assemblies!$B$3:$F$200,2,FALSE))</f>
        <v>0</v>
      </c>
      <c r="F58" s="668">
        <f>IF(B58="",0,VLOOKUP(B58,Assemblies!$B$3:$H$200,6,FALSE))</f>
        <v>0</v>
      </c>
      <c r="G58" s="636"/>
      <c r="H58" s="634"/>
      <c r="I58" s="745"/>
      <c r="J58" s="637"/>
      <c r="K58" s="636"/>
      <c r="L58" s="765"/>
      <c r="M58" s="638"/>
      <c r="N58" s="647">
        <f>IF(M58="",0,VLOOKUP(M58,CntrlAssembly!$A$3:$B$200,2,FALSE))</f>
        <v>0</v>
      </c>
      <c r="O58" s="648">
        <f>IF(M58="",0,VLOOKUP(M58,CntrlAssembly!$A$3:$C$200,3,FALSE))</f>
        <v>0</v>
      </c>
      <c r="P58" s="640"/>
      <c r="Q58" s="641"/>
      <c r="R58" s="639"/>
      <c r="S58" s="495">
        <f>IF(B58="",0,VLOOKUP(B58,Assemblies!$B$3:$F$200,4,FALSE))+P58*IF(B58="",0.5,VLOOKUP(B58,Assemblies!$B$3:$F$200,5,FALSE))</f>
        <v>0</v>
      </c>
      <c r="T58" s="519">
        <f>IF(B58="",0,VLOOKUP(B58,Assemblies!$B$3:$F$200,3,FALSE))</f>
        <v>0</v>
      </c>
      <c r="U58" s="627">
        <f t="shared" si="13"/>
        <v>0</v>
      </c>
      <c r="V58" s="628">
        <f t="shared" si="14"/>
        <v>0</v>
      </c>
      <c r="W58" s="628">
        <f t="shared" si="15"/>
        <v>0</v>
      </c>
      <c r="X58" s="628">
        <f t="shared" si="16"/>
        <v>0</v>
      </c>
      <c r="Y58" s="626">
        <f t="shared" si="19"/>
        <v>0</v>
      </c>
      <c r="Z58" s="681" t="s">
        <v>450</v>
      </c>
      <c r="AA58" s="521">
        <f t="shared" si="17"/>
        <v>0</v>
      </c>
      <c r="AB58" s="522">
        <f t="shared" si="18"/>
        <v>0</v>
      </c>
    </row>
    <row r="59" spans="1:28" s="522" customFormat="1">
      <c r="A59" s="650"/>
      <c r="B59" s="650"/>
      <c r="C59" s="634"/>
      <c r="D59" s="635"/>
      <c r="E59" s="756">
        <f>IF(B59="",0,VLOOKUP(B59,Assemblies!$B$3:$F$200,2,FALSE))</f>
        <v>0</v>
      </c>
      <c r="F59" s="668">
        <f>IF(B59="",0,VLOOKUP(B59,Assemblies!$B$3:$H$200,6,FALSE))</f>
        <v>0</v>
      </c>
      <c r="G59" s="636"/>
      <c r="H59" s="634"/>
      <c r="I59" s="745"/>
      <c r="J59" s="637"/>
      <c r="K59" s="636"/>
      <c r="L59" s="765"/>
      <c r="M59" s="642"/>
      <c r="N59" s="647">
        <f>IF(M59="",0,VLOOKUP(M59,CntrlAssembly!$A$3:$B$200,2,FALSE))</f>
        <v>0</v>
      </c>
      <c r="O59" s="648">
        <f>IF(M59="",0,VLOOKUP(M59,CntrlAssembly!$A$3:$C$200,3,FALSE))</f>
        <v>0</v>
      </c>
      <c r="P59" s="640"/>
      <c r="Q59" s="641"/>
      <c r="R59" s="639"/>
      <c r="S59" s="495">
        <f>IF(B59="",0,VLOOKUP(B59,Assemblies!$B$3:$F$200,4,FALSE))+P59*IF(B59="",0.5,VLOOKUP(B59,Assemblies!$B$3:$F$200,5,FALSE))</f>
        <v>0</v>
      </c>
      <c r="T59" s="519">
        <f>IF(B59="",0,VLOOKUP(B59,Assemblies!$B$3:$F$200,3,FALSE))</f>
        <v>0</v>
      </c>
      <c r="U59" s="627">
        <f t="shared" si="13"/>
        <v>0</v>
      </c>
      <c r="V59" s="628">
        <f t="shared" si="14"/>
        <v>0</v>
      </c>
      <c r="W59" s="628">
        <f t="shared" si="15"/>
        <v>0</v>
      </c>
      <c r="X59" s="628">
        <f t="shared" si="16"/>
        <v>0</v>
      </c>
      <c r="Y59" s="626">
        <f t="shared" si="19"/>
        <v>0</v>
      </c>
      <c r="Z59" s="681" t="s">
        <v>450</v>
      </c>
      <c r="AA59" s="521">
        <f t="shared" si="17"/>
        <v>0</v>
      </c>
      <c r="AB59" s="522">
        <f t="shared" si="18"/>
        <v>0</v>
      </c>
    </row>
    <row r="60" spans="1:28" s="522" customFormat="1">
      <c r="A60" s="652"/>
      <c r="B60" s="650"/>
      <c r="C60" s="634"/>
      <c r="D60" s="635"/>
      <c r="E60" s="756">
        <f>IF(B60="",0,VLOOKUP(B60,Assemblies!$B$3:$F$200,2,FALSE))</f>
        <v>0</v>
      </c>
      <c r="F60" s="668">
        <f>IF(B60="",0,VLOOKUP(B60,Assemblies!$B$3:$H$200,6,FALSE))</f>
        <v>0</v>
      </c>
      <c r="G60" s="636"/>
      <c r="H60" s="634"/>
      <c r="I60" s="745"/>
      <c r="J60" s="637"/>
      <c r="K60" s="636"/>
      <c r="L60" s="765"/>
      <c r="M60" s="638"/>
      <c r="N60" s="647">
        <f>IF(M60="",0,VLOOKUP(M60,CntrlAssembly!$A$3:$B$200,2,FALSE))</f>
        <v>0</v>
      </c>
      <c r="O60" s="648">
        <f>IF(M60="",0,VLOOKUP(M60,CntrlAssembly!$A$3:$C$200,3,FALSE))</f>
        <v>0</v>
      </c>
      <c r="P60" s="640"/>
      <c r="Q60" s="641"/>
      <c r="R60" s="639"/>
      <c r="S60" s="495">
        <f>IF(B60="",0,VLOOKUP(B60,Assemblies!$B$3:$F$200,4,FALSE))+P60*IF(B60="",0.5,VLOOKUP(B60,Assemblies!$B$3:$F$200,5,FALSE))</f>
        <v>0</v>
      </c>
      <c r="T60" s="519">
        <f>IF(B60="",0,VLOOKUP(B60,Assemblies!$B$3:$F$200,3,FALSE))</f>
        <v>0</v>
      </c>
      <c r="U60" s="627">
        <f t="shared" si="13"/>
        <v>0</v>
      </c>
      <c r="V60" s="628">
        <f t="shared" si="14"/>
        <v>0</v>
      </c>
      <c r="W60" s="628">
        <f t="shared" si="15"/>
        <v>0</v>
      </c>
      <c r="X60" s="628">
        <f t="shared" si="16"/>
        <v>0</v>
      </c>
      <c r="Y60" s="626">
        <f t="shared" si="19"/>
        <v>0</v>
      </c>
      <c r="Z60" s="681" t="s">
        <v>450</v>
      </c>
      <c r="AA60" s="521">
        <f t="shared" si="17"/>
        <v>0</v>
      </c>
      <c r="AB60" s="522">
        <f t="shared" si="18"/>
        <v>0</v>
      </c>
    </row>
    <row r="61" spans="1:28" s="522" customFormat="1">
      <c r="A61" s="652"/>
      <c r="B61" s="650"/>
      <c r="C61" s="634"/>
      <c r="D61" s="635"/>
      <c r="E61" s="756">
        <f>IF(B61="",0,VLOOKUP(B61,Assemblies!$B$3:$F$200,2,FALSE))</f>
        <v>0</v>
      </c>
      <c r="F61" s="668">
        <f>IF(B61="",0,VLOOKUP(B61,Assemblies!$B$3:$H$200,6,FALSE))</f>
        <v>0</v>
      </c>
      <c r="G61" s="636"/>
      <c r="H61" s="634"/>
      <c r="I61" s="745"/>
      <c r="J61" s="637"/>
      <c r="K61" s="636"/>
      <c r="L61" s="765"/>
      <c r="M61" s="642"/>
      <c r="N61" s="647">
        <f>IF(M61="",0,VLOOKUP(M61,CntrlAssembly!$A$3:$B$200,2,FALSE))</f>
        <v>0</v>
      </c>
      <c r="O61" s="648">
        <f>IF(M61="",0,VLOOKUP(M61,CntrlAssembly!$A$3:$C$200,3,FALSE))</f>
        <v>0</v>
      </c>
      <c r="P61" s="640"/>
      <c r="Q61" s="641"/>
      <c r="R61" s="639"/>
      <c r="S61" s="495">
        <f>IF(B61="",0,VLOOKUP(B61,Assemblies!$B$3:$F$200,4,FALSE))+P61*IF(B61="",0.5,VLOOKUP(B61,Assemblies!$B$3:$F$200,5,FALSE))</f>
        <v>0</v>
      </c>
      <c r="T61" s="519">
        <f>IF(B61="",0,VLOOKUP(B61,Assemblies!$B$3:$F$200,3,FALSE))</f>
        <v>0</v>
      </c>
      <c r="U61" s="627">
        <f t="shared" si="13"/>
        <v>0</v>
      </c>
      <c r="V61" s="628">
        <f t="shared" si="14"/>
        <v>0</v>
      </c>
      <c r="W61" s="628">
        <f t="shared" si="15"/>
        <v>0</v>
      </c>
      <c r="X61" s="628">
        <f t="shared" si="16"/>
        <v>0</v>
      </c>
      <c r="Y61" s="626">
        <f t="shared" si="19"/>
        <v>0</v>
      </c>
      <c r="Z61" s="681" t="s">
        <v>450</v>
      </c>
      <c r="AA61" s="521">
        <f t="shared" si="17"/>
        <v>0</v>
      </c>
      <c r="AB61" s="522">
        <f t="shared" si="18"/>
        <v>0</v>
      </c>
    </row>
    <row r="62" spans="1:28" s="522" customFormat="1">
      <c r="A62" s="650"/>
      <c r="B62" s="650"/>
      <c r="C62" s="634"/>
      <c r="D62" s="635"/>
      <c r="E62" s="756">
        <f>IF(B62="",0,VLOOKUP(B62,Assemblies!$B$3:$F$200,2,FALSE))</f>
        <v>0</v>
      </c>
      <c r="F62" s="668">
        <f>IF(B62="",0,VLOOKUP(B62,Assemblies!$B$3:$H$200,6,FALSE))</f>
        <v>0</v>
      </c>
      <c r="G62" s="636"/>
      <c r="H62" s="634"/>
      <c r="I62" s="745"/>
      <c r="J62" s="637"/>
      <c r="K62" s="636"/>
      <c r="L62" s="765"/>
      <c r="M62" s="638"/>
      <c r="N62" s="647">
        <f>IF(M62="",0,VLOOKUP(M62,CntrlAssembly!$A$3:$B$200,2,FALSE))</f>
        <v>0</v>
      </c>
      <c r="O62" s="648">
        <f>IF(M62="",0,VLOOKUP(M62,CntrlAssembly!$A$3:$C$200,3,FALSE))</f>
        <v>0</v>
      </c>
      <c r="P62" s="640"/>
      <c r="Q62" s="641"/>
      <c r="R62" s="639"/>
      <c r="S62" s="495">
        <f>IF(B62="",0,VLOOKUP(B62,Assemblies!$B$3:$F$200,4,FALSE))+P62*IF(B62="",0.5,VLOOKUP(B62,Assemblies!$B$3:$F$200,5,FALSE))</f>
        <v>0</v>
      </c>
      <c r="T62" s="519">
        <f>IF(B62="",0,VLOOKUP(B62,Assemblies!$B$3:$F$200,3,FALSE))</f>
        <v>0</v>
      </c>
      <c r="U62" s="627">
        <f t="shared" si="13"/>
        <v>0</v>
      </c>
      <c r="V62" s="628">
        <f t="shared" si="14"/>
        <v>0</v>
      </c>
      <c r="W62" s="628">
        <f t="shared" si="15"/>
        <v>0</v>
      </c>
      <c r="X62" s="628">
        <f t="shared" si="16"/>
        <v>0</v>
      </c>
      <c r="Y62" s="626">
        <f t="shared" si="19"/>
        <v>0</v>
      </c>
      <c r="Z62" s="681" t="s">
        <v>450</v>
      </c>
      <c r="AA62" s="521">
        <f t="shared" si="17"/>
        <v>0</v>
      </c>
      <c r="AB62" s="522">
        <f t="shared" si="18"/>
        <v>0</v>
      </c>
    </row>
    <row r="63" spans="1:28" s="522" customFormat="1">
      <c r="A63" s="652"/>
      <c r="B63" s="650"/>
      <c r="C63" s="634"/>
      <c r="D63" s="635"/>
      <c r="E63" s="756">
        <f>IF(B63="",0,VLOOKUP(B63,Assemblies!$B$3:$F$200,2,FALSE))</f>
        <v>0</v>
      </c>
      <c r="F63" s="668">
        <f>IF(B63="",0,VLOOKUP(B63,Assemblies!$B$3:$H$200,6,FALSE))</f>
        <v>0</v>
      </c>
      <c r="G63" s="636"/>
      <c r="H63" s="634"/>
      <c r="I63" s="745"/>
      <c r="J63" s="637"/>
      <c r="K63" s="636"/>
      <c r="L63" s="765"/>
      <c r="M63" s="638"/>
      <c r="N63" s="647">
        <f>IF(M63="",0,VLOOKUP(M63,CntrlAssembly!$A$3:$B$200,2,FALSE))</f>
        <v>0</v>
      </c>
      <c r="O63" s="648">
        <f>IF(M63="",0,VLOOKUP(M63,CntrlAssembly!$A$3:$C$200,3,FALSE))</f>
        <v>0</v>
      </c>
      <c r="P63" s="640"/>
      <c r="Q63" s="641"/>
      <c r="R63" s="639"/>
      <c r="S63" s="495">
        <f>IF(B63="",0,VLOOKUP(B63,Assemblies!$B$3:$F$200,4,FALSE))+P63*IF(B63="",0.5,VLOOKUP(B63,Assemblies!$B$3:$F$200,5,FALSE))</f>
        <v>0</v>
      </c>
      <c r="T63" s="519">
        <f>IF(B63="",0,VLOOKUP(B63,Assemblies!$B$3:$F$200,3,FALSE))</f>
        <v>0</v>
      </c>
      <c r="U63" s="627">
        <f t="shared" si="13"/>
        <v>0</v>
      </c>
      <c r="V63" s="628">
        <f t="shared" si="14"/>
        <v>0</v>
      </c>
      <c r="W63" s="628">
        <f t="shared" si="15"/>
        <v>0</v>
      </c>
      <c r="X63" s="628">
        <f t="shared" si="16"/>
        <v>0</v>
      </c>
      <c r="Y63" s="626">
        <f t="shared" si="19"/>
        <v>0</v>
      </c>
      <c r="Z63" s="681" t="s">
        <v>450</v>
      </c>
      <c r="AA63" s="521">
        <f t="shared" si="17"/>
        <v>0</v>
      </c>
      <c r="AB63" s="522">
        <f t="shared" si="18"/>
        <v>0</v>
      </c>
    </row>
    <row r="64" spans="1:28" s="522" customFormat="1">
      <c r="A64" s="652"/>
      <c r="B64" s="654"/>
      <c r="C64" s="634"/>
      <c r="D64" s="635"/>
      <c r="E64" s="756">
        <f>IF(B64="",0,VLOOKUP(B64,Assemblies!$B$3:$F$200,2,FALSE))</f>
        <v>0</v>
      </c>
      <c r="F64" s="668">
        <f>IF(B64="",0,VLOOKUP(B64,Assemblies!$B$3:$H$200,6,FALSE))</f>
        <v>0</v>
      </c>
      <c r="G64" s="636"/>
      <c r="H64" s="634"/>
      <c r="I64" s="745"/>
      <c r="J64" s="637"/>
      <c r="K64" s="636"/>
      <c r="L64" s="765"/>
      <c r="M64" s="638"/>
      <c r="N64" s="647">
        <f>IF(M64="",0,VLOOKUP(M64,CntrlAssembly!$A$3:$B$200,2,FALSE))</f>
        <v>0</v>
      </c>
      <c r="O64" s="648">
        <f>IF(M64="",0,VLOOKUP(M64,CntrlAssembly!$A$3:$C$200,3,FALSE))</f>
        <v>0</v>
      </c>
      <c r="P64" s="640"/>
      <c r="Q64" s="641"/>
      <c r="R64" s="639"/>
      <c r="S64" s="495">
        <f>IF(B64="",0,VLOOKUP(B64,Assemblies!$B$3:$F$200,4,FALSE))+P64*IF(B64="",0.5,VLOOKUP(B64,Assemblies!$B$3:$F$200,5,FALSE))</f>
        <v>0</v>
      </c>
      <c r="T64" s="519">
        <f>IF(B64="",0,VLOOKUP(B64,Assemblies!$B$3:$F$200,3,FALSE))</f>
        <v>0</v>
      </c>
      <c r="U64" s="627">
        <f t="shared" si="13"/>
        <v>0</v>
      </c>
      <c r="V64" s="628">
        <f t="shared" si="14"/>
        <v>0</v>
      </c>
      <c r="W64" s="628">
        <f t="shared" si="15"/>
        <v>0</v>
      </c>
      <c r="X64" s="628">
        <f t="shared" si="16"/>
        <v>0</v>
      </c>
      <c r="Y64" s="626">
        <f t="shared" si="19"/>
        <v>0</v>
      </c>
      <c r="Z64" s="681" t="s">
        <v>450</v>
      </c>
      <c r="AA64" s="521">
        <f t="shared" si="17"/>
        <v>0</v>
      </c>
      <c r="AB64" s="522">
        <f t="shared" si="18"/>
        <v>0</v>
      </c>
    </row>
    <row r="65" spans="1:28" s="522" customFormat="1">
      <c r="A65" s="650"/>
      <c r="B65" s="650"/>
      <c r="C65" s="634"/>
      <c r="D65" s="635"/>
      <c r="E65" s="756">
        <f>IF(B65="",0,VLOOKUP(B65,Assemblies!$B$3:$F$200,2,FALSE))</f>
        <v>0</v>
      </c>
      <c r="F65" s="668">
        <f>IF(B65="",0,VLOOKUP(B65,Assemblies!$B$3:$H$200,6,FALSE))</f>
        <v>0</v>
      </c>
      <c r="G65" s="636"/>
      <c r="H65" s="634"/>
      <c r="I65" s="745"/>
      <c r="J65" s="637"/>
      <c r="K65" s="636"/>
      <c r="L65" s="765"/>
      <c r="M65" s="638"/>
      <c r="N65" s="647">
        <f>IF(M65="",0,VLOOKUP(M65,CntrlAssembly!$A$3:$B$200,2,FALSE))</f>
        <v>0</v>
      </c>
      <c r="O65" s="648">
        <f>IF(M65="",0,VLOOKUP(M65,CntrlAssembly!$A$3:$C$200,3,FALSE))</f>
        <v>0</v>
      </c>
      <c r="P65" s="640"/>
      <c r="Q65" s="641"/>
      <c r="R65" s="639"/>
      <c r="S65" s="495">
        <f>IF(B65="",0,VLOOKUP(B65,Assemblies!$B$3:$F$200,4,FALSE))+P65*IF(B65="",0.5,VLOOKUP(B65,Assemblies!$B$3:$F$200,5,FALSE))</f>
        <v>0</v>
      </c>
      <c r="T65" s="519">
        <f>IF(B65="",0,VLOOKUP(B65,Assemblies!$B$3:$F$200,3,FALSE))</f>
        <v>0</v>
      </c>
      <c r="U65" s="627">
        <f t="shared" si="13"/>
        <v>0</v>
      </c>
      <c r="V65" s="628">
        <f t="shared" si="14"/>
        <v>0</v>
      </c>
      <c r="W65" s="628">
        <f t="shared" si="15"/>
        <v>0</v>
      </c>
      <c r="X65" s="628">
        <f t="shared" si="16"/>
        <v>0</v>
      </c>
      <c r="Y65" s="626">
        <f t="shared" si="19"/>
        <v>0</v>
      </c>
      <c r="Z65" s="681" t="s">
        <v>450</v>
      </c>
      <c r="AA65" s="521">
        <f t="shared" si="17"/>
        <v>0</v>
      </c>
      <c r="AB65" s="522">
        <f t="shared" si="18"/>
        <v>0</v>
      </c>
    </row>
    <row r="66" spans="1:28" s="522" customFormat="1">
      <c r="A66" s="652"/>
      <c r="B66" s="650"/>
      <c r="C66" s="634"/>
      <c r="D66" s="635"/>
      <c r="E66" s="756">
        <f>IF(B66="",0,VLOOKUP(B66,Assemblies!$B$3:$F$200,2,FALSE))</f>
        <v>0</v>
      </c>
      <c r="F66" s="668">
        <f>IF(B66="",0,VLOOKUP(B66,Assemblies!$B$3:$H$200,6,FALSE))</f>
        <v>0</v>
      </c>
      <c r="G66" s="636"/>
      <c r="H66" s="634"/>
      <c r="I66" s="745"/>
      <c r="J66" s="637"/>
      <c r="K66" s="636"/>
      <c r="L66" s="765"/>
      <c r="M66" s="638"/>
      <c r="N66" s="647">
        <f>IF(M66="",0,VLOOKUP(M66,CntrlAssembly!$A$3:$B$200,2,FALSE))</f>
        <v>0</v>
      </c>
      <c r="O66" s="648">
        <f>IF(M66="",0,VLOOKUP(M66,CntrlAssembly!$A$3:$C$200,3,FALSE))</f>
        <v>0</v>
      </c>
      <c r="P66" s="640"/>
      <c r="Q66" s="641"/>
      <c r="R66" s="639"/>
      <c r="S66" s="495">
        <f>IF(B66="",0,VLOOKUP(B66,Assemblies!$B$3:$F$200,4,FALSE))+P66*IF(B66="",0.5,VLOOKUP(B66,Assemblies!$B$3:$F$200,5,FALSE))</f>
        <v>0</v>
      </c>
      <c r="T66" s="519">
        <f>IF(B66="",0,VLOOKUP(B66,Assemblies!$B$3:$F$200,3,FALSE))</f>
        <v>0</v>
      </c>
      <c r="U66" s="627">
        <f t="shared" si="13"/>
        <v>0</v>
      </c>
      <c r="V66" s="628">
        <f t="shared" si="14"/>
        <v>0</v>
      </c>
      <c r="W66" s="628">
        <f t="shared" si="15"/>
        <v>0</v>
      </c>
      <c r="X66" s="628">
        <f t="shared" si="16"/>
        <v>0</v>
      </c>
      <c r="Y66" s="626">
        <f t="shared" si="19"/>
        <v>0</v>
      </c>
      <c r="Z66" s="681" t="s">
        <v>450</v>
      </c>
      <c r="AA66" s="521">
        <f t="shared" si="17"/>
        <v>0</v>
      </c>
      <c r="AB66" s="522">
        <f t="shared" si="18"/>
        <v>0</v>
      </c>
    </row>
    <row r="67" spans="1:28" s="522" customFormat="1">
      <c r="A67" s="652"/>
      <c r="B67" s="654"/>
      <c r="C67" s="634"/>
      <c r="D67" s="635"/>
      <c r="E67" s="756">
        <f>IF(B67="",0,VLOOKUP(B67,Assemblies!$B$3:$F$200,2,FALSE))</f>
        <v>0</v>
      </c>
      <c r="F67" s="668">
        <f>IF(B67="",0,VLOOKUP(B67,Assemblies!$B$3:$H$200,6,FALSE))</f>
        <v>0</v>
      </c>
      <c r="G67" s="636"/>
      <c r="H67" s="634"/>
      <c r="I67" s="745"/>
      <c r="J67" s="637"/>
      <c r="K67" s="636"/>
      <c r="L67" s="765"/>
      <c r="M67" s="638"/>
      <c r="N67" s="647">
        <f>IF(M67="",0,VLOOKUP(M67,CntrlAssembly!$A$3:$B$200,2,FALSE))</f>
        <v>0</v>
      </c>
      <c r="O67" s="648">
        <f>IF(M67="",0,VLOOKUP(M67,CntrlAssembly!$A$3:$C$200,3,FALSE))</f>
        <v>0</v>
      </c>
      <c r="P67" s="640"/>
      <c r="Q67" s="641"/>
      <c r="R67" s="639"/>
      <c r="S67" s="495">
        <f>IF(B67="",0,VLOOKUP(B67,Assemblies!$B$3:$F$200,4,FALSE))+P67*IF(B67="",0.5,VLOOKUP(B67,Assemblies!$B$3:$F$200,5,FALSE))</f>
        <v>0</v>
      </c>
      <c r="T67" s="519">
        <f>IF(B67="",0,VLOOKUP(B67,Assemblies!$B$3:$F$200,3,FALSE))</f>
        <v>0</v>
      </c>
      <c r="U67" s="627">
        <f t="shared" si="13"/>
        <v>0</v>
      </c>
      <c r="V67" s="628">
        <f t="shared" si="14"/>
        <v>0</v>
      </c>
      <c r="W67" s="628">
        <f t="shared" si="15"/>
        <v>0</v>
      </c>
      <c r="X67" s="628">
        <f t="shared" si="16"/>
        <v>0</v>
      </c>
      <c r="Y67" s="626">
        <f t="shared" si="19"/>
        <v>0</v>
      </c>
      <c r="Z67" s="681" t="s">
        <v>450</v>
      </c>
      <c r="AA67" s="521">
        <f t="shared" si="17"/>
        <v>0</v>
      </c>
      <c r="AB67" s="522">
        <f t="shared" si="18"/>
        <v>0</v>
      </c>
    </row>
    <row r="68" spans="1:28" s="522" customFormat="1">
      <c r="A68" s="652"/>
      <c r="B68" s="654"/>
      <c r="C68" s="634"/>
      <c r="D68" s="635"/>
      <c r="E68" s="756">
        <f>IF(B68="",0,VLOOKUP(B68,Assemblies!$B$3:$F$200,2,FALSE))</f>
        <v>0</v>
      </c>
      <c r="F68" s="668">
        <f>IF(B68="",0,VLOOKUP(B68,Assemblies!$B$3:$H$200,6,FALSE))</f>
        <v>0</v>
      </c>
      <c r="G68" s="636"/>
      <c r="H68" s="634"/>
      <c r="I68" s="745"/>
      <c r="J68" s="637"/>
      <c r="K68" s="636"/>
      <c r="L68" s="765"/>
      <c r="M68" s="638"/>
      <c r="N68" s="647">
        <f>IF(M68="",0,VLOOKUP(M68,CntrlAssembly!$A$3:$B$200,2,FALSE))</f>
        <v>0</v>
      </c>
      <c r="O68" s="648">
        <f>IF(M68="",0,VLOOKUP(M68,CntrlAssembly!$A$3:$C$200,3,FALSE))</f>
        <v>0</v>
      </c>
      <c r="P68" s="640"/>
      <c r="Q68" s="641"/>
      <c r="R68" s="639"/>
      <c r="S68" s="495">
        <f>IF(B68="",0,VLOOKUP(B68,Assemblies!$B$3:$F$200,4,FALSE))+P68*IF(B68="",0.5,VLOOKUP(B68,Assemblies!$B$3:$F$200,5,FALSE))</f>
        <v>0</v>
      </c>
      <c r="T68" s="519">
        <f>IF(B68="",0,VLOOKUP(B68,Assemblies!$B$3:$F$200,3,FALSE))</f>
        <v>0</v>
      </c>
      <c r="U68" s="627">
        <f t="shared" si="13"/>
        <v>0</v>
      </c>
      <c r="V68" s="628">
        <f t="shared" si="14"/>
        <v>0</v>
      </c>
      <c r="W68" s="628">
        <f t="shared" si="15"/>
        <v>0</v>
      </c>
      <c r="X68" s="628">
        <f t="shared" si="16"/>
        <v>0</v>
      </c>
      <c r="Y68" s="626">
        <f t="shared" si="19"/>
        <v>0</v>
      </c>
      <c r="Z68" s="681" t="s">
        <v>450</v>
      </c>
      <c r="AA68" s="521">
        <f t="shared" si="17"/>
        <v>0</v>
      </c>
      <c r="AB68" s="522">
        <f t="shared" si="18"/>
        <v>0</v>
      </c>
    </row>
    <row r="69" spans="1:28" s="522" customFormat="1">
      <c r="A69" s="650"/>
      <c r="B69" s="650"/>
      <c r="C69" s="634"/>
      <c r="D69" s="635"/>
      <c r="E69" s="756">
        <f>IF(B69="",0,VLOOKUP(B69,Assemblies!$B$3:$F$200,2,FALSE))</f>
        <v>0</v>
      </c>
      <c r="F69" s="668">
        <f>IF(B69="",0,VLOOKUP(B69,Assemblies!$B$3:$H$200,6,FALSE))</f>
        <v>0</v>
      </c>
      <c r="G69" s="636"/>
      <c r="H69" s="634"/>
      <c r="I69" s="745"/>
      <c r="J69" s="637"/>
      <c r="K69" s="636"/>
      <c r="L69" s="765"/>
      <c r="M69" s="646"/>
      <c r="N69" s="647">
        <f>IF(M69="",0,VLOOKUP(M69,CntrlAssembly!$A$3:$B$200,2,FALSE))</f>
        <v>0</v>
      </c>
      <c r="O69" s="648">
        <f>IF(M69="",0,VLOOKUP(M69,CntrlAssembly!$A$3:$C$200,3,FALSE))</f>
        <v>0</v>
      </c>
      <c r="P69" s="640"/>
      <c r="Q69" s="641"/>
      <c r="R69" s="639"/>
      <c r="S69" s="495">
        <f>IF(B69="",0,VLOOKUP(B69,Assemblies!$B$3:$F$200,4,FALSE))+P69*IF(B69="",0.5,VLOOKUP(B69,Assemblies!$B$3:$F$200,5,FALSE))</f>
        <v>0</v>
      </c>
      <c r="T69" s="519">
        <f>IF(B69="",0,VLOOKUP(B69,Assemblies!$B$3:$F$200,3,FALSE))</f>
        <v>0</v>
      </c>
      <c r="U69" s="627">
        <f t="shared" si="13"/>
        <v>0</v>
      </c>
      <c r="V69" s="628">
        <f t="shared" si="14"/>
        <v>0</v>
      </c>
      <c r="W69" s="628">
        <f t="shared" si="15"/>
        <v>0</v>
      </c>
      <c r="X69" s="628">
        <f t="shared" si="16"/>
        <v>0</v>
      </c>
      <c r="Y69" s="626">
        <f t="shared" si="19"/>
        <v>0</v>
      </c>
      <c r="Z69" s="681" t="s">
        <v>450</v>
      </c>
      <c r="AA69" s="521">
        <f t="shared" si="17"/>
        <v>0</v>
      </c>
      <c r="AB69" s="522">
        <f t="shared" si="18"/>
        <v>0</v>
      </c>
    </row>
    <row r="70" spans="1:28" s="522" customFormat="1">
      <c r="A70" s="652"/>
      <c r="B70" s="654"/>
      <c r="C70" s="634"/>
      <c r="D70" s="635"/>
      <c r="E70" s="756">
        <f>IF(B70="",0,VLOOKUP(B70,Assemblies!$B$3:$F$200,2,FALSE))</f>
        <v>0</v>
      </c>
      <c r="F70" s="668">
        <f>IF(B70="",0,VLOOKUP(B70,Assemblies!$B$3:$H$200,6,FALSE))</f>
        <v>0</v>
      </c>
      <c r="G70" s="636"/>
      <c r="H70" s="634"/>
      <c r="I70" s="745"/>
      <c r="J70" s="637"/>
      <c r="K70" s="636"/>
      <c r="L70" s="765"/>
      <c r="M70" s="638"/>
      <c r="N70" s="647">
        <f>IF(M70="",0,VLOOKUP(M70,CntrlAssembly!$A$3:$B$200,2,FALSE))</f>
        <v>0</v>
      </c>
      <c r="O70" s="648">
        <f>IF(M70="",0,VLOOKUP(M70,CntrlAssembly!$A$3:$C$200,3,FALSE))</f>
        <v>0</v>
      </c>
      <c r="P70" s="640"/>
      <c r="Q70" s="641"/>
      <c r="R70" s="639"/>
      <c r="S70" s="495">
        <f>IF(B70="",0,VLOOKUP(B70,Assemblies!$B$3:$F$200,4,FALSE))+P70*IF(B70="",0.5,VLOOKUP(B70,Assemblies!$B$3:$F$200,5,FALSE))</f>
        <v>0</v>
      </c>
      <c r="T70" s="519">
        <f>IF(B70="",0,VLOOKUP(B70,Assemblies!$B$3:$F$200,3,FALSE))</f>
        <v>0</v>
      </c>
      <c r="U70" s="627">
        <f t="shared" si="13"/>
        <v>0</v>
      </c>
      <c r="V70" s="628">
        <f t="shared" si="14"/>
        <v>0</v>
      </c>
      <c r="W70" s="628">
        <f t="shared" si="15"/>
        <v>0</v>
      </c>
      <c r="X70" s="628">
        <f t="shared" si="16"/>
        <v>0</v>
      </c>
      <c r="Y70" s="626">
        <f t="shared" si="19"/>
        <v>0</v>
      </c>
      <c r="Z70" s="681" t="s">
        <v>450</v>
      </c>
      <c r="AA70" s="521">
        <f t="shared" si="17"/>
        <v>0</v>
      </c>
      <c r="AB70" s="522">
        <f t="shared" si="18"/>
        <v>0</v>
      </c>
    </row>
    <row r="71" spans="1:28" s="522" customFormat="1">
      <c r="A71" s="650"/>
      <c r="B71" s="650"/>
      <c r="C71" s="634"/>
      <c r="D71" s="635"/>
      <c r="E71" s="756">
        <f>IF(B71="",0,VLOOKUP(B71,Assemblies!$B$3:$F$200,2,FALSE))</f>
        <v>0</v>
      </c>
      <c r="F71" s="668">
        <f>IF(B71="",0,VLOOKUP(B71,Assemblies!$B$3:$H$200,6,FALSE))</f>
        <v>0</v>
      </c>
      <c r="G71" s="636"/>
      <c r="H71" s="634"/>
      <c r="I71" s="745"/>
      <c r="J71" s="637"/>
      <c r="K71" s="636"/>
      <c r="L71" s="765"/>
      <c r="M71" s="642"/>
      <c r="N71" s="647">
        <f>IF(M71="",0,VLOOKUP(M71,CntrlAssembly!$A$3:$B$200,2,FALSE))</f>
        <v>0</v>
      </c>
      <c r="O71" s="648">
        <f>IF(M71="",0,VLOOKUP(M71,CntrlAssembly!$A$3:$C$200,3,FALSE))</f>
        <v>0</v>
      </c>
      <c r="P71" s="640"/>
      <c r="Q71" s="641"/>
      <c r="R71" s="639"/>
      <c r="S71" s="495">
        <f>IF(B71="",0,VLOOKUP(B71,Assemblies!$B$3:$F$200,4,FALSE))+P71*IF(B71="",0.5,VLOOKUP(B71,Assemblies!$B$3:$F$200,5,FALSE))</f>
        <v>0</v>
      </c>
      <c r="T71" s="519">
        <f>IF(B71="",0,VLOOKUP(B71,Assemblies!$B$3:$F$200,3,FALSE))</f>
        <v>0</v>
      </c>
      <c r="U71" s="627">
        <f t="shared" si="13"/>
        <v>0</v>
      </c>
      <c r="V71" s="628">
        <f t="shared" si="14"/>
        <v>0</v>
      </c>
      <c r="W71" s="628">
        <f t="shared" si="15"/>
        <v>0</v>
      </c>
      <c r="X71" s="628">
        <f t="shared" si="16"/>
        <v>0</v>
      </c>
      <c r="Y71" s="626">
        <f t="shared" si="19"/>
        <v>0</v>
      </c>
      <c r="Z71" s="681" t="s">
        <v>450</v>
      </c>
      <c r="AA71" s="521">
        <f t="shared" si="17"/>
        <v>0</v>
      </c>
      <c r="AB71" s="522">
        <f t="shared" si="18"/>
        <v>0</v>
      </c>
    </row>
    <row r="72" spans="1:28" s="522" customFormat="1">
      <c r="A72" s="652"/>
      <c r="B72" s="650"/>
      <c r="C72" s="634"/>
      <c r="D72" s="635"/>
      <c r="E72" s="757">
        <f>IF(B72="",0,VLOOKUP(B72,Assemblies!$B$3:$F$200,2,FALSE))</f>
        <v>0</v>
      </c>
      <c r="F72" s="668">
        <f>IF(B72="",0,VLOOKUP(B72,Assemblies!$B$3:$H$200,6,FALSE))</f>
        <v>0</v>
      </c>
      <c r="G72" s="636"/>
      <c r="H72" s="634"/>
      <c r="I72" s="745"/>
      <c r="J72" s="637"/>
      <c r="K72" s="636"/>
      <c r="L72" s="765"/>
      <c r="M72" s="638"/>
      <c r="N72" s="520">
        <f>IF(M72="",0,VLOOKUP(M72,CntrlAssembly!$A$3:$B$200,2,FALSE))</f>
        <v>0</v>
      </c>
      <c r="O72" s="518">
        <f>IF(M72="",0,VLOOKUP(M72,CntrlAssembly!$A$3:$C$200,3,FALSE))</f>
        <v>0</v>
      </c>
      <c r="P72" s="640"/>
      <c r="Q72" s="641"/>
      <c r="R72" s="639"/>
      <c r="S72" s="495">
        <f>IF(B72="",0,VLOOKUP(B72,Assemblies!$B$3:$F$200,4,FALSE))+P72*IF(B72="",0.5,VLOOKUP(B72,Assemblies!$B$3:$F$200,5,FALSE))</f>
        <v>0</v>
      </c>
      <c r="T72" s="519">
        <f>IF(B72="",0,VLOOKUP(B72,Assemblies!$B$3:$F$200,3,FALSE))</f>
        <v>0</v>
      </c>
      <c r="U72" s="627">
        <f t="shared" si="13"/>
        <v>0</v>
      </c>
      <c r="V72" s="628">
        <f t="shared" si="14"/>
        <v>0</v>
      </c>
      <c r="W72" s="628">
        <f t="shared" si="15"/>
        <v>0</v>
      </c>
      <c r="X72" s="628">
        <f t="shared" si="16"/>
        <v>0</v>
      </c>
      <c r="Y72" s="626">
        <f t="shared" si="19"/>
        <v>0</v>
      </c>
      <c r="Z72" s="681" t="s">
        <v>450</v>
      </c>
      <c r="AA72" s="521">
        <f t="shared" si="17"/>
        <v>0</v>
      </c>
      <c r="AB72" s="522">
        <f t="shared" si="18"/>
        <v>0</v>
      </c>
    </row>
    <row r="73" spans="1:28" s="522" customFormat="1">
      <c r="A73" s="652"/>
      <c r="B73" s="650"/>
      <c r="C73" s="634"/>
      <c r="D73" s="635"/>
      <c r="E73" s="757">
        <f>IF(B73="",0,VLOOKUP(B73,Assemblies!$B$3:$F$200,2,FALSE))</f>
        <v>0</v>
      </c>
      <c r="F73" s="668">
        <f>IF(B73="",0,VLOOKUP(B73,Assemblies!$B$3:$H$200,6,FALSE))</f>
        <v>0</v>
      </c>
      <c r="G73" s="636"/>
      <c r="H73" s="634"/>
      <c r="I73" s="745"/>
      <c r="J73" s="637"/>
      <c r="K73" s="636"/>
      <c r="L73" s="765"/>
      <c r="M73" s="642"/>
      <c r="N73" s="520">
        <f>IF(M73="",0,VLOOKUP(M73,CntrlAssembly!$A$3:$B$200,2,FALSE))</f>
        <v>0</v>
      </c>
      <c r="O73" s="518">
        <f>IF(M73="",0,VLOOKUP(M73,CntrlAssembly!$A$3:$C$200,3,FALSE))</f>
        <v>0</v>
      </c>
      <c r="P73" s="640"/>
      <c r="Q73" s="641"/>
      <c r="R73" s="639"/>
      <c r="S73" s="495">
        <f>IF(B73="",0,VLOOKUP(B73,Assemblies!$B$3:$F$200,4,FALSE))+P73*IF(B73="",0.5,VLOOKUP(B73,Assemblies!$B$3:$F$200,5,FALSE))</f>
        <v>0</v>
      </c>
      <c r="T73" s="519">
        <f>IF(B73="",0,VLOOKUP(B73,Assemblies!$B$3:$F$200,3,FALSE))</f>
        <v>0</v>
      </c>
      <c r="U73" s="627">
        <f t="shared" si="13"/>
        <v>0</v>
      </c>
      <c r="V73" s="628">
        <f t="shared" si="14"/>
        <v>0</v>
      </c>
      <c r="W73" s="628">
        <f t="shared" si="15"/>
        <v>0</v>
      </c>
      <c r="X73" s="628">
        <f t="shared" si="16"/>
        <v>0</v>
      </c>
      <c r="Y73" s="626">
        <f t="shared" si="19"/>
        <v>0</v>
      </c>
      <c r="Z73" s="681" t="s">
        <v>450</v>
      </c>
      <c r="AA73" s="521">
        <f t="shared" si="17"/>
        <v>0</v>
      </c>
      <c r="AB73" s="522">
        <f t="shared" si="18"/>
        <v>0</v>
      </c>
    </row>
    <row r="74" spans="1:28" s="522" customFormat="1">
      <c r="A74" s="652"/>
      <c r="B74" s="654"/>
      <c r="C74" s="634"/>
      <c r="D74" s="635"/>
      <c r="E74" s="757">
        <f>IF(B74="",0,VLOOKUP(B74,Assemblies!$B$3:$F$200,2,FALSE))</f>
        <v>0</v>
      </c>
      <c r="F74" s="668">
        <f>IF(B74="",0,VLOOKUP(B74,Assemblies!$B$3:$H$200,6,FALSE))</f>
        <v>0</v>
      </c>
      <c r="G74" s="636"/>
      <c r="H74" s="634"/>
      <c r="I74" s="745"/>
      <c r="J74" s="637"/>
      <c r="K74" s="636"/>
      <c r="L74" s="765"/>
      <c r="M74" s="638"/>
      <c r="N74" s="520">
        <f>IF(M74="",0,VLOOKUP(M74,CntrlAssembly!$A$3:$B$200,2,FALSE))</f>
        <v>0</v>
      </c>
      <c r="O74" s="518">
        <f>IF(M74="",0,VLOOKUP(M74,CntrlAssembly!$A$3:$C$200,3,FALSE))</f>
        <v>0</v>
      </c>
      <c r="P74" s="640"/>
      <c r="Q74" s="641"/>
      <c r="R74" s="639"/>
      <c r="S74" s="495">
        <f>IF(B74="",0,VLOOKUP(B74,Assemblies!$B$3:$F$200,4,FALSE))+P74*IF(B74="",0.5,VLOOKUP(B74,Assemblies!$B$3:$F$200,5,FALSE))</f>
        <v>0</v>
      </c>
      <c r="T74" s="519">
        <f>IF(B74="",0,VLOOKUP(B74,Assemblies!$B$3:$F$200,3,FALSE))</f>
        <v>0</v>
      </c>
      <c r="U74" s="627">
        <f t="shared" si="13"/>
        <v>0</v>
      </c>
      <c r="V74" s="628">
        <f t="shared" si="14"/>
        <v>0</v>
      </c>
      <c r="W74" s="628">
        <f t="shared" si="15"/>
        <v>0</v>
      </c>
      <c r="X74" s="628">
        <f t="shared" si="16"/>
        <v>0</v>
      </c>
      <c r="Y74" s="626">
        <f t="shared" si="19"/>
        <v>0</v>
      </c>
      <c r="Z74" s="681" t="s">
        <v>450</v>
      </c>
      <c r="AA74" s="521">
        <f t="shared" si="17"/>
        <v>0</v>
      </c>
      <c r="AB74" s="522">
        <f t="shared" si="18"/>
        <v>0</v>
      </c>
    </row>
    <row r="75" spans="1:28" s="522" customFormat="1">
      <c r="A75" s="652"/>
      <c r="B75" s="650"/>
      <c r="C75" s="634"/>
      <c r="D75" s="635"/>
      <c r="E75" s="757">
        <f>IF(B75="",0,VLOOKUP(B75,Assemblies!$B$3:$F$200,2,FALSE))</f>
        <v>0</v>
      </c>
      <c r="F75" s="668">
        <f>IF(B75="",0,VLOOKUP(B75,Assemblies!$B$3:$H$200,6,FALSE))</f>
        <v>0</v>
      </c>
      <c r="G75" s="636"/>
      <c r="H75" s="634"/>
      <c r="I75" s="745"/>
      <c r="J75" s="637"/>
      <c r="K75" s="636"/>
      <c r="L75" s="765"/>
      <c r="M75" s="642"/>
      <c r="N75" s="520">
        <f>IF(M75="",0,VLOOKUP(M75,CntrlAssembly!$A$3:$B$200,2,FALSE))</f>
        <v>0</v>
      </c>
      <c r="O75" s="518">
        <f>IF(M75="",0,VLOOKUP(M75,CntrlAssembly!$A$3:$C$200,3,FALSE))</f>
        <v>0</v>
      </c>
      <c r="P75" s="640"/>
      <c r="Q75" s="641"/>
      <c r="R75" s="639"/>
      <c r="S75" s="495">
        <f>IF(B75="",0,VLOOKUP(B75,Assemblies!$B$3:$F$200,4,FALSE))+P75*IF(B75="",0.5,VLOOKUP(B75,Assemblies!$B$3:$F$200,5,FALSE))</f>
        <v>0</v>
      </c>
      <c r="T75" s="519">
        <f>IF(B75="",0,VLOOKUP(B75,Assemblies!$B$3:$F$200,3,FALSE))</f>
        <v>0</v>
      </c>
      <c r="U75" s="627">
        <f t="shared" si="13"/>
        <v>0</v>
      </c>
      <c r="V75" s="628">
        <f t="shared" si="14"/>
        <v>0</v>
      </c>
      <c r="W75" s="628">
        <f t="shared" si="15"/>
        <v>0</v>
      </c>
      <c r="X75" s="628">
        <f t="shared" si="16"/>
        <v>0</v>
      </c>
      <c r="Y75" s="626">
        <f t="shared" si="19"/>
        <v>0</v>
      </c>
      <c r="Z75" s="681" t="s">
        <v>450</v>
      </c>
      <c r="AA75" s="521">
        <f t="shared" si="17"/>
        <v>0</v>
      </c>
      <c r="AB75" s="522">
        <f t="shared" si="18"/>
        <v>0</v>
      </c>
    </row>
    <row r="76" spans="1:28" s="522" customFormat="1">
      <c r="A76" s="652"/>
      <c r="B76" s="654"/>
      <c r="C76" s="634"/>
      <c r="D76" s="635"/>
      <c r="E76" s="757">
        <f>IF(B76="",0,VLOOKUP(B76,Assemblies!$B$3:$F$200,2,FALSE))</f>
        <v>0</v>
      </c>
      <c r="F76" s="668">
        <f>IF(B76="",0,VLOOKUP(B76,Assemblies!$B$3:$H$200,6,FALSE))</f>
        <v>0</v>
      </c>
      <c r="G76" s="636"/>
      <c r="H76" s="634"/>
      <c r="I76" s="745"/>
      <c r="J76" s="637"/>
      <c r="K76" s="636"/>
      <c r="L76" s="765"/>
      <c r="M76" s="638"/>
      <c r="N76" s="520">
        <f>IF(M76="",0,VLOOKUP(M76,CntrlAssembly!$A$3:$B$200,2,FALSE))</f>
        <v>0</v>
      </c>
      <c r="O76" s="518">
        <f>IF(M76="",0,VLOOKUP(M76,CntrlAssembly!$A$3:$C$200,3,FALSE))</f>
        <v>0</v>
      </c>
      <c r="P76" s="640"/>
      <c r="Q76" s="641"/>
      <c r="R76" s="639"/>
      <c r="S76" s="495">
        <f>IF(B76="",0,VLOOKUP(B76,Assemblies!$B$3:$F$200,4,FALSE))+P76*IF(B76="",0.5,VLOOKUP(B76,Assemblies!$B$3:$F$200,5,FALSE))</f>
        <v>0</v>
      </c>
      <c r="T76" s="519">
        <f>IF(B76="",0,VLOOKUP(B76,Assemblies!$B$3:$F$200,3,FALSE))</f>
        <v>0</v>
      </c>
      <c r="U76" s="627">
        <f t="shared" si="13"/>
        <v>0</v>
      </c>
      <c r="V76" s="628">
        <f t="shared" si="14"/>
        <v>0</v>
      </c>
      <c r="W76" s="628">
        <f t="shared" si="15"/>
        <v>0</v>
      </c>
      <c r="X76" s="628">
        <f t="shared" si="16"/>
        <v>0</v>
      </c>
      <c r="Y76" s="626">
        <f t="shared" si="19"/>
        <v>0</v>
      </c>
      <c r="Z76" s="681" t="s">
        <v>450</v>
      </c>
      <c r="AA76" s="521">
        <f t="shared" si="17"/>
        <v>0</v>
      </c>
      <c r="AB76" s="522">
        <f t="shared" si="18"/>
        <v>0</v>
      </c>
    </row>
    <row r="77" spans="1:28" s="522" customFormat="1">
      <c r="A77" s="650"/>
      <c r="B77" s="654"/>
      <c r="C77" s="634"/>
      <c r="D77" s="635"/>
      <c r="E77" s="757">
        <f>IF(B77="",0,VLOOKUP(B77,Assemblies!$B$3:$F$200,2,FALSE))</f>
        <v>0</v>
      </c>
      <c r="F77" s="668">
        <f>IF(B77="",0,VLOOKUP(B77,Assemblies!$B$3:$H$200,6,FALSE))</f>
        <v>0</v>
      </c>
      <c r="G77" s="636"/>
      <c r="H77" s="634"/>
      <c r="I77" s="745"/>
      <c r="J77" s="637"/>
      <c r="K77" s="636"/>
      <c r="L77" s="765"/>
      <c r="M77" s="638"/>
      <c r="N77" s="520">
        <f>IF(M77="",0,VLOOKUP(M77,CntrlAssembly!$A$3:$B$200,2,FALSE))</f>
        <v>0</v>
      </c>
      <c r="O77" s="518">
        <f>IF(M77="",0,VLOOKUP(M77,CntrlAssembly!$A$3:$C$200,3,FALSE))</f>
        <v>0</v>
      </c>
      <c r="P77" s="640"/>
      <c r="Q77" s="641"/>
      <c r="R77" s="639"/>
      <c r="S77" s="495">
        <f>IF(B77="",0,VLOOKUP(B77,Assemblies!$B$3:$F$200,4,FALSE))+P77*IF(B77="",0.5,VLOOKUP(B77,Assemblies!$B$3:$F$200,5,FALSE))</f>
        <v>0</v>
      </c>
      <c r="T77" s="519">
        <f>IF(B77="",0,VLOOKUP(B77,Assemblies!$B$3:$F$200,3,FALSE))</f>
        <v>0</v>
      </c>
      <c r="U77" s="627">
        <f t="shared" si="13"/>
        <v>0</v>
      </c>
      <c r="V77" s="628">
        <f t="shared" si="14"/>
        <v>0</v>
      </c>
      <c r="W77" s="628">
        <f t="shared" si="15"/>
        <v>0</v>
      </c>
      <c r="X77" s="628">
        <f t="shared" si="16"/>
        <v>0</v>
      </c>
      <c r="Y77" s="626">
        <f t="shared" si="19"/>
        <v>0</v>
      </c>
      <c r="Z77" s="681" t="s">
        <v>450</v>
      </c>
      <c r="AA77" s="521">
        <f t="shared" si="17"/>
        <v>0</v>
      </c>
      <c r="AB77" s="522">
        <f t="shared" si="18"/>
        <v>0</v>
      </c>
    </row>
    <row r="78" spans="1:28" s="522" customFormat="1">
      <c r="A78" s="671"/>
      <c r="B78" s="654"/>
      <c r="C78" s="634"/>
      <c r="D78" s="635"/>
      <c r="E78" s="757">
        <f>IF(B78="",0,VLOOKUP(B78,Assemblies!$B$3:$F$200,2,FALSE))</f>
        <v>0</v>
      </c>
      <c r="F78" s="668">
        <f>IF(B78="",0,VLOOKUP(B78,Assemblies!$B$3:$H$200,6,FALSE))</f>
        <v>0</v>
      </c>
      <c r="G78" s="636"/>
      <c r="H78" s="634"/>
      <c r="I78" s="745"/>
      <c r="J78" s="637"/>
      <c r="K78" s="636"/>
      <c r="L78" s="765"/>
      <c r="M78" s="638"/>
      <c r="N78" s="520">
        <f>IF(M78="",0,VLOOKUP(M78,CntrlAssembly!$A$3:$B$200,2,FALSE))</f>
        <v>0</v>
      </c>
      <c r="O78" s="518">
        <f>IF(M78="",0,VLOOKUP(M78,CntrlAssembly!$A$3:$C$200,3,FALSE))</f>
        <v>0</v>
      </c>
      <c r="P78" s="640"/>
      <c r="Q78" s="641"/>
      <c r="R78" s="639"/>
      <c r="S78" s="495">
        <f>IF(B78="",0,VLOOKUP(B78,Assemblies!$B$3:$F$200,4,FALSE))+P78*IF(B78="",0.5,VLOOKUP(B78,Assemblies!$B$3:$F$200,5,FALSE))</f>
        <v>0</v>
      </c>
      <c r="T78" s="519">
        <f>IF(B78="",0,VLOOKUP(B78,Assemblies!$B$3:$F$200,3,FALSE))</f>
        <v>0</v>
      </c>
      <c r="U78" s="627">
        <f t="shared" si="13"/>
        <v>0</v>
      </c>
      <c r="V78" s="628">
        <f t="shared" si="14"/>
        <v>0</v>
      </c>
      <c r="W78" s="628">
        <f t="shared" si="15"/>
        <v>0</v>
      </c>
      <c r="X78" s="628">
        <f t="shared" si="16"/>
        <v>0</v>
      </c>
      <c r="Y78" s="626">
        <f t="shared" si="19"/>
        <v>0</v>
      </c>
      <c r="Z78" s="681" t="s">
        <v>450</v>
      </c>
      <c r="AA78" s="521">
        <f t="shared" si="17"/>
        <v>0</v>
      </c>
      <c r="AB78" s="522">
        <f t="shared" si="18"/>
        <v>0</v>
      </c>
    </row>
    <row r="79" spans="1:28" s="522" customFormat="1">
      <c r="A79" s="652"/>
      <c r="B79" s="654"/>
      <c r="C79" s="634"/>
      <c r="D79" s="635"/>
      <c r="E79" s="757">
        <f>IF(B79="",0,VLOOKUP(B79,Assemblies!$B$3:$F$200,2,FALSE))</f>
        <v>0</v>
      </c>
      <c r="F79" s="668">
        <f>IF(B79="",0,VLOOKUP(B79,Assemblies!$B$3:$H$200,6,FALSE))</f>
        <v>0</v>
      </c>
      <c r="G79" s="636"/>
      <c r="H79" s="634"/>
      <c r="I79" s="745"/>
      <c r="J79" s="637"/>
      <c r="K79" s="636"/>
      <c r="L79" s="765"/>
      <c r="M79" s="638"/>
      <c r="N79" s="520">
        <f>IF(M79="",0,VLOOKUP(M79,CntrlAssembly!$A$3:$B$200,2,FALSE))</f>
        <v>0</v>
      </c>
      <c r="O79" s="518">
        <f>IF(M79="",0,VLOOKUP(M79,CntrlAssembly!$A$3:$C$200,3,FALSE))</f>
        <v>0</v>
      </c>
      <c r="P79" s="640"/>
      <c r="Q79" s="641"/>
      <c r="R79" s="639"/>
      <c r="S79" s="495">
        <f>IF(B79="",0,VLOOKUP(B79,Assemblies!$B$3:$F$200,4,FALSE))+P79*IF(B79="",0.5,VLOOKUP(B79,Assemblies!$B$3:$F$200,5,FALSE))</f>
        <v>0</v>
      </c>
      <c r="T79" s="519">
        <f>IF(B79="",0,VLOOKUP(B79,Assemblies!$B$3:$F$200,3,FALSE))</f>
        <v>0</v>
      </c>
      <c r="U79" s="627">
        <f t="shared" si="13"/>
        <v>0</v>
      </c>
      <c r="V79" s="628">
        <f t="shared" si="14"/>
        <v>0</v>
      </c>
      <c r="W79" s="628">
        <f t="shared" si="15"/>
        <v>0</v>
      </c>
      <c r="X79" s="628">
        <f t="shared" si="16"/>
        <v>0</v>
      </c>
      <c r="Y79" s="626">
        <f t="shared" si="19"/>
        <v>0</v>
      </c>
      <c r="Z79" s="681" t="s">
        <v>450</v>
      </c>
      <c r="AA79" s="521">
        <f t="shared" si="17"/>
        <v>0</v>
      </c>
      <c r="AB79" s="522">
        <f t="shared" si="18"/>
        <v>0</v>
      </c>
    </row>
    <row r="80" spans="1:28" s="522" customFormat="1">
      <c r="A80" s="652"/>
      <c r="B80" s="654"/>
      <c r="C80" s="634"/>
      <c r="D80" s="635"/>
      <c r="E80" s="757">
        <f>IF(B80="",0,VLOOKUP(B80,Assemblies!$B$3:$F$200,2,FALSE))</f>
        <v>0</v>
      </c>
      <c r="F80" s="668">
        <f>IF(B80="",0,VLOOKUP(B80,Assemblies!$B$3:$H$200,6,FALSE))</f>
        <v>0</v>
      </c>
      <c r="G80" s="636"/>
      <c r="H80" s="634"/>
      <c r="I80" s="745"/>
      <c r="J80" s="637"/>
      <c r="K80" s="636"/>
      <c r="L80" s="765"/>
      <c r="M80" s="638"/>
      <c r="N80" s="520">
        <f>IF(M80="",0,VLOOKUP(M80,CntrlAssembly!$A$3:$B$200,2,FALSE))</f>
        <v>0</v>
      </c>
      <c r="O80" s="518">
        <f>IF(M80="",0,VLOOKUP(M80,CntrlAssembly!$A$3:$C$200,3,FALSE))</f>
        <v>0</v>
      </c>
      <c r="P80" s="640"/>
      <c r="Q80" s="641"/>
      <c r="R80" s="639"/>
      <c r="S80" s="495">
        <f>IF(B80="",0,VLOOKUP(B80,Assemblies!$B$3:$F$200,4,FALSE))+P80*IF(B80="",0.5,VLOOKUP(B80,Assemblies!$B$3:$F$200,5,FALSE))</f>
        <v>0</v>
      </c>
      <c r="T80" s="519">
        <f>IF(B80="",0,VLOOKUP(B80,Assemblies!$B$3:$F$200,3,FALSE))</f>
        <v>0</v>
      </c>
      <c r="U80" s="627">
        <f t="shared" si="13"/>
        <v>0</v>
      </c>
      <c r="V80" s="628">
        <f t="shared" si="14"/>
        <v>0</v>
      </c>
      <c r="W80" s="628">
        <f t="shared" si="15"/>
        <v>0</v>
      </c>
      <c r="X80" s="628">
        <f t="shared" si="16"/>
        <v>0</v>
      </c>
      <c r="Y80" s="626">
        <f t="shared" si="19"/>
        <v>0</v>
      </c>
      <c r="Z80" s="681" t="s">
        <v>450</v>
      </c>
      <c r="AA80" s="521">
        <f t="shared" si="17"/>
        <v>0</v>
      </c>
      <c r="AB80" s="522">
        <f t="shared" si="18"/>
        <v>0</v>
      </c>
    </row>
    <row r="81" spans="1:28" s="522" customFormat="1">
      <c r="A81" s="652"/>
      <c r="B81" s="654"/>
      <c r="C81" s="634"/>
      <c r="D81" s="635"/>
      <c r="E81" s="757">
        <f>IF(B81="",0,VLOOKUP(B81,Assemblies!$B$3:$F$200,2,FALSE))</f>
        <v>0</v>
      </c>
      <c r="F81" s="668">
        <f>IF(B81="",0,VLOOKUP(B81,Assemblies!$B$3:$H$200,6,FALSE))</f>
        <v>0</v>
      </c>
      <c r="G81" s="636"/>
      <c r="H81" s="634"/>
      <c r="I81" s="745"/>
      <c r="J81" s="637"/>
      <c r="K81" s="636"/>
      <c r="L81" s="765"/>
      <c r="M81" s="638"/>
      <c r="N81" s="520">
        <f>IF(M81="",0,VLOOKUP(M81,CntrlAssembly!$A$3:$B$200,2,FALSE))</f>
        <v>0</v>
      </c>
      <c r="O81" s="518">
        <f>IF(M81="",0,VLOOKUP(M81,CntrlAssembly!$A$3:$C$200,3,FALSE))</f>
        <v>0</v>
      </c>
      <c r="P81" s="640"/>
      <c r="Q81" s="641"/>
      <c r="R81" s="639"/>
      <c r="S81" s="495">
        <f>IF(B81="",0,VLOOKUP(B81,Assemblies!$B$3:$F$200,4,FALSE))+P81*IF(B81="",0.5,VLOOKUP(B81,Assemblies!$B$3:$F$200,5,FALSE))</f>
        <v>0</v>
      </c>
      <c r="T81" s="519">
        <f>IF(B81="",0,VLOOKUP(B81,Assemblies!$B$3:$F$200,3,FALSE))</f>
        <v>0</v>
      </c>
      <c r="U81" s="627">
        <f t="shared" si="13"/>
        <v>0</v>
      </c>
      <c r="V81" s="628">
        <f t="shared" si="14"/>
        <v>0</v>
      </c>
      <c r="W81" s="628">
        <f t="shared" si="15"/>
        <v>0</v>
      </c>
      <c r="X81" s="628">
        <f t="shared" si="16"/>
        <v>0</v>
      </c>
      <c r="Y81" s="626">
        <f t="shared" si="19"/>
        <v>0</v>
      </c>
      <c r="Z81" s="681" t="s">
        <v>450</v>
      </c>
      <c r="AA81" s="521">
        <f t="shared" si="17"/>
        <v>0</v>
      </c>
      <c r="AB81" s="522">
        <f t="shared" si="18"/>
        <v>0</v>
      </c>
    </row>
    <row r="82" spans="1:28" s="522" customFormat="1">
      <c r="A82" s="652"/>
      <c r="B82" s="654"/>
      <c r="C82" s="634"/>
      <c r="D82" s="635"/>
      <c r="E82" s="757">
        <f>IF(B82="",0,VLOOKUP(B82,Assemblies!$B$3:$F$200,2,FALSE))</f>
        <v>0</v>
      </c>
      <c r="F82" s="668">
        <f>IF(B82="",0,VLOOKUP(B82,Assemblies!$B$3:$H$200,6,FALSE))</f>
        <v>0</v>
      </c>
      <c r="G82" s="636"/>
      <c r="H82" s="634"/>
      <c r="I82" s="745"/>
      <c r="J82" s="637"/>
      <c r="K82" s="636"/>
      <c r="L82" s="765"/>
      <c r="M82" s="638"/>
      <c r="N82" s="520">
        <f>IF(M82="",0,VLOOKUP(M82,CntrlAssembly!$A$3:$B$200,2,FALSE))</f>
        <v>0</v>
      </c>
      <c r="O82" s="518">
        <f>IF(M82="",0,VLOOKUP(M82,CntrlAssembly!$A$3:$C$200,3,FALSE))</f>
        <v>0</v>
      </c>
      <c r="P82" s="640"/>
      <c r="Q82" s="641"/>
      <c r="R82" s="639"/>
      <c r="S82" s="495">
        <f>IF(B82="",0,VLOOKUP(B82,Assemblies!$B$3:$F$200,4,FALSE))+P82*IF(B82="",0.5,VLOOKUP(B82,Assemblies!$B$3:$F$200,5,FALSE))</f>
        <v>0</v>
      </c>
      <c r="T82" s="519">
        <f>IF(B82="",0,VLOOKUP(B82,Assemblies!$B$3:$F$200,3,FALSE))</f>
        <v>0</v>
      </c>
      <c r="U82" s="627">
        <f t="shared" si="13"/>
        <v>0</v>
      </c>
      <c r="V82" s="628">
        <f t="shared" si="14"/>
        <v>0</v>
      </c>
      <c r="W82" s="628">
        <f t="shared" si="15"/>
        <v>0</v>
      </c>
      <c r="X82" s="628">
        <f t="shared" si="16"/>
        <v>0</v>
      </c>
      <c r="Y82" s="626">
        <f t="shared" si="19"/>
        <v>0</v>
      </c>
      <c r="Z82" s="681" t="s">
        <v>450</v>
      </c>
      <c r="AA82" s="521">
        <f t="shared" si="17"/>
        <v>0</v>
      </c>
      <c r="AB82" s="522">
        <f t="shared" si="18"/>
        <v>0</v>
      </c>
    </row>
    <row r="83" spans="1:28" s="522" customFormat="1">
      <c r="A83" s="652"/>
      <c r="B83" s="654"/>
      <c r="C83" s="634"/>
      <c r="D83" s="635"/>
      <c r="E83" s="757">
        <f>IF(B83="",0,VLOOKUP(B83,Assemblies!$B$3:$F$200,2,FALSE))</f>
        <v>0</v>
      </c>
      <c r="F83" s="668">
        <f>IF(B83="",0,VLOOKUP(B83,Assemblies!$B$3:$H$200,6,FALSE))</f>
        <v>0</v>
      </c>
      <c r="G83" s="636"/>
      <c r="H83" s="634"/>
      <c r="I83" s="745"/>
      <c r="J83" s="637"/>
      <c r="K83" s="636"/>
      <c r="L83" s="765"/>
      <c r="M83" s="638"/>
      <c r="N83" s="520">
        <f>IF(M83="",0,VLOOKUP(M83,CntrlAssembly!$A$3:$B$200,2,FALSE))</f>
        <v>0</v>
      </c>
      <c r="O83" s="518">
        <f>IF(M83="",0,VLOOKUP(M83,CntrlAssembly!$A$3:$C$200,3,FALSE))</f>
        <v>0</v>
      </c>
      <c r="P83" s="640"/>
      <c r="Q83" s="641"/>
      <c r="R83" s="639"/>
      <c r="S83" s="495">
        <f>IF(B83="",0,VLOOKUP(B83,Assemblies!$B$3:$F$200,4,FALSE))+P83*IF(B83="",0.5,VLOOKUP(B83,Assemblies!$B$3:$F$200,5,FALSE))</f>
        <v>0</v>
      </c>
      <c r="T83" s="519">
        <f>IF(B83="",0,VLOOKUP(B83,Assemblies!$B$3:$F$200,3,FALSE))</f>
        <v>0</v>
      </c>
      <c r="U83" s="627">
        <f t="shared" ref="U83:U104" si="20">(D83+G83+K83+N83+P83*Q83)*C83</f>
        <v>0</v>
      </c>
      <c r="V83" s="628">
        <f t="shared" ref="V83:V104" si="21">(E83+I83+P83*R83)*C83</f>
        <v>0</v>
      </c>
      <c r="W83" s="628">
        <f t="shared" ref="W83:W104" si="22">H83*C83</f>
        <v>0</v>
      </c>
      <c r="X83" s="628">
        <f t="shared" ref="X83:X104" si="23">(L83+O83+T83+S83)*C83</f>
        <v>0</v>
      </c>
      <c r="Y83" s="626">
        <f t="shared" si="19"/>
        <v>0</v>
      </c>
      <c r="Z83" s="681" t="s">
        <v>450</v>
      </c>
      <c r="AA83" s="521">
        <f t="shared" ref="AA83:AA104" si="24">C83*(D83+N83)*0.03</f>
        <v>0</v>
      </c>
      <c r="AB83" s="522">
        <f t="shared" ref="AB83:AB104" si="25">C83*(E83+I83)/16</f>
        <v>0</v>
      </c>
    </row>
    <row r="84" spans="1:28" s="522" customFormat="1">
      <c r="A84" s="652"/>
      <c r="B84" s="654"/>
      <c r="C84" s="634"/>
      <c r="D84" s="635"/>
      <c r="E84" s="757">
        <f>IF(B84="",0,VLOOKUP(B84,Assemblies!$B$3:$F$200,2,FALSE))</f>
        <v>0</v>
      </c>
      <c r="F84" s="668">
        <f>IF(B84="",0,VLOOKUP(B84,Assemblies!$B$3:$H$200,6,FALSE))</f>
        <v>0</v>
      </c>
      <c r="G84" s="636"/>
      <c r="H84" s="634"/>
      <c r="I84" s="745"/>
      <c r="J84" s="637"/>
      <c r="K84" s="636"/>
      <c r="L84" s="765"/>
      <c r="M84" s="638"/>
      <c r="N84" s="520">
        <f>IF(M84="",0,VLOOKUP(M84,CntrlAssembly!$A$3:$B$200,2,FALSE))</f>
        <v>0</v>
      </c>
      <c r="O84" s="518">
        <f>IF(M84="",0,VLOOKUP(M84,CntrlAssembly!$A$3:$C$200,3,FALSE))</f>
        <v>0</v>
      </c>
      <c r="P84" s="640"/>
      <c r="Q84" s="641"/>
      <c r="R84" s="639"/>
      <c r="S84" s="495">
        <f>IF(B84="",0,VLOOKUP(B84,Assemblies!$B$3:$F$200,4,FALSE))+P84*IF(B84="",0.5,VLOOKUP(B84,Assemblies!$B$3:$F$200,5,FALSE))</f>
        <v>0</v>
      </c>
      <c r="T84" s="519">
        <f>IF(B84="",0,VLOOKUP(B84,Assemblies!$B$3:$F$200,3,FALSE))</f>
        <v>0</v>
      </c>
      <c r="U84" s="627">
        <f t="shared" si="20"/>
        <v>0</v>
      </c>
      <c r="V84" s="628">
        <f t="shared" si="21"/>
        <v>0</v>
      </c>
      <c r="W84" s="628">
        <f t="shared" si="22"/>
        <v>0</v>
      </c>
      <c r="X84" s="628">
        <f t="shared" si="23"/>
        <v>0</v>
      </c>
      <c r="Y84" s="626">
        <f t="shared" si="19"/>
        <v>0</v>
      </c>
      <c r="Z84" s="681" t="s">
        <v>450</v>
      </c>
      <c r="AA84" s="521">
        <f t="shared" si="24"/>
        <v>0</v>
      </c>
      <c r="AB84" s="522">
        <f t="shared" si="25"/>
        <v>0</v>
      </c>
    </row>
    <row r="85" spans="1:28" s="522" customFormat="1">
      <c r="A85" s="652"/>
      <c r="B85" s="654"/>
      <c r="C85" s="634"/>
      <c r="D85" s="635"/>
      <c r="E85" s="757">
        <f>IF(B85="",0,VLOOKUP(B85,Assemblies!$B$3:$F$200,2,FALSE))</f>
        <v>0</v>
      </c>
      <c r="F85" s="668">
        <f>IF(B85="",0,VLOOKUP(B85,Assemblies!$B$3:$H$200,6,FALSE))</f>
        <v>0</v>
      </c>
      <c r="G85" s="636"/>
      <c r="H85" s="634"/>
      <c r="I85" s="745"/>
      <c r="J85" s="637"/>
      <c r="K85" s="636"/>
      <c r="L85" s="765"/>
      <c r="M85" s="638"/>
      <c r="N85" s="520">
        <f>IF(M85="",0,VLOOKUP(M85,CntrlAssembly!$A$3:$B$200,2,FALSE))</f>
        <v>0</v>
      </c>
      <c r="O85" s="518">
        <f>IF(M85="",0,VLOOKUP(M85,CntrlAssembly!$A$3:$C$200,3,FALSE))</f>
        <v>0</v>
      </c>
      <c r="P85" s="640"/>
      <c r="Q85" s="641"/>
      <c r="R85" s="639"/>
      <c r="S85" s="495">
        <f>IF(B85="",0,VLOOKUP(B85,Assemblies!$B$3:$F$200,4,FALSE))+P85*IF(B85="",0.5,VLOOKUP(B85,Assemblies!$B$3:$F$200,5,FALSE))</f>
        <v>0</v>
      </c>
      <c r="T85" s="519">
        <f>IF(B85="",0,VLOOKUP(B85,Assemblies!$B$3:$F$200,3,FALSE))</f>
        <v>0</v>
      </c>
      <c r="U85" s="627">
        <f t="shared" si="20"/>
        <v>0</v>
      </c>
      <c r="V85" s="628">
        <f t="shared" si="21"/>
        <v>0</v>
      </c>
      <c r="W85" s="628">
        <f t="shared" si="22"/>
        <v>0</v>
      </c>
      <c r="X85" s="628">
        <f t="shared" si="23"/>
        <v>0</v>
      </c>
      <c r="Y85" s="626">
        <f t="shared" si="19"/>
        <v>0</v>
      </c>
      <c r="Z85" s="681" t="s">
        <v>450</v>
      </c>
      <c r="AA85" s="521">
        <f t="shared" si="24"/>
        <v>0</v>
      </c>
      <c r="AB85" s="522">
        <f t="shared" si="25"/>
        <v>0</v>
      </c>
    </row>
    <row r="86" spans="1:28" s="522" customFormat="1">
      <c r="A86" s="652"/>
      <c r="B86" s="654"/>
      <c r="C86" s="634"/>
      <c r="D86" s="635"/>
      <c r="E86" s="757">
        <f>IF(B86="",0,VLOOKUP(B86,Assemblies!$B$3:$F$200,2,FALSE))</f>
        <v>0</v>
      </c>
      <c r="F86" s="668">
        <f>IF(B86="",0,VLOOKUP(B86,Assemblies!$B$3:$H$200,6,FALSE))</f>
        <v>0</v>
      </c>
      <c r="G86" s="636"/>
      <c r="H86" s="634"/>
      <c r="I86" s="745"/>
      <c r="J86" s="637"/>
      <c r="K86" s="636"/>
      <c r="L86" s="765"/>
      <c r="M86" s="638"/>
      <c r="N86" s="520">
        <f>IF(M86="",0,VLOOKUP(M86,CntrlAssembly!$A$3:$B$200,2,FALSE))</f>
        <v>0</v>
      </c>
      <c r="O86" s="518">
        <f>IF(M86="",0,VLOOKUP(M86,CntrlAssembly!$A$3:$C$200,3,FALSE))</f>
        <v>0</v>
      </c>
      <c r="P86" s="640"/>
      <c r="Q86" s="641"/>
      <c r="R86" s="639"/>
      <c r="S86" s="495">
        <f>IF(B86="",0,VLOOKUP(B86,Assemblies!$B$3:$F$200,4,FALSE))+P86*IF(B86="",0.5,VLOOKUP(B86,Assemblies!$B$3:$F$200,5,FALSE))</f>
        <v>0</v>
      </c>
      <c r="T86" s="519">
        <f>IF(B86="",0,VLOOKUP(B86,Assemblies!$B$3:$F$200,3,FALSE))</f>
        <v>0</v>
      </c>
      <c r="U86" s="627">
        <f t="shared" si="20"/>
        <v>0</v>
      </c>
      <c r="V86" s="628">
        <f t="shared" si="21"/>
        <v>0</v>
      </c>
      <c r="W86" s="628">
        <f t="shared" si="22"/>
        <v>0</v>
      </c>
      <c r="X86" s="628">
        <f t="shared" si="23"/>
        <v>0</v>
      </c>
      <c r="Y86" s="626">
        <f t="shared" si="19"/>
        <v>0</v>
      </c>
      <c r="Z86" s="681" t="s">
        <v>450</v>
      </c>
      <c r="AA86" s="521">
        <f t="shared" si="24"/>
        <v>0</v>
      </c>
      <c r="AB86" s="522">
        <f t="shared" si="25"/>
        <v>0</v>
      </c>
    </row>
    <row r="87" spans="1:28" s="522" customFormat="1">
      <c r="A87" s="652"/>
      <c r="B87" s="654"/>
      <c r="C87" s="634"/>
      <c r="D87" s="635"/>
      <c r="E87" s="757">
        <f>IF(B87="",0,VLOOKUP(B87,Assemblies!$B$3:$F$200,2,FALSE))</f>
        <v>0</v>
      </c>
      <c r="F87" s="668">
        <f>IF(B87="",0,VLOOKUP(B87,Assemblies!$B$3:$H$200,6,FALSE))</f>
        <v>0</v>
      </c>
      <c r="G87" s="636"/>
      <c r="H87" s="634"/>
      <c r="I87" s="745"/>
      <c r="J87" s="637"/>
      <c r="K87" s="636"/>
      <c r="L87" s="765"/>
      <c r="M87" s="638"/>
      <c r="N87" s="520">
        <f>IF(M87="",0,VLOOKUP(M87,CntrlAssembly!$A$3:$B$200,2,FALSE))</f>
        <v>0</v>
      </c>
      <c r="O87" s="518">
        <f>IF(M87="",0,VLOOKUP(M87,CntrlAssembly!$A$3:$C$200,3,FALSE))</f>
        <v>0</v>
      </c>
      <c r="P87" s="640"/>
      <c r="Q87" s="641"/>
      <c r="R87" s="639"/>
      <c r="S87" s="495">
        <f>IF(B87="",0,VLOOKUP(B87,Assemblies!$B$3:$F$200,4,FALSE))+P87*IF(B87="",0.5,VLOOKUP(B87,Assemblies!$B$3:$F$200,5,FALSE))</f>
        <v>0</v>
      </c>
      <c r="T87" s="519">
        <f>IF(B87="",0,VLOOKUP(B87,Assemblies!$B$3:$F$200,3,FALSE))</f>
        <v>0</v>
      </c>
      <c r="U87" s="627">
        <f t="shared" si="20"/>
        <v>0</v>
      </c>
      <c r="V87" s="628">
        <f t="shared" si="21"/>
        <v>0</v>
      </c>
      <c r="W87" s="628">
        <f t="shared" si="22"/>
        <v>0</v>
      </c>
      <c r="X87" s="628">
        <f t="shared" si="23"/>
        <v>0</v>
      </c>
      <c r="Y87" s="626">
        <f t="shared" si="19"/>
        <v>0</v>
      </c>
      <c r="Z87" s="681" t="s">
        <v>450</v>
      </c>
      <c r="AA87" s="521">
        <f t="shared" si="24"/>
        <v>0</v>
      </c>
      <c r="AB87" s="522">
        <f t="shared" si="25"/>
        <v>0</v>
      </c>
    </row>
    <row r="88" spans="1:28" s="522" customFormat="1">
      <c r="A88" s="652"/>
      <c r="B88" s="654"/>
      <c r="C88" s="634"/>
      <c r="D88" s="635"/>
      <c r="E88" s="757">
        <f>IF(B88="",0,VLOOKUP(B88,Assemblies!$B$3:$F$200,2,FALSE))</f>
        <v>0</v>
      </c>
      <c r="F88" s="668">
        <f>IF(B88="",0,VLOOKUP(B88,Assemblies!$B$3:$H$200,6,FALSE))</f>
        <v>0</v>
      </c>
      <c r="G88" s="636"/>
      <c r="H88" s="634"/>
      <c r="I88" s="745"/>
      <c r="J88" s="637"/>
      <c r="K88" s="636"/>
      <c r="L88" s="765"/>
      <c r="M88" s="638"/>
      <c r="N88" s="520">
        <f>IF(M88="",0,VLOOKUP(M88,CntrlAssembly!$A$3:$B$200,2,FALSE))</f>
        <v>0</v>
      </c>
      <c r="O88" s="518">
        <f>IF(M88="",0,VLOOKUP(M88,CntrlAssembly!$A$3:$C$200,3,FALSE))</f>
        <v>0</v>
      </c>
      <c r="P88" s="640"/>
      <c r="Q88" s="641"/>
      <c r="R88" s="639"/>
      <c r="S88" s="495">
        <f>IF(B88="",0,VLOOKUP(B88,Assemblies!$B$3:$F$200,4,FALSE))+P88*IF(B88="",0.5,VLOOKUP(B88,Assemblies!$B$3:$F$200,5,FALSE))</f>
        <v>0</v>
      </c>
      <c r="T88" s="519">
        <f>IF(B88="",0,VLOOKUP(B88,Assemblies!$B$3:$F$200,3,FALSE))</f>
        <v>0</v>
      </c>
      <c r="U88" s="627">
        <f t="shared" si="20"/>
        <v>0</v>
      </c>
      <c r="V88" s="628">
        <f t="shared" si="21"/>
        <v>0</v>
      </c>
      <c r="W88" s="628">
        <f t="shared" si="22"/>
        <v>0</v>
      </c>
      <c r="X88" s="628">
        <f t="shared" si="23"/>
        <v>0</v>
      </c>
      <c r="Y88" s="626">
        <f t="shared" si="19"/>
        <v>0</v>
      </c>
      <c r="Z88" s="681" t="s">
        <v>450</v>
      </c>
      <c r="AA88" s="521">
        <f t="shared" si="24"/>
        <v>0</v>
      </c>
      <c r="AB88" s="522">
        <f t="shared" si="25"/>
        <v>0</v>
      </c>
    </row>
    <row r="89" spans="1:28" s="522" customFormat="1">
      <c r="A89" s="652"/>
      <c r="B89" s="654"/>
      <c r="C89" s="634"/>
      <c r="D89" s="635"/>
      <c r="E89" s="757">
        <f>IF(B89="",0,VLOOKUP(B89,Assemblies!$B$3:$F$200,2,FALSE))</f>
        <v>0</v>
      </c>
      <c r="F89" s="668">
        <f>IF(B89="",0,VLOOKUP(B89,Assemblies!$B$3:$H$200,6,FALSE))</f>
        <v>0</v>
      </c>
      <c r="G89" s="636"/>
      <c r="H89" s="634"/>
      <c r="I89" s="745"/>
      <c r="J89" s="637"/>
      <c r="K89" s="636"/>
      <c r="L89" s="765"/>
      <c r="M89" s="638"/>
      <c r="N89" s="520">
        <f>IF(M89="",0,VLOOKUP(M89,CntrlAssembly!$A$3:$B$200,2,FALSE))</f>
        <v>0</v>
      </c>
      <c r="O89" s="518">
        <f>IF(M89="",0,VLOOKUP(M89,CntrlAssembly!$A$3:$C$200,3,FALSE))</f>
        <v>0</v>
      </c>
      <c r="P89" s="640"/>
      <c r="Q89" s="641"/>
      <c r="R89" s="639"/>
      <c r="S89" s="495">
        <f>IF(B89="",0,VLOOKUP(B89,Assemblies!$B$3:$F$200,4,FALSE))+P89*IF(B89="",0.5,VLOOKUP(B89,Assemblies!$B$3:$F$200,5,FALSE))</f>
        <v>0</v>
      </c>
      <c r="T89" s="519">
        <f>IF(B89="",0,VLOOKUP(B89,Assemblies!$B$3:$F$200,3,FALSE))</f>
        <v>0</v>
      </c>
      <c r="U89" s="627">
        <f t="shared" si="20"/>
        <v>0</v>
      </c>
      <c r="V89" s="628">
        <f t="shared" si="21"/>
        <v>0</v>
      </c>
      <c r="W89" s="628">
        <f t="shared" si="22"/>
        <v>0</v>
      </c>
      <c r="X89" s="628">
        <f t="shared" si="23"/>
        <v>0</v>
      </c>
      <c r="Y89" s="626">
        <f t="shared" si="19"/>
        <v>0</v>
      </c>
      <c r="Z89" s="681" t="s">
        <v>450</v>
      </c>
      <c r="AA89" s="521">
        <f t="shared" si="24"/>
        <v>0</v>
      </c>
      <c r="AB89" s="522">
        <f t="shared" si="25"/>
        <v>0</v>
      </c>
    </row>
    <row r="90" spans="1:28" s="522" customFormat="1">
      <c r="A90" s="652"/>
      <c r="B90" s="654"/>
      <c r="C90" s="634"/>
      <c r="D90" s="635"/>
      <c r="E90" s="757">
        <f>IF(B90="",0,VLOOKUP(B90,Assemblies!$B$3:$F$200,2,FALSE))</f>
        <v>0</v>
      </c>
      <c r="F90" s="668">
        <f>IF(B90="",0,VLOOKUP(B90,Assemblies!$B$3:$H$200,6,FALSE))</f>
        <v>0</v>
      </c>
      <c r="G90" s="636"/>
      <c r="H90" s="634"/>
      <c r="I90" s="745"/>
      <c r="J90" s="637"/>
      <c r="K90" s="636"/>
      <c r="L90" s="765"/>
      <c r="M90" s="638"/>
      <c r="N90" s="520">
        <f>IF(M90="",0,VLOOKUP(M90,CntrlAssembly!$A$3:$B$200,2,FALSE))</f>
        <v>0</v>
      </c>
      <c r="O90" s="518">
        <f>IF(M90="",0,VLOOKUP(M90,CntrlAssembly!$A$3:$C$200,3,FALSE))</f>
        <v>0</v>
      </c>
      <c r="P90" s="640"/>
      <c r="Q90" s="641"/>
      <c r="R90" s="639"/>
      <c r="S90" s="495">
        <f>IF(B90="",0,VLOOKUP(B90,Assemblies!$B$3:$F$200,4,FALSE))+P90*IF(B90="",0.5,VLOOKUP(B90,Assemblies!$B$3:$F$200,5,FALSE))</f>
        <v>0</v>
      </c>
      <c r="T90" s="519">
        <f>IF(B90="",0,VLOOKUP(B90,Assemblies!$B$3:$F$200,3,FALSE))</f>
        <v>0</v>
      </c>
      <c r="U90" s="627">
        <f t="shared" si="20"/>
        <v>0</v>
      </c>
      <c r="V90" s="628">
        <f t="shared" si="21"/>
        <v>0</v>
      </c>
      <c r="W90" s="628">
        <f t="shared" si="22"/>
        <v>0</v>
      </c>
      <c r="X90" s="628">
        <f t="shared" si="23"/>
        <v>0</v>
      </c>
      <c r="Y90" s="626">
        <f t="shared" si="19"/>
        <v>0</v>
      </c>
      <c r="Z90" s="681" t="s">
        <v>450</v>
      </c>
      <c r="AA90" s="521">
        <f t="shared" si="24"/>
        <v>0</v>
      </c>
      <c r="AB90" s="522">
        <f t="shared" si="25"/>
        <v>0</v>
      </c>
    </row>
    <row r="91" spans="1:28" s="522" customFormat="1">
      <c r="A91" s="652"/>
      <c r="B91" s="654"/>
      <c r="C91" s="634"/>
      <c r="D91" s="635"/>
      <c r="E91" s="757">
        <f>IF(B91="",0,VLOOKUP(B91,Assemblies!$B$3:$F$200,2,FALSE))</f>
        <v>0</v>
      </c>
      <c r="F91" s="668">
        <f>IF(B91="",0,VLOOKUP(B91,Assemblies!$B$3:$H$200,6,FALSE))</f>
        <v>0</v>
      </c>
      <c r="G91" s="636"/>
      <c r="H91" s="634"/>
      <c r="I91" s="745"/>
      <c r="J91" s="637"/>
      <c r="K91" s="636"/>
      <c r="L91" s="765"/>
      <c r="M91" s="638"/>
      <c r="N91" s="520">
        <f>IF(M91="",0,VLOOKUP(M91,CntrlAssembly!$A$3:$B$200,2,FALSE))</f>
        <v>0</v>
      </c>
      <c r="O91" s="518">
        <f>IF(M91="",0,VLOOKUP(M91,CntrlAssembly!$A$3:$C$200,3,FALSE))</f>
        <v>0</v>
      </c>
      <c r="P91" s="640"/>
      <c r="Q91" s="641"/>
      <c r="R91" s="639"/>
      <c r="S91" s="495">
        <f>IF(B91="",0,VLOOKUP(B91,Assemblies!$B$3:$F$200,4,FALSE))+P91*IF(B91="",0.5,VLOOKUP(B91,Assemblies!$B$3:$F$200,5,FALSE))</f>
        <v>0</v>
      </c>
      <c r="T91" s="519">
        <f>IF(B91="",0,VLOOKUP(B91,Assemblies!$B$3:$F$200,3,FALSE))</f>
        <v>0</v>
      </c>
      <c r="U91" s="627">
        <f t="shared" si="20"/>
        <v>0</v>
      </c>
      <c r="V91" s="628">
        <f t="shared" si="21"/>
        <v>0</v>
      </c>
      <c r="W91" s="628">
        <f t="shared" si="22"/>
        <v>0</v>
      </c>
      <c r="X91" s="628">
        <f t="shared" si="23"/>
        <v>0</v>
      </c>
      <c r="Y91" s="626">
        <f t="shared" si="19"/>
        <v>0</v>
      </c>
      <c r="Z91" s="681" t="s">
        <v>450</v>
      </c>
      <c r="AA91" s="521">
        <f t="shared" si="24"/>
        <v>0</v>
      </c>
      <c r="AB91" s="522">
        <f t="shared" si="25"/>
        <v>0</v>
      </c>
    </row>
    <row r="92" spans="1:28" s="522" customFormat="1">
      <c r="A92" s="652"/>
      <c r="B92" s="654"/>
      <c r="C92" s="634"/>
      <c r="D92" s="635"/>
      <c r="E92" s="757">
        <f>IF(B92="",0,VLOOKUP(B92,Assemblies!$B$3:$F$200,2,FALSE))</f>
        <v>0</v>
      </c>
      <c r="F92" s="668">
        <f>IF(B92="",0,VLOOKUP(B92,Assemblies!$B$3:$H$200,6,FALSE))</f>
        <v>0</v>
      </c>
      <c r="G92" s="636"/>
      <c r="H92" s="634"/>
      <c r="I92" s="745"/>
      <c r="J92" s="637"/>
      <c r="K92" s="636"/>
      <c r="L92" s="765"/>
      <c r="M92" s="638"/>
      <c r="N92" s="520">
        <f>IF(M92="",0,VLOOKUP(M92,CntrlAssembly!$A$3:$B$200,2,FALSE))</f>
        <v>0</v>
      </c>
      <c r="O92" s="518">
        <f>IF(M92="",0,VLOOKUP(M92,CntrlAssembly!$A$3:$C$200,3,FALSE))</f>
        <v>0</v>
      </c>
      <c r="P92" s="640"/>
      <c r="Q92" s="641"/>
      <c r="R92" s="639"/>
      <c r="S92" s="495">
        <f>IF(B92="",0,VLOOKUP(B92,Assemblies!$B$3:$F$200,4,FALSE))+P92*IF(B92="",0.5,VLOOKUP(B92,Assemblies!$B$3:$F$200,5,FALSE))</f>
        <v>0</v>
      </c>
      <c r="T92" s="519">
        <f>IF(B92="",0,VLOOKUP(B92,Assemblies!$B$3:$F$200,3,FALSE))</f>
        <v>0</v>
      </c>
      <c r="U92" s="627">
        <f t="shared" si="20"/>
        <v>0</v>
      </c>
      <c r="V92" s="628">
        <f t="shared" si="21"/>
        <v>0</v>
      </c>
      <c r="W92" s="628">
        <f t="shared" si="22"/>
        <v>0</v>
      </c>
      <c r="X92" s="628">
        <f t="shared" si="23"/>
        <v>0</v>
      </c>
      <c r="Y92" s="626">
        <f t="shared" si="19"/>
        <v>0</v>
      </c>
      <c r="Z92" s="681" t="s">
        <v>450</v>
      </c>
      <c r="AA92" s="521">
        <f t="shared" si="24"/>
        <v>0</v>
      </c>
      <c r="AB92" s="522">
        <f t="shared" si="25"/>
        <v>0</v>
      </c>
    </row>
    <row r="93" spans="1:28" s="522" customFormat="1">
      <c r="A93" s="652"/>
      <c r="B93" s="654"/>
      <c r="C93" s="634"/>
      <c r="D93" s="635"/>
      <c r="E93" s="757">
        <f>IF(B93="",0,VLOOKUP(B93,Assemblies!$B$3:$F$200,2,FALSE))</f>
        <v>0</v>
      </c>
      <c r="F93" s="668">
        <f>IF(B93="",0,VLOOKUP(B93,Assemblies!$B$3:$H$200,6,FALSE))</f>
        <v>0</v>
      </c>
      <c r="G93" s="636"/>
      <c r="H93" s="634"/>
      <c r="I93" s="745"/>
      <c r="J93" s="637"/>
      <c r="K93" s="636"/>
      <c r="L93" s="765"/>
      <c r="M93" s="638"/>
      <c r="N93" s="520">
        <f>IF(M93="",0,VLOOKUP(M93,CntrlAssembly!$A$3:$B$200,2,FALSE))</f>
        <v>0</v>
      </c>
      <c r="O93" s="518">
        <f>IF(M93="",0,VLOOKUP(M93,CntrlAssembly!$A$3:$C$200,3,FALSE))</f>
        <v>0</v>
      </c>
      <c r="P93" s="640"/>
      <c r="Q93" s="641"/>
      <c r="R93" s="639"/>
      <c r="S93" s="495">
        <f>IF(B93="",0,VLOOKUP(B93,Assemblies!$B$3:$F$200,4,FALSE))+P93*IF(B93="",0.5,VLOOKUP(B93,Assemblies!$B$3:$F$200,5,FALSE))</f>
        <v>0</v>
      </c>
      <c r="T93" s="519">
        <f>IF(B93="",0,VLOOKUP(B93,Assemblies!$B$3:$F$200,3,FALSE))</f>
        <v>0</v>
      </c>
      <c r="U93" s="627">
        <f t="shared" si="20"/>
        <v>0</v>
      </c>
      <c r="V93" s="628">
        <f t="shared" si="21"/>
        <v>0</v>
      </c>
      <c r="W93" s="628">
        <f t="shared" si="22"/>
        <v>0</v>
      </c>
      <c r="X93" s="628">
        <f t="shared" si="23"/>
        <v>0</v>
      </c>
      <c r="Y93" s="626">
        <f t="shared" si="19"/>
        <v>0</v>
      </c>
      <c r="Z93" s="681" t="s">
        <v>450</v>
      </c>
      <c r="AA93" s="521">
        <f t="shared" si="24"/>
        <v>0</v>
      </c>
      <c r="AB93" s="522">
        <f t="shared" si="25"/>
        <v>0</v>
      </c>
    </row>
    <row r="94" spans="1:28" s="522" customFormat="1">
      <c r="A94" s="652"/>
      <c r="B94" s="654"/>
      <c r="C94" s="634"/>
      <c r="D94" s="635"/>
      <c r="E94" s="757">
        <f>IF(B94="",0,VLOOKUP(B94,Assemblies!$B$3:$F$200,2,FALSE))</f>
        <v>0</v>
      </c>
      <c r="F94" s="668">
        <f>IF(B94="",0,VLOOKUP(B94,Assemblies!$B$3:$H$200,6,FALSE))</f>
        <v>0</v>
      </c>
      <c r="G94" s="636"/>
      <c r="H94" s="634"/>
      <c r="I94" s="745"/>
      <c r="J94" s="637"/>
      <c r="K94" s="636"/>
      <c r="L94" s="765"/>
      <c r="M94" s="638"/>
      <c r="N94" s="520">
        <f>IF(M94="",0,VLOOKUP(M94,CntrlAssembly!$A$3:$B$200,2,FALSE))</f>
        <v>0</v>
      </c>
      <c r="O94" s="518">
        <f>IF(M94="",0,VLOOKUP(M94,CntrlAssembly!$A$3:$C$200,3,FALSE))</f>
        <v>0</v>
      </c>
      <c r="P94" s="640"/>
      <c r="Q94" s="641"/>
      <c r="R94" s="639"/>
      <c r="S94" s="495">
        <f>IF(B94="",0,VLOOKUP(B94,Assemblies!$B$3:$F$200,4,FALSE))+P94*IF(B94="",0.5,VLOOKUP(B94,Assemblies!$B$3:$F$200,5,FALSE))</f>
        <v>0</v>
      </c>
      <c r="T94" s="519">
        <f>IF(B94="",0,VLOOKUP(B94,Assemblies!$B$3:$F$200,3,FALSE))</f>
        <v>0</v>
      </c>
      <c r="U94" s="627">
        <f t="shared" si="20"/>
        <v>0</v>
      </c>
      <c r="V94" s="628">
        <f t="shared" si="21"/>
        <v>0</v>
      </c>
      <c r="W94" s="628">
        <f t="shared" si="22"/>
        <v>0</v>
      </c>
      <c r="X94" s="628">
        <f t="shared" si="23"/>
        <v>0</v>
      </c>
      <c r="Y94" s="626">
        <f t="shared" si="19"/>
        <v>0</v>
      </c>
      <c r="Z94" s="681" t="s">
        <v>450</v>
      </c>
      <c r="AA94" s="521">
        <f t="shared" si="24"/>
        <v>0</v>
      </c>
      <c r="AB94" s="522">
        <f t="shared" si="25"/>
        <v>0</v>
      </c>
    </row>
    <row r="95" spans="1:28" s="522" customFormat="1">
      <c r="A95" s="652"/>
      <c r="B95" s="654"/>
      <c r="C95" s="634"/>
      <c r="D95" s="635"/>
      <c r="E95" s="757">
        <f>IF(B95="",0,VLOOKUP(B95,Assemblies!$B$3:$F$200,2,FALSE))</f>
        <v>0</v>
      </c>
      <c r="F95" s="668">
        <f>IF(B95="",0,VLOOKUP(B95,Assemblies!$B$3:$H$200,6,FALSE))</f>
        <v>0</v>
      </c>
      <c r="G95" s="636"/>
      <c r="H95" s="634"/>
      <c r="I95" s="745"/>
      <c r="J95" s="637"/>
      <c r="K95" s="636"/>
      <c r="L95" s="765"/>
      <c r="M95" s="638"/>
      <c r="N95" s="520">
        <f>IF(M95="",0,VLOOKUP(M95,CntrlAssembly!$A$3:$B$200,2,FALSE))</f>
        <v>0</v>
      </c>
      <c r="O95" s="518">
        <f>IF(M95="",0,VLOOKUP(M95,CntrlAssembly!$A$3:$C$200,3,FALSE))</f>
        <v>0</v>
      </c>
      <c r="P95" s="640"/>
      <c r="Q95" s="641"/>
      <c r="R95" s="639"/>
      <c r="S95" s="495">
        <f>IF(B95="",0,VLOOKUP(B95,Assemblies!$B$3:$F$200,4,FALSE))+P95*IF(B95="",0.5,VLOOKUP(B95,Assemblies!$B$3:$F$200,5,FALSE))</f>
        <v>0</v>
      </c>
      <c r="T95" s="519">
        <f>IF(B95="",0,VLOOKUP(B95,Assemblies!$B$3:$F$200,3,FALSE))</f>
        <v>0</v>
      </c>
      <c r="U95" s="627">
        <f t="shared" si="20"/>
        <v>0</v>
      </c>
      <c r="V95" s="628">
        <f t="shared" si="21"/>
        <v>0</v>
      </c>
      <c r="W95" s="628">
        <f t="shared" si="22"/>
        <v>0</v>
      </c>
      <c r="X95" s="628">
        <f t="shared" si="23"/>
        <v>0</v>
      </c>
      <c r="Y95" s="626">
        <f t="shared" si="19"/>
        <v>0</v>
      </c>
      <c r="Z95" s="681" t="s">
        <v>450</v>
      </c>
      <c r="AA95" s="521">
        <f t="shared" si="24"/>
        <v>0</v>
      </c>
      <c r="AB95" s="522">
        <f t="shared" si="25"/>
        <v>0</v>
      </c>
    </row>
    <row r="96" spans="1:28" s="522" customFormat="1">
      <c r="A96" s="652"/>
      <c r="B96" s="654"/>
      <c r="C96" s="634"/>
      <c r="D96" s="635"/>
      <c r="E96" s="757">
        <f>IF(B96="",0,VLOOKUP(B96,Assemblies!$B$3:$F$200,2,FALSE))</f>
        <v>0</v>
      </c>
      <c r="F96" s="668">
        <f>IF(B96="",0,VLOOKUP(B96,Assemblies!$B$3:$H$200,6,FALSE))</f>
        <v>0</v>
      </c>
      <c r="G96" s="636"/>
      <c r="H96" s="634"/>
      <c r="I96" s="745"/>
      <c r="J96" s="637"/>
      <c r="K96" s="636"/>
      <c r="L96" s="765"/>
      <c r="M96" s="638"/>
      <c r="N96" s="520">
        <f>IF(M96="",0,VLOOKUP(M96,CntrlAssembly!$A$3:$B$200,2,FALSE))</f>
        <v>0</v>
      </c>
      <c r="O96" s="518">
        <f>IF(M96="",0,VLOOKUP(M96,CntrlAssembly!$A$3:$C$200,3,FALSE))</f>
        <v>0</v>
      </c>
      <c r="P96" s="640"/>
      <c r="Q96" s="641"/>
      <c r="R96" s="639"/>
      <c r="S96" s="495">
        <f>IF(B96="",0,VLOOKUP(B96,Assemblies!$B$3:$F$200,4,FALSE))+P96*IF(B96="",0.5,VLOOKUP(B96,Assemblies!$B$3:$F$200,5,FALSE))</f>
        <v>0</v>
      </c>
      <c r="T96" s="519">
        <f>IF(B96="",0,VLOOKUP(B96,Assemblies!$B$3:$F$200,3,FALSE))</f>
        <v>0</v>
      </c>
      <c r="U96" s="627">
        <f t="shared" si="20"/>
        <v>0</v>
      </c>
      <c r="V96" s="628">
        <f t="shared" si="21"/>
        <v>0</v>
      </c>
      <c r="W96" s="628">
        <f t="shared" si="22"/>
        <v>0</v>
      </c>
      <c r="X96" s="628">
        <f t="shared" si="23"/>
        <v>0</v>
      </c>
      <c r="Y96" s="626">
        <f t="shared" si="19"/>
        <v>0</v>
      </c>
      <c r="Z96" s="681" t="s">
        <v>450</v>
      </c>
      <c r="AA96" s="521">
        <f t="shared" si="24"/>
        <v>0</v>
      </c>
      <c r="AB96" s="522">
        <f t="shared" si="25"/>
        <v>0</v>
      </c>
    </row>
    <row r="97" spans="1:28" s="522" customFormat="1">
      <c r="A97" s="652"/>
      <c r="B97" s="654"/>
      <c r="C97" s="634"/>
      <c r="D97" s="635"/>
      <c r="E97" s="757">
        <f>IF(B97="",0,VLOOKUP(B97,Assemblies!$B$3:$F$200,2,FALSE))</f>
        <v>0</v>
      </c>
      <c r="F97" s="668">
        <f>IF(B97="",0,VLOOKUP(B97,Assemblies!$B$3:$H$200,6,FALSE))</f>
        <v>0</v>
      </c>
      <c r="G97" s="636"/>
      <c r="H97" s="634"/>
      <c r="I97" s="745"/>
      <c r="J97" s="637"/>
      <c r="K97" s="636"/>
      <c r="L97" s="765"/>
      <c r="M97" s="638"/>
      <c r="N97" s="520">
        <f>IF(M97="",0,VLOOKUP(M97,CntrlAssembly!$A$3:$B$200,2,FALSE))</f>
        <v>0</v>
      </c>
      <c r="O97" s="518">
        <f>IF(M97="",0,VLOOKUP(M97,CntrlAssembly!$A$3:$C$200,3,FALSE))</f>
        <v>0</v>
      </c>
      <c r="P97" s="640"/>
      <c r="Q97" s="641"/>
      <c r="R97" s="639"/>
      <c r="S97" s="495">
        <f>IF(B97="",0,VLOOKUP(B97,Assemblies!$B$3:$F$200,4,FALSE))+P97*IF(B97="",0.5,VLOOKUP(B97,Assemblies!$B$3:$F$200,5,FALSE))</f>
        <v>0</v>
      </c>
      <c r="T97" s="519">
        <f>IF(B97="",0,VLOOKUP(B97,Assemblies!$B$3:$F$200,3,FALSE))</f>
        <v>0</v>
      </c>
      <c r="U97" s="627">
        <f t="shared" si="20"/>
        <v>0</v>
      </c>
      <c r="V97" s="628">
        <f t="shared" si="21"/>
        <v>0</v>
      </c>
      <c r="W97" s="628">
        <f t="shared" si="22"/>
        <v>0</v>
      </c>
      <c r="X97" s="628">
        <f t="shared" si="23"/>
        <v>0</v>
      </c>
      <c r="Y97" s="626">
        <f t="shared" si="19"/>
        <v>0</v>
      </c>
      <c r="Z97" s="681" t="s">
        <v>450</v>
      </c>
      <c r="AA97" s="521">
        <f t="shared" si="24"/>
        <v>0</v>
      </c>
      <c r="AB97" s="522">
        <f t="shared" si="25"/>
        <v>0</v>
      </c>
    </row>
    <row r="98" spans="1:28" s="522" customFormat="1">
      <c r="A98" s="652"/>
      <c r="B98" s="654"/>
      <c r="C98" s="634"/>
      <c r="D98" s="635"/>
      <c r="E98" s="757">
        <f>IF(B98="",0,VLOOKUP(B98,Assemblies!$B$3:$F$200,2,FALSE))</f>
        <v>0</v>
      </c>
      <c r="F98" s="668">
        <f>IF(B98="",0,VLOOKUP(B98,Assemblies!$B$3:$H$200,6,FALSE))</f>
        <v>0</v>
      </c>
      <c r="G98" s="636"/>
      <c r="H98" s="634"/>
      <c r="I98" s="745"/>
      <c r="J98" s="637"/>
      <c r="K98" s="636"/>
      <c r="L98" s="765"/>
      <c r="M98" s="638"/>
      <c r="N98" s="520">
        <f>IF(M98="",0,VLOOKUP(M98,CntrlAssembly!$A$3:$B$200,2,FALSE))</f>
        <v>0</v>
      </c>
      <c r="O98" s="518">
        <f>IF(M98="",0,VLOOKUP(M98,CntrlAssembly!$A$3:$C$200,3,FALSE))</f>
        <v>0</v>
      </c>
      <c r="P98" s="640"/>
      <c r="Q98" s="641"/>
      <c r="R98" s="639"/>
      <c r="S98" s="495">
        <f>IF(B98="",0,VLOOKUP(B98,Assemblies!$B$3:$F$200,4,FALSE))+P98*IF(B98="",0.5,VLOOKUP(B98,Assemblies!$B$3:$F$200,5,FALSE))</f>
        <v>0</v>
      </c>
      <c r="T98" s="519">
        <f>IF(B98="",0,VLOOKUP(B98,Assemblies!$B$3:$F$200,3,FALSE))</f>
        <v>0</v>
      </c>
      <c r="U98" s="627">
        <f t="shared" si="20"/>
        <v>0</v>
      </c>
      <c r="V98" s="628">
        <f t="shared" si="21"/>
        <v>0</v>
      </c>
      <c r="W98" s="628">
        <f t="shared" si="22"/>
        <v>0</v>
      </c>
      <c r="X98" s="628">
        <f t="shared" si="23"/>
        <v>0</v>
      </c>
      <c r="Y98" s="626">
        <f t="shared" si="19"/>
        <v>0</v>
      </c>
      <c r="Z98" s="681" t="s">
        <v>450</v>
      </c>
      <c r="AA98" s="521">
        <f t="shared" si="24"/>
        <v>0</v>
      </c>
      <c r="AB98" s="522">
        <f t="shared" si="25"/>
        <v>0</v>
      </c>
    </row>
    <row r="99" spans="1:28" s="522" customFormat="1">
      <c r="A99" s="652"/>
      <c r="B99" s="654"/>
      <c r="C99" s="634"/>
      <c r="D99" s="635"/>
      <c r="E99" s="757">
        <f>IF(B99="",0,VLOOKUP(B99,Assemblies!$B$3:$F$200,2,FALSE))</f>
        <v>0</v>
      </c>
      <c r="F99" s="668">
        <f>IF(B99="",0,VLOOKUP(B99,Assemblies!$B$3:$H$200,6,FALSE))</f>
        <v>0</v>
      </c>
      <c r="G99" s="636"/>
      <c r="H99" s="634"/>
      <c r="I99" s="745"/>
      <c r="J99" s="637"/>
      <c r="K99" s="636"/>
      <c r="L99" s="765"/>
      <c r="M99" s="638"/>
      <c r="N99" s="520">
        <f>IF(M99="",0,VLOOKUP(M99,CntrlAssembly!$A$3:$B$200,2,FALSE))</f>
        <v>0</v>
      </c>
      <c r="O99" s="518">
        <f>IF(M99="",0,VLOOKUP(M99,CntrlAssembly!$A$3:$C$200,3,FALSE))</f>
        <v>0</v>
      </c>
      <c r="P99" s="640"/>
      <c r="Q99" s="641"/>
      <c r="R99" s="639"/>
      <c r="S99" s="495">
        <f>IF(B99="",0,VLOOKUP(B99,Assemblies!$B$3:$F$200,4,FALSE))+P99*IF(B99="",0.5,VLOOKUP(B99,Assemblies!$B$3:$F$200,5,FALSE))</f>
        <v>0</v>
      </c>
      <c r="T99" s="519">
        <f>IF(B99="",0,VLOOKUP(B99,Assemblies!$B$3:$F$200,3,FALSE))</f>
        <v>0</v>
      </c>
      <c r="U99" s="627">
        <f t="shared" si="20"/>
        <v>0</v>
      </c>
      <c r="V99" s="628">
        <f t="shared" si="21"/>
        <v>0</v>
      </c>
      <c r="W99" s="628">
        <f t="shared" si="22"/>
        <v>0</v>
      </c>
      <c r="X99" s="628">
        <f t="shared" si="23"/>
        <v>0</v>
      </c>
      <c r="Y99" s="626">
        <f t="shared" si="19"/>
        <v>0</v>
      </c>
      <c r="Z99" s="681" t="s">
        <v>450</v>
      </c>
      <c r="AA99" s="521">
        <f t="shared" si="24"/>
        <v>0</v>
      </c>
      <c r="AB99" s="522">
        <f t="shared" si="25"/>
        <v>0</v>
      </c>
    </row>
    <row r="100" spans="1:28" s="522" customFormat="1">
      <c r="A100" s="652"/>
      <c r="B100" s="654"/>
      <c r="C100" s="634"/>
      <c r="D100" s="635"/>
      <c r="E100" s="757">
        <f>IF(B100="",0,VLOOKUP(B100,Assemblies!$B$3:$F$200,2,FALSE))</f>
        <v>0</v>
      </c>
      <c r="F100" s="668">
        <f>IF(B100="",0,VLOOKUP(B100,Assemblies!$B$3:$H$200,6,FALSE))</f>
        <v>0</v>
      </c>
      <c r="G100" s="636"/>
      <c r="H100" s="634"/>
      <c r="I100" s="745"/>
      <c r="J100" s="637"/>
      <c r="K100" s="636"/>
      <c r="L100" s="765"/>
      <c r="M100" s="638"/>
      <c r="N100" s="520">
        <f>IF(M100="",0,VLOOKUP(M100,CntrlAssembly!$A$3:$B$200,2,FALSE))</f>
        <v>0</v>
      </c>
      <c r="O100" s="518">
        <f>IF(M100="",0,VLOOKUP(M100,CntrlAssembly!$A$3:$C$200,3,FALSE))</f>
        <v>0</v>
      </c>
      <c r="P100" s="640"/>
      <c r="Q100" s="641"/>
      <c r="R100" s="639"/>
      <c r="S100" s="495">
        <f>IF(B100="",0,VLOOKUP(B100,Assemblies!$B$3:$F$200,4,FALSE))+P100*IF(B100="",0.5,VLOOKUP(B100,Assemblies!$B$3:$F$200,5,FALSE))</f>
        <v>0</v>
      </c>
      <c r="T100" s="519">
        <f>IF(B100="",0,VLOOKUP(B100,Assemblies!$B$3:$F$200,3,FALSE))</f>
        <v>0</v>
      </c>
      <c r="U100" s="627">
        <f t="shared" si="20"/>
        <v>0</v>
      </c>
      <c r="V100" s="628">
        <f t="shared" si="21"/>
        <v>0</v>
      </c>
      <c r="W100" s="628">
        <f t="shared" si="22"/>
        <v>0</v>
      </c>
      <c r="X100" s="628">
        <f t="shared" si="23"/>
        <v>0</v>
      </c>
      <c r="Y100" s="626">
        <f t="shared" si="19"/>
        <v>0</v>
      </c>
      <c r="Z100" s="681" t="s">
        <v>450</v>
      </c>
      <c r="AA100" s="521">
        <f t="shared" si="24"/>
        <v>0</v>
      </c>
      <c r="AB100" s="522">
        <f t="shared" si="25"/>
        <v>0</v>
      </c>
    </row>
    <row r="101" spans="1:28" s="522" customFormat="1">
      <c r="A101" s="652"/>
      <c r="B101" s="654"/>
      <c r="C101" s="634"/>
      <c r="D101" s="635"/>
      <c r="E101" s="757">
        <f>IF(B101="",0,VLOOKUP(B101,Assemblies!$B$3:$F$200,2,FALSE))</f>
        <v>0</v>
      </c>
      <c r="F101" s="668">
        <f>IF(B101="",0,VLOOKUP(B101,Assemblies!$B$3:$H$200,6,FALSE))</f>
        <v>0</v>
      </c>
      <c r="G101" s="636"/>
      <c r="H101" s="634"/>
      <c r="I101" s="745"/>
      <c r="J101" s="637"/>
      <c r="K101" s="636"/>
      <c r="L101" s="765"/>
      <c r="M101" s="638"/>
      <c r="N101" s="520">
        <f>IF(M101="",0,VLOOKUP(M101,CntrlAssembly!$A$3:$B$200,2,FALSE))</f>
        <v>0</v>
      </c>
      <c r="O101" s="518">
        <f>IF(M101="",0,VLOOKUP(M101,CntrlAssembly!$A$3:$C$200,3,FALSE))</f>
        <v>0</v>
      </c>
      <c r="P101" s="640"/>
      <c r="Q101" s="641"/>
      <c r="R101" s="639"/>
      <c r="S101" s="495">
        <f>IF(B101="",0,VLOOKUP(B101,Assemblies!$B$3:$F$200,4,FALSE))+P101*IF(B101="",0.5,VLOOKUP(B101,Assemblies!$B$3:$F$200,5,FALSE))</f>
        <v>0</v>
      </c>
      <c r="T101" s="519">
        <f>IF(B101="",0,VLOOKUP(B101,Assemblies!$B$3:$F$200,3,FALSE))</f>
        <v>0</v>
      </c>
      <c r="U101" s="627">
        <f t="shared" si="20"/>
        <v>0</v>
      </c>
      <c r="V101" s="628">
        <f t="shared" si="21"/>
        <v>0</v>
      </c>
      <c r="W101" s="628">
        <f t="shared" si="22"/>
        <v>0</v>
      </c>
      <c r="X101" s="628">
        <f t="shared" si="23"/>
        <v>0</v>
      </c>
      <c r="Y101" s="626">
        <f t="shared" si="19"/>
        <v>0</v>
      </c>
      <c r="Z101" s="681" t="s">
        <v>450</v>
      </c>
      <c r="AA101" s="521">
        <f t="shared" si="24"/>
        <v>0</v>
      </c>
      <c r="AB101" s="522">
        <f t="shared" si="25"/>
        <v>0</v>
      </c>
    </row>
    <row r="102" spans="1:28" s="522" customFormat="1">
      <c r="A102" s="652"/>
      <c r="B102" s="654"/>
      <c r="C102" s="634"/>
      <c r="D102" s="635"/>
      <c r="E102" s="757">
        <f>IF(B102="",0,VLOOKUP(B102,Assemblies!$B$3:$F$200,2,FALSE))</f>
        <v>0</v>
      </c>
      <c r="F102" s="668">
        <f>IF(B102="",0,VLOOKUP(B102,Assemblies!$B$3:$H$200,6,FALSE))</f>
        <v>0</v>
      </c>
      <c r="G102" s="636"/>
      <c r="H102" s="634"/>
      <c r="I102" s="745"/>
      <c r="J102" s="637"/>
      <c r="K102" s="636"/>
      <c r="L102" s="765"/>
      <c r="M102" s="638"/>
      <c r="N102" s="520">
        <f>IF(M102="",0,VLOOKUP(M102,CntrlAssembly!$A$3:$B$200,2,FALSE))</f>
        <v>0</v>
      </c>
      <c r="O102" s="518">
        <f>IF(M102="",0,VLOOKUP(M102,CntrlAssembly!$A$3:$C$200,3,FALSE))</f>
        <v>0</v>
      </c>
      <c r="P102" s="640"/>
      <c r="Q102" s="641"/>
      <c r="R102" s="639"/>
      <c r="S102" s="495">
        <f>IF(B102="",0,VLOOKUP(B102,Assemblies!$B$3:$F$200,4,FALSE))+P102*IF(B102="",0.5,VLOOKUP(B102,Assemblies!$B$3:$F$200,5,FALSE))</f>
        <v>0</v>
      </c>
      <c r="T102" s="519">
        <f>IF(B102="",0,VLOOKUP(B102,Assemblies!$B$3:$F$200,3,FALSE))</f>
        <v>0</v>
      </c>
      <c r="U102" s="627">
        <f t="shared" si="20"/>
        <v>0</v>
      </c>
      <c r="V102" s="628">
        <f t="shared" si="21"/>
        <v>0</v>
      </c>
      <c r="W102" s="628">
        <f t="shared" si="22"/>
        <v>0</v>
      </c>
      <c r="X102" s="628">
        <f t="shared" si="23"/>
        <v>0</v>
      </c>
      <c r="Y102" s="626">
        <f t="shared" si="19"/>
        <v>0</v>
      </c>
      <c r="Z102" s="681" t="s">
        <v>450</v>
      </c>
      <c r="AA102" s="521">
        <f t="shared" si="24"/>
        <v>0</v>
      </c>
      <c r="AB102" s="522">
        <f t="shared" si="25"/>
        <v>0</v>
      </c>
    </row>
    <row r="103" spans="1:28" s="522" customFormat="1">
      <c r="A103" s="652"/>
      <c r="B103" s="654"/>
      <c r="C103" s="634"/>
      <c r="D103" s="635"/>
      <c r="E103" s="757">
        <f>IF(B103="",0,VLOOKUP(B103,Assemblies!$B$3:$F$200,2,FALSE))</f>
        <v>0</v>
      </c>
      <c r="F103" s="668">
        <f>IF(B103="",0,VLOOKUP(B103,Assemblies!$B$3:$H$200,6,FALSE))</f>
        <v>0</v>
      </c>
      <c r="G103" s="636"/>
      <c r="H103" s="634"/>
      <c r="I103" s="745"/>
      <c r="J103" s="637"/>
      <c r="K103" s="636"/>
      <c r="L103" s="765"/>
      <c r="M103" s="638"/>
      <c r="N103" s="520">
        <f>IF(M103="",0,VLOOKUP(M103,CntrlAssembly!$A$3:$B$200,2,FALSE))</f>
        <v>0</v>
      </c>
      <c r="O103" s="518">
        <f>IF(M103="",0,VLOOKUP(M103,CntrlAssembly!$A$3:$C$200,3,FALSE))</f>
        <v>0</v>
      </c>
      <c r="P103" s="640"/>
      <c r="Q103" s="641"/>
      <c r="R103" s="639"/>
      <c r="S103" s="495">
        <f>IF(B103="",0,VLOOKUP(B103,Assemblies!$B$3:$F$200,4,FALSE))+P103*IF(B103="",0.5,VLOOKUP(B103,Assemblies!$B$3:$F$200,5,FALSE))</f>
        <v>0</v>
      </c>
      <c r="T103" s="519">
        <f>IF(B103="",0,VLOOKUP(B103,Assemblies!$B$3:$F$200,3,FALSE))</f>
        <v>0</v>
      </c>
      <c r="U103" s="627">
        <f t="shared" si="20"/>
        <v>0</v>
      </c>
      <c r="V103" s="628">
        <f t="shared" si="21"/>
        <v>0</v>
      </c>
      <c r="W103" s="628">
        <f t="shared" si="22"/>
        <v>0</v>
      </c>
      <c r="X103" s="628">
        <f t="shared" si="23"/>
        <v>0</v>
      </c>
      <c r="Y103" s="626">
        <f t="shared" si="19"/>
        <v>0</v>
      </c>
      <c r="Z103" s="681" t="s">
        <v>450</v>
      </c>
      <c r="AA103" s="521">
        <f t="shared" si="24"/>
        <v>0</v>
      </c>
      <c r="AB103" s="522">
        <f t="shared" si="25"/>
        <v>0</v>
      </c>
    </row>
    <row r="104" spans="1:28" s="522" customFormat="1" ht="15" thickBot="1">
      <c r="A104" s="672"/>
      <c r="B104" s="685"/>
      <c r="C104" s="670"/>
      <c r="D104" s="673"/>
      <c r="E104" s="758">
        <f>IF(B104="",0,VLOOKUP(B104,Assemblies!$B$3:$F$200,2,FALSE))</f>
        <v>0</v>
      </c>
      <c r="F104" s="680">
        <f>IF(B104="",0,VLOOKUP(B104,Assemblies!$B$3:$H$200,6,FALSE))</f>
        <v>0</v>
      </c>
      <c r="G104" s="674"/>
      <c r="H104" s="675"/>
      <c r="I104" s="746"/>
      <c r="J104" s="669"/>
      <c r="K104" s="674"/>
      <c r="L104" s="766"/>
      <c r="M104" s="676"/>
      <c r="N104" s="536">
        <f>IF(M104="",0,VLOOKUP(M104,CntrlAssembly!$A$3:$B$200,2,FALSE))</f>
        <v>0</v>
      </c>
      <c r="O104" s="534">
        <f>IF(M104="",0,VLOOKUP(M104,CntrlAssembly!$A$3:$C$200,3,FALSE))</f>
        <v>0</v>
      </c>
      <c r="P104" s="677"/>
      <c r="Q104" s="678"/>
      <c r="R104" s="679"/>
      <c r="S104" s="537">
        <f>IF(B104="",0,VLOOKUP(B104,Assemblies!$B$3:$F$200,4,FALSE))+P104*IF(B104="",0.5,VLOOKUP(B104,Assemblies!$B$3:$F$200,5,FALSE))</f>
        <v>0</v>
      </c>
      <c r="T104" s="535">
        <f>IF(B104="",0,VLOOKUP(B104,Assemblies!$B$3:$F$200,3,FALSE))</f>
        <v>0</v>
      </c>
      <c r="U104" s="629">
        <f t="shared" si="20"/>
        <v>0</v>
      </c>
      <c r="V104" s="630">
        <f t="shared" si="21"/>
        <v>0</v>
      </c>
      <c r="W104" s="630">
        <f t="shared" si="22"/>
        <v>0</v>
      </c>
      <c r="X104" s="630">
        <f t="shared" si="23"/>
        <v>0</v>
      </c>
      <c r="Y104" s="630">
        <f t="shared" si="19"/>
        <v>0</v>
      </c>
      <c r="Z104" s="681" t="s">
        <v>450</v>
      </c>
      <c r="AA104" s="521">
        <f t="shared" si="24"/>
        <v>0</v>
      </c>
      <c r="AB104" s="522">
        <f t="shared" si="25"/>
        <v>0</v>
      </c>
    </row>
    <row r="105" spans="1:28" ht="15" thickTop="1">
      <c r="B105" s="480"/>
      <c r="C105" s="480"/>
      <c r="D105" s="498">
        <f t="shared" ref="D105:L105" si="26">SUMPRODUCT(D3:D104,$C$3:$C$104)</f>
        <v>54660</v>
      </c>
      <c r="E105" s="759">
        <f t="shared" si="26"/>
        <v>135</v>
      </c>
      <c r="F105" s="492">
        <f t="shared" si="26"/>
        <v>0</v>
      </c>
      <c r="G105" s="498">
        <f t="shared" si="26"/>
        <v>3900</v>
      </c>
      <c r="H105" s="492">
        <f t="shared" si="26"/>
        <v>20</v>
      </c>
      <c r="I105" s="747">
        <f t="shared" si="26"/>
        <v>184</v>
      </c>
      <c r="J105" s="499">
        <f t="shared" si="26"/>
        <v>0</v>
      </c>
      <c r="K105" s="498">
        <f t="shared" si="26"/>
        <v>8850</v>
      </c>
      <c r="L105" s="767">
        <f t="shared" si="26"/>
        <v>366</v>
      </c>
      <c r="M105" s="498"/>
      <c r="N105" s="498">
        <f>SUMPRODUCT(N3:N104,$C$3:$C$104)</f>
        <v>2480</v>
      </c>
      <c r="O105" s="500">
        <f>SUMPRODUCT(O3:O104,$C$3:$C$104)</f>
        <v>82</v>
      </c>
      <c r="P105" s="558">
        <f>SUMPRODUCT(C3:C104,P3:P104)</f>
        <v>24</v>
      </c>
      <c r="Q105" s="501">
        <f>SUMPRODUCT(Q3:Q104,P3:P104,$C$3:$C$104)</f>
        <v>1800</v>
      </c>
      <c r="R105" s="502">
        <f>SUMPRODUCT(R3:R104,$C$3:$C$104,P3:P104)</f>
        <v>24</v>
      </c>
      <c r="S105" s="500">
        <f>SUMPRODUCT(S3:S104,$C$3:$C$104)</f>
        <v>22.4</v>
      </c>
      <c r="T105" s="500">
        <f>SUMPRODUCT(T3:T104,$C$3:$C$104)</f>
        <v>35.5</v>
      </c>
      <c r="U105" s="631">
        <f>SUM(U3:U104)</f>
        <v>71690</v>
      </c>
      <c r="V105" s="632">
        <f>SUM(V3:V104)</f>
        <v>343</v>
      </c>
      <c r="W105" s="632">
        <f>SUM(W3:W104)</f>
        <v>20</v>
      </c>
      <c r="X105" s="632">
        <f>SUM(X3:X104)+ReferPipe!H53</f>
        <v>505.90000000000003</v>
      </c>
      <c r="Y105" s="632">
        <f>SUM(Y3:Y104)</f>
        <v>0</v>
      </c>
      <c r="Z105" s="633"/>
      <c r="AA105" s="497">
        <f>SUM(AA3:AA104)</f>
        <v>1714.2</v>
      </c>
      <c r="AB105" s="478">
        <f>SUM(AB3:AB104)</f>
        <v>19.9375</v>
      </c>
    </row>
    <row r="106" spans="1:28">
      <c r="D106" s="493"/>
      <c r="E106" s="748"/>
      <c r="G106" s="493"/>
      <c r="I106" s="748"/>
      <c r="K106" s="493"/>
      <c r="L106" s="748"/>
      <c r="M106" s="493"/>
      <c r="N106" s="493"/>
      <c r="O106" s="493"/>
      <c r="P106" s="503"/>
      <c r="Q106" s="503"/>
      <c r="R106" s="493"/>
      <c r="S106" s="503"/>
      <c r="T106" s="493"/>
    </row>
    <row r="107" spans="1:28">
      <c r="A107" s="586"/>
      <c r="D107" s="493"/>
      <c r="E107" s="748"/>
      <c r="G107" s="493"/>
      <c r="I107" s="748"/>
      <c r="K107" s="493"/>
      <c r="L107" s="748"/>
      <c r="M107" s="493"/>
      <c r="N107" s="493"/>
      <c r="O107" s="493"/>
      <c r="P107" s="503"/>
      <c r="Q107" s="503"/>
      <c r="R107" s="493"/>
      <c r="S107" s="503"/>
      <c r="T107" s="493"/>
      <c r="U107" s="488"/>
      <c r="V107" s="489"/>
      <c r="W107" s="560"/>
    </row>
    <row r="108" spans="1:28">
      <c r="D108" s="493"/>
      <c r="E108" s="748"/>
      <c r="G108" s="493"/>
      <c r="I108" s="748"/>
      <c r="K108" s="493"/>
      <c r="L108" s="748"/>
      <c r="M108" s="493"/>
      <c r="N108" s="493"/>
      <c r="O108" s="493"/>
      <c r="P108" s="503"/>
      <c r="Q108" s="503"/>
      <c r="R108" s="493"/>
      <c r="S108" s="503"/>
      <c r="T108" s="493"/>
      <c r="U108" s="487"/>
      <c r="V108" s="489"/>
    </row>
    <row r="109" spans="1:28">
      <c r="D109" s="493"/>
      <c r="E109" s="748"/>
      <c r="G109" s="493"/>
      <c r="I109" s="748"/>
      <c r="K109" s="493"/>
      <c r="L109" s="748"/>
      <c r="M109" s="493"/>
      <c r="N109" s="493"/>
      <c r="O109" s="493"/>
      <c r="P109" s="503"/>
      <c r="Q109" s="503"/>
      <c r="R109" s="493"/>
      <c r="S109" s="503"/>
      <c r="T109" s="493"/>
    </row>
    <row r="110" spans="1:28">
      <c r="D110" s="493"/>
      <c r="E110" s="748"/>
      <c r="G110" s="493"/>
      <c r="I110" s="748"/>
      <c r="K110" s="493"/>
      <c r="L110" s="748"/>
      <c r="M110" s="493"/>
      <c r="N110" s="493"/>
      <c r="O110" s="493"/>
      <c r="P110" s="503"/>
      <c r="Q110" s="503"/>
      <c r="R110" s="493"/>
      <c r="S110" s="503"/>
      <c r="T110" s="493"/>
      <c r="W110" s="560"/>
    </row>
    <row r="111" spans="1:28">
      <c r="B111" s="487"/>
      <c r="C111" s="485"/>
      <c r="D111" s="493"/>
      <c r="E111" s="748"/>
      <c r="G111" s="493"/>
      <c r="I111" s="748"/>
      <c r="K111" s="493"/>
      <c r="L111" s="748"/>
      <c r="M111" s="493"/>
      <c r="N111" s="493"/>
      <c r="O111" s="493"/>
      <c r="P111" s="503"/>
      <c r="Q111" s="503"/>
      <c r="R111" s="493"/>
      <c r="S111" s="503"/>
      <c r="T111" s="493"/>
    </row>
    <row r="112" spans="1:28" ht="15" thickBot="1">
      <c r="A112" s="595"/>
      <c r="B112" s="596" t="s">
        <v>188</v>
      </c>
      <c r="C112" s="597" t="s">
        <v>618</v>
      </c>
      <c r="D112" s="597" t="s">
        <v>619</v>
      </c>
      <c r="E112" s="760" t="s">
        <v>620</v>
      </c>
      <c r="F112" s="597"/>
      <c r="G112" s="598" t="s">
        <v>623</v>
      </c>
      <c r="H112" s="599" t="s">
        <v>625</v>
      </c>
      <c r="I112" s="749" t="s">
        <v>611</v>
      </c>
      <c r="J112" s="599" t="s">
        <v>325</v>
      </c>
      <c r="K112" s="599"/>
      <c r="L112" s="768" t="s">
        <v>633</v>
      </c>
      <c r="M112" s="600" t="s">
        <v>32</v>
      </c>
      <c r="N112" s="622" t="s">
        <v>624</v>
      </c>
      <c r="O112" s="493"/>
      <c r="P112" s="595"/>
      <c r="Q112" s="493"/>
      <c r="R112" s="503"/>
      <c r="S112" s="503"/>
      <c r="T112" s="493"/>
      <c r="U112" s="503"/>
      <c r="V112" s="493"/>
      <c r="Y112" s="560"/>
    </row>
    <row r="113" spans="1:27">
      <c r="A113" s="604" t="s">
        <v>450</v>
      </c>
      <c r="B113" s="601">
        <f>SUMIF($Z$3:$Z$104,A113,$U$3:$U$104)+SUMIF($Z$3:$Z$104,A113,$AA$3:$AA$104)+ReferPipe!$F$53+SUMIF(ReferPipe!$Y$37:$Y$45,A113,ReferPipe!$X$37:$X$45)+GeneralConditions!C8</f>
        <v>73404.2</v>
      </c>
      <c r="C113" s="614">
        <f>SUMIF($Z$3:$Z$104,A113,$V$3:$V$104)+SUMIF($Z$3:$Z$104,A113,$W$3:$W$104)+SUMIF($Z$3:$Z$104,A113,$X$3:$X$104)+SUMIF($Z$3:$Z$104,A113,$AB$3:$AB$104)+ReferPipe!H53+SUMIF(ReferPipe!Y37:Y45,A113,ReferPipe!W37:W45)+GeneralConditions!R28+GeneralConditions!E8</f>
        <v>888.83750000000009</v>
      </c>
      <c r="D113" s="615">
        <f>+SUMIF($Z$3:$Z$104,A113,$Y$3:$Y$104)+GeneralConditions!R29</f>
        <v>0</v>
      </c>
      <c r="E113" s="834">
        <f>(LCRate-SUMMARY!$C$49-SUMMARY!$C$52)*$D113+(BTRate-SUMMARY!$C$48-SUMMARY!$C$51)*$C113</f>
        <v>74662.350000000006</v>
      </c>
      <c r="F113" s="834"/>
      <c r="G113" s="594">
        <f>SUM(BTDetHrs,LCDetHrs)+GeneralConditions!E5+GeneralConditions!E6+GeneralConditions!E4+GeneralConditions!E7</f>
        <v>139.55312499999999</v>
      </c>
      <c r="H113" s="593">
        <f>(GeneralConditions!R33*(SUMMARY!D7-SUMMARY!C48-SUMMARY!C51)+GeneralConditions!R31*(SUMMARY!D9-SUMMARY!C48-SUMMARY!C51)+GeneralConditions!R32*(SUMMARY!D18-SUMMARY!C48-SUMMARY!C51)+SUMMARY!C27*(SUMMARY!D27-SUMMARY!C48-SUMMARY!C51)+SUMMARY!C28*(SUMMARY!D28-SUMMARY!C48-SUMMARY!C51)+SUMMARY!C31*(SUMMARY!D31-SUMMARY!C48-SUMMARY!C51)+SUMMARY!$E$54+SUMMARY!$E$56+SUMMARY!$F$6+SUMMARY!$F$7+SUMMARY!$F$9+SUMMARY!$F$18+SUMMARY!$F$27+SUMMARY!$F$28+GeneralConditions!R30*(SUMMARY!D6-SUMMARY!C48-SUMMARY!C51)+LCDetHrs*(ADMINISTRATION!B36-SUMMARY!C49-SUMMARY!C52)+GeneralConditions!E5*(SUMMARY!D9-SUMMARY!C48-SUMMARY!C51)+GeneralConditions!E6*(SUMMARY!D18-SUMMARY!C48-SUMMARY!C51)+GeneralConditions!E4*(SUMMARY!D6-SUMMARY!C48-SUMMARY!C51)+GeneralConditions!E7*(SUMMARY!D7-SUMMARY!C48-SUMMARY!C51))</f>
        <v>11722.462500000001</v>
      </c>
      <c r="I113" s="750">
        <f>ADMINISTRATION!$B$7*(BTDetHrs+BIMHrs+GeneralConditions!E5+GeneralConditions!E6+GeneralConditions!E4+GeneralConditions!E7)+ADMINISTRATION!$B$47*LCDetHrs+C113*ADMINISTRATION!$B$7+D113*ADMINISTRATION!$B$47</f>
        <v>18768.12890625</v>
      </c>
      <c r="J113" s="847">
        <f>SUM(GeneralConditions!C18:C34)</f>
        <v>0</v>
      </c>
      <c r="K113" s="848"/>
      <c r="L113" s="769">
        <f>(B113+E113+H113+I113)*PermitRatio</f>
        <v>5356.7142421874996</v>
      </c>
      <c r="M113" s="593">
        <f>B113+E113+H113+I113+J113+L113</f>
        <v>183913.85564843749</v>
      </c>
      <c r="N113" s="841">
        <f>(B113+E113+H113+I113)*$B$131+(J113+L113)*$B$132</f>
        <v>236498.93379257811</v>
      </c>
      <c r="O113" s="842"/>
      <c r="P113" s="722"/>
      <c r="Q113" s="727"/>
      <c r="R113" s="503"/>
      <c r="S113" s="503"/>
      <c r="T113" s="493"/>
      <c r="U113" s="503"/>
      <c r="V113" s="493"/>
      <c r="AA113" s="478" t="b">
        <v>1</v>
      </c>
    </row>
    <row r="114" spans="1:27">
      <c r="A114" s="605" t="s">
        <v>506</v>
      </c>
      <c r="B114" s="602">
        <f>SUMIF($Z$3:$Z$104,A114,$U$3:$U$104)+SUMIF($Z$3:$Z$104,A114,$AA$3:$AA$104)+SUMIF(ReferPipe!$Y$37:$Y$45,A114,ReferPipe!$X$37:$X$45)</f>
        <v>0</v>
      </c>
      <c r="C114" s="616">
        <f>SUMIF($Z$3:$Z$104,A114,$V$3:$V$104)+SUMIF($Z$3:$Z$104,A114,$W$3:$W$104)+SUMIF($Z$3:$Z$104,A114,$X$3:$X$104)+SUMIF($Z$3:$Z$104,A114,$AB$3:$AB$104)+SUMIF(ReferPipe!$Y$37:$Y$45,A114,ReferPipe!$W$37:$W$45)+GeneralConditions!S28</f>
        <v>0</v>
      </c>
      <c r="D114" s="592">
        <f>+SUMIF($Z$3:$Z$104,A114,$Y$3:$Y$104)+GeneralConditions!S29</f>
        <v>0</v>
      </c>
      <c r="E114" s="835">
        <f>(LCRate-SUMMARY!$C$49-SUMMARY!$C$52)*$D114+(BTRate-SUMMARY!$C$48-SUMMARY!$C$51)*$C114</f>
        <v>0</v>
      </c>
      <c r="F114" s="835"/>
      <c r="G114" s="594">
        <f>BTDetAlt1+LCDetAlt1</f>
        <v>0</v>
      </c>
      <c r="H114" s="593">
        <f>(GeneralConditions!S33*(SUMMARY!D7-SUMMARY!C48-SUMMARY!C51)+GeneralConditions!S31*(SUMMARY!D9-SUMMARY!C48-SUMMARY!C51)+GeneralConditions!S32*(SUMMARY!D18-SUMMARY!C48-SUMMARY!C51)+GeneralConditions!S30*(SUMMARY!D6-SUMMARY!C48-SUMMARY!C51)+LCDetAlt1*(ADMINISTRATION!B36-SUMMARY!C49-SUMMARY!C52))</f>
        <v>0</v>
      </c>
      <c r="I114" s="750">
        <f>ADMINISTRATION!$B$7*BTDetAlt1+C114*ADMINISTRATION!$B$7+D114*ADMINISTRATION!$B$47+ADMINISTRATION!$B$47*LCDetAlt1</f>
        <v>0</v>
      </c>
      <c r="J114" s="849">
        <f>SUM(GeneralConditions!D18:D34)</f>
        <v>0</v>
      </c>
      <c r="K114" s="850"/>
      <c r="L114" s="769">
        <f>(B114+E114+H114+I114)*PermitRatio</f>
        <v>0</v>
      </c>
      <c r="M114" s="591">
        <f>B114+E114+H114+I114+J114+L114</f>
        <v>0</v>
      </c>
      <c r="N114" s="836">
        <f>(B114+E114+H114+I114)*$B$131+(J114+L114)*$B$132</f>
        <v>0</v>
      </c>
      <c r="O114" s="843"/>
      <c r="P114" s="723"/>
      <c r="Q114" s="729" t="s">
        <v>696</v>
      </c>
      <c r="R114" s="503"/>
      <c r="S114" s="503"/>
      <c r="T114" s="493"/>
      <c r="U114" s="503"/>
      <c r="V114" s="493"/>
      <c r="Y114" s="560"/>
      <c r="AA114" s="478" t="b">
        <v>0</v>
      </c>
    </row>
    <row r="115" spans="1:27">
      <c r="A115" s="606" t="s">
        <v>507</v>
      </c>
      <c r="B115" s="602">
        <f>SUMIF($Z$3:$Z$104,A115,$U$3:$U$104)+SUMIF($Z$3:$Z$104,A115,$AA$3:$AA$104)+SUMIF(ReferPipe!$Y$37:$Y$45,A115,ReferPipe!$X$37:$X$45)</f>
        <v>0</v>
      </c>
      <c r="C115" s="616">
        <f>SUMIF($Z$3:$Z$104,A115,$V$3:$V$104)+SUMIF($Z$3:$Z$104,A115,$W$3:$W$104)+SUMIF($Z$3:$Z$104,A115,$X$3:$X$104)+SUMIF($Z$3:$Z$104,A115,$AB$3:$AB$104)+SUMIF(ReferPipe!$Y$37:$Y$45,A115,ReferPipe!$W$37:$W$45)+GeneralConditions!T28</f>
        <v>0</v>
      </c>
      <c r="D115" s="592">
        <f>+SUMIF($Z$3:$Z$104,A115,$Y$3:$Y$104)+GeneralConditions!T29</f>
        <v>0</v>
      </c>
      <c r="E115" s="835">
        <f>(LCRate-SUMMARY!$C$49-SUMMARY!$C$52)*$D115+(BTRate-SUMMARY!$C$48-SUMMARY!$C$51)*$C115</f>
        <v>0</v>
      </c>
      <c r="F115" s="835"/>
      <c r="G115" s="594">
        <f>BTDetAlt2+LCDetAlt2</f>
        <v>0</v>
      </c>
      <c r="H115" s="593">
        <f>(GeneralConditions!T33*(SUMMARY!D7-SUMMARY!C48-SUMMARY!C51)+GeneralConditions!T31*(SUMMARY!D9-SUMMARY!C48-SUMMARY!C51)+GeneralConditions!T32*(SUMMARY!D18-SUMMARY!C48-SUMMARY!C51)+GeneralConditions!T30*(SUMMARY!D6-SUMMARY!C48-SUMMARY!C51)+LCDetAlt2*(ADMINISTRATION!B36-SUMMARY!C49-SUMMARY!C52))</f>
        <v>0</v>
      </c>
      <c r="I115" s="750">
        <f>ADMINISTRATION!$B$7*BTDetAlt2+C115*ADMINISTRATION!$B$7+D115*ADMINISTRATION!$B$47+ADMINISTRATION!$B$47*LCDetAlt2</f>
        <v>0</v>
      </c>
      <c r="J115" s="849">
        <f>SUM(GeneralConditions!E18:E34)</f>
        <v>0</v>
      </c>
      <c r="K115" s="850"/>
      <c r="L115" s="769">
        <f>(B115+E115+H115+I115)*PermitRatio</f>
        <v>0</v>
      </c>
      <c r="M115" s="591">
        <f>B115+E115+H115+I115+J115+L115</f>
        <v>0</v>
      </c>
      <c r="N115" s="836">
        <f>(B115+E115+H115+I115)*$B$131+(J115+L115)*$B$132</f>
        <v>0</v>
      </c>
      <c r="O115" s="843"/>
      <c r="P115" s="723"/>
      <c r="Q115" s="729" t="s">
        <v>698</v>
      </c>
      <c r="R115" s="503"/>
      <c r="S115" s="503"/>
      <c r="T115" s="493"/>
      <c r="U115" s="503"/>
      <c r="V115" s="493"/>
      <c r="AA115" s="478" t="b">
        <v>0</v>
      </c>
    </row>
    <row r="116" spans="1:27">
      <c r="A116" s="607" t="s">
        <v>508</v>
      </c>
      <c r="B116" s="602">
        <f>SUMIF($Z$3:$Z$104,A116,$U$3:$U$104)+SUMIF($Z$3:$Z$104,A116,$AA$3:$AA$104)+SUMIF(ReferPipe!$Y$37:$Y$45,A116,ReferPipe!$X$37:$X$45)</f>
        <v>0</v>
      </c>
      <c r="C116" s="616">
        <f>SUMIF($Z$3:$Z$104,A116,$V$3:$V$104)+SUMIF($Z$3:$Z$104,A116,$W$3:$W$104)+SUMIF($Z$3:$Z$104,A116,$X$3:$X$104)+SUMIF($Z$3:$Z$104,A116,$AB$3:$AB$104)+SUMIF(ReferPipe!$Y$37:$Y$45,A116,ReferPipe!$W$37:$W$45)+GeneralConditions!U28</f>
        <v>0</v>
      </c>
      <c r="D116" s="592">
        <f>+SUMIF($Z$3:$Z$104,A116,$Y$3:$Y$104)+GeneralConditions!U29</f>
        <v>0</v>
      </c>
      <c r="E116" s="835">
        <f>(LCRate-SUMMARY!$C$49-SUMMARY!$C$52)*$D116+(BTRate-SUMMARY!$C$48-SUMMARY!$C$51)*$C116</f>
        <v>0</v>
      </c>
      <c r="F116" s="835"/>
      <c r="G116" s="594">
        <f>BTDetAlt3+LCDetAlt3</f>
        <v>0</v>
      </c>
      <c r="H116" s="593">
        <f>(GeneralConditions!U33*(SUMMARY!D7-SUMMARY!C48-SUMMARY!C51)+GeneralConditions!U31*(SUMMARY!D9-SUMMARY!C48-SUMMARY!C51)+GeneralConditions!U32*(SUMMARY!D18-SUMMARY!C48-SUMMARY!C51)+GeneralConditions!U30*(SUMMARY!D6-SUMMARY!C48-SUMMARY!C51)+LCDetAlt3*(ADMINISTRATION!B36-SUMMARY!C49-SUMMARY!C52))</f>
        <v>0</v>
      </c>
      <c r="I116" s="750">
        <f>ADMINISTRATION!$B$7*BTDetAlt3+C116*ADMINISTRATION!$B$7+D116*ADMINISTRATION!$B$47+ADMINISTRATION!$B$47*LCDetAlt3</f>
        <v>0</v>
      </c>
      <c r="J116" s="849">
        <f>SUM(GeneralConditions!F18:F34)</f>
        <v>0</v>
      </c>
      <c r="K116" s="850"/>
      <c r="L116" s="769">
        <f>(B116+E116+H116+I116)*PermitRatio</f>
        <v>0</v>
      </c>
      <c r="M116" s="591">
        <f>B116+E116+H116+I116+J116+L116</f>
        <v>0</v>
      </c>
      <c r="N116" s="836">
        <f t="shared" ref="N116:N122" si="27">(B116+E116+H116+I116)*$B$131+(J116+L116)*$B$132</f>
        <v>0</v>
      </c>
      <c r="O116" s="843"/>
      <c r="P116" s="723"/>
      <c r="Q116" s="729" t="s">
        <v>699</v>
      </c>
      <c r="R116" s="503"/>
      <c r="S116" s="503"/>
      <c r="T116" s="493"/>
      <c r="U116" s="503"/>
      <c r="V116" s="493"/>
      <c r="AA116" s="478" t="b">
        <v>0</v>
      </c>
    </row>
    <row r="117" spans="1:27">
      <c r="A117" s="606" t="s">
        <v>509</v>
      </c>
      <c r="B117" s="602">
        <f>SUMIF($Z$3:$Z$104,A117,$U$3:$U$104)+SUMIF($Z$3:$Z$104,A117,$AA$3:$AA$104)+SUMIF(ReferPipe!$Y$37:$Y$45,A117,ReferPipe!$X$37:$X$45)</f>
        <v>0</v>
      </c>
      <c r="C117" s="616">
        <f>SUMIF($Z$3:$Z$104,A117,$V$3:$V$104)+SUMIF($Z$3:$Z$104,A117,$W$3:$W$104)+SUMIF($Z$3:$Z$104,A117,$X$3:$X$104)+SUMIF($Z$3:$Z$104,A117,$AB$3:$AB$104)+SUMIF(ReferPipe!$Y$37:$Y$45,A117,ReferPipe!$W$37:$W$45)+GeneralConditions!V28</f>
        <v>0</v>
      </c>
      <c r="D117" s="592">
        <f>+SUMIF($Z$3:$Z$104,A117,$Y$3:$Y$104)+GeneralConditions!V29</f>
        <v>0</v>
      </c>
      <c r="E117" s="835">
        <f>(LCRate-SUMMARY!$C$49-SUMMARY!$C$52)*$D117+(BTRate-SUMMARY!$C$48-SUMMARY!$C$51)*$C117</f>
        <v>0</v>
      </c>
      <c r="F117" s="835"/>
      <c r="G117" s="594">
        <f>BTDetAlt4+LCDetAlt4</f>
        <v>0</v>
      </c>
      <c r="H117" s="593">
        <f>(GeneralConditions!V33*(SUMMARY!D7-SUMMARY!C48-SUMMARY!C51)+GeneralConditions!V31*(SUMMARY!D9-SUMMARY!C48-SUMMARY!C51)+GeneralConditions!V32*(SUMMARY!D18-SUMMARY!C48-SUMMARY!C51)+GeneralConditions!V30*(SUMMARY!D6-SUMMARY!C48-SUMMARY!C51)+LCDetAlt4*(ADMINISTRATION!B36-SUMMARY!C49-SUMMARY!C52))</f>
        <v>0</v>
      </c>
      <c r="I117" s="750">
        <f>ADMINISTRATION!$B$7*BTDetAlt4+C117*ADMINISTRATION!$B$7+D117*ADMINISTRATION!$B$47+ADMINISTRATION!$B$47*LCDetAlt4</f>
        <v>0</v>
      </c>
      <c r="J117" s="849">
        <f>SUM(GeneralConditions!G18:G34)</f>
        <v>0</v>
      </c>
      <c r="K117" s="850"/>
      <c r="L117" s="769">
        <f>(B117+E117+H117+I117)*PermitRatio</f>
        <v>0</v>
      </c>
      <c r="M117" s="591">
        <f>B117+E117+H117+I117+J117+L117</f>
        <v>0</v>
      </c>
      <c r="N117" s="836">
        <f t="shared" si="27"/>
        <v>0</v>
      </c>
      <c r="O117" s="843"/>
      <c r="P117" s="723"/>
      <c r="Q117" s="731" t="s">
        <v>700</v>
      </c>
      <c r="R117" s="503"/>
      <c r="S117" s="503"/>
      <c r="T117" s="493"/>
      <c r="U117" s="503"/>
      <c r="V117" s="493"/>
      <c r="AA117" s="478" t="b">
        <v>0</v>
      </c>
    </row>
    <row r="118" spans="1:27">
      <c r="A118" s="623" t="s">
        <v>634</v>
      </c>
      <c r="B118" s="603"/>
      <c r="C118" s="592"/>
      <c r="D118" s="592">
        <f>+SUMIF($Z$3:$Z$104,A118,$Y$3:$Y$104)</f>
        <v>0</v>
      </c>
      <c r="E118" s="836">
        <f t="shared" ref="E118:E122" si="28">LCRate*D118+BTRate*C118</f>
        <v>0</v>
      </c>
      <c r="F118" s="801"/>
      <c r="G118" s="594">
        <f t="shared" ref="G118:G121" si="29">IF(BThrs=0,0,(C118)/BThrs*BTDetHrs)+IF(LCHrs=0,0,(D118)/LCHrs*LCDetHrs)</f>
        <v>0</v>
      </c>
      <c r="H118" s="593">
        <f t="shared" ref="H118:H121" si="30">IF(BThrs=0,0,(C118)/BThrs*GCBT)+IF(LCHrs=0,0,D118/LCHrs*GCLC)</f>
        <v>0</v>
      </c>
      <c r="I118" s="750">
        <f>IF(BThrs=0,0,(C118)/(BThrs)*(ADMINISTRATION!$B$7*(BTDetHrs+BIMHrs)))+IF(LCHrs=0,0,(D118)/(LCHrs)*ADMINISTRATION!$B$47*LCDetHrs)+C118*ADMINISTRATION!$B$7+D118*ADMINISTRATION!$B$47</f>
        <v>0</v>
      </c>
      <c r="J118" s="849"/>
      <c r="K118" s="850"/>
      <c r="L118" s="770"/>
      <c r="M118" s="591"/>
      <c r="N118" s="836">
        <f t="shared" si="27"/>
        <v>0</v>
      </c>
      <c r="O118" s="843"/>
      <c r="P118" s="723"/>
      <c r="Q118" s="727"/>
      <c r="R118" s="503"/>
      <c r="S118" s="503"/>
      <c r="T118" s="493"/>
      <c r="U118" s="503"/>
      <c r="V118" s="493"/>
      <c r="AA118" s="478" t="b">
        <v>0</v>
      </c>
    </row>
    <row r="119" spans="1:27">
      <c r="A119" s="609"/>
      <c r="B119" s="602"/>
      <c r="C119" s="592"/>
      <c r="D119" s="592"/>
      <c r="E119" s="836">
        <f t="shared" si="28"/>
        <v>0</v>
      </c>
      <c r="F119" s="801"/>
      <c r="G119" s="594">
        <f t="shared" si="29"/>
        <v>0</v>
      </c>
      <c r="H119" s="593">
        <f t="shared" si="30"/>
        <v>0</v>
      </c>
      <c r="I119" s="750">
        <f>IF(BThrs=0,0,(C119)/(BThrs)*(ADMINISTRATION!$B$7*(BTDetHrs+BIMHrs)))+IF(LCHrs=0,0,(D119)/(LCHrs)*ADMINISTRATION!$B$47*LCDetHrs)+C119*ADMINISTRATION!$B$7+D119*ADMINISTRATION!$B$47</f>
        <v>0</v>
      </c>
      <c r="J119" s="849"/>
      <c r="K119" s="850"/>
      <c r="L119" s="770"/>
      <c r="M119" s="591"/>
      <c r="N119" s="836">
        <f t="shared" si="27"/>
        <v>0</v>
      </c>
      <c r="O119" s="843"/>
      <c r="P119" s="724" t="s">
        <v>49</v>
      </c>
      <c r="Q119" s="727"/>
      <c r="R119" s="503"/>
      <c r="S119" s="503"/>
      <c r="T119" s="493"/>
      <c r="U119" s="503"/>
      <c r="V119" s="493"/>
    </row>
    <row r="120" spans="1:27">
      <c r="A120" s="608"/>
      <c r="B120" s="602"/>
      <c r="C120" s="592"/>
      <c r="D120" s="592"/>
      <c r="E120" s="836">
        <f t="shared" si="28"/>
        <v>0</v>
      </c>
      <c r="F120" s="801"/>
      <c r="G120" s="594">
        <f t="shared" si="29"/>
        <v>0</v>
      </c>
      <c r="H120" s="593">
        <f t="shared" si="30"/>
        <v>0</v>
      </c>
      <c r="I120" s="750">
        <f>IF(BThrs=0,0,(C120)/(BThrs)*(ADMINISTRATION!$B$7*(BTDetHrs+BIMHrs)))+IF(LCHrs=0,0,(D120)/(LCHrs)*ADMINISTRATION!$B$47*LCDetHrs)+C120*ADMINISTRATION!$B$7+D120*ADMINISTRATION!$B$47</f>
        <v>0</v>
      </c>
      <c r="J120" s="849"/>
      <c r="K120" s="850"/>
      <c r="L120" s="770"/>
      <c r="M120" s="591"/>
      <c r="N120" s="836">
        <f t="shared" si="27"/>
        <v>0</v>
      </c>
      <c r="O120" s="843"/>
      <c r="P120" s="725"/>
      <c r="Q120" s="727"/>
      <c r="R120" s="503"/>
      <c r="S120" s="503"/>
      <c r="T120" s="493"/>
      <c r="U120" s="503"/>
      <c r="V120" s="493"/>
    </row>
    <row r="121" spans="1:27">
      <c r="A121" s="610"/>
      <c r="B121" s="602"/>
      <c r="C121" s="592"/>
      <c r="D121" s="592"/>
      <c r="E121" s="836">
        <f t="shared" si="28"/>
        <v>0</v>
      </c>
      <c r="F121" s="801"/>
      <c r="G121" s="594">
        <f t="shared" si="29"/>
        <v>0</v>
      </c>
      <c r="H121" s="593">
        <f t="shared" si="30"/>
        <v>0</v>
      </c>
      <c r="I121" s="750">
        <f>IF(BThrs=0,0,(C121)/(BThrs)*(ADMINISTRATION!$B$7*(BTDetHrs+BIMHrs)))+IF(LCHrs=0,0,(D121)/(LCHrs)*ADMINISTRATION!$B$47*LCDetHrs)+C121*ADMINISTRATION!$B$7+D121*ADMINISTRATION!$B$47</f>
        <v>0</v>
      </c>
      <c r="J121" s="849"/>
      <c r="K121" s="850"/>
      <c r="L121" s="770"/>
      <c r="M121" s="591"/>
      <c r="N121" s="836">
        <f t="shared" si="27"/>
        <v>0</v>
      </c>
      <c r="O121" s="843"/>
      <c r="P121" s="725"/>
      <c r="Q121" s="727"/>
      <c r="R121" s="503"/>
      <c r="S121" s="503"/>
      <c r="T121" s="493"/>
      <c r="U121" s="503"/>
      <c r="V121" s="493"/>
    </row>
    <row r="122" spans="1:27" ht="15" thickBot="1">
      <c r="A122" s="611"/>
      <c r="B122" s="612"/>
      <c r="C122" s="617"/>
      <c r="D122" s="618"/>
      <c r="E122" s="837">
        <f t="shared" si="28"/>
        <v>0</v>
      </c>
      <c r="F122" s="838"/>
      <c r="G122" s="613"/>
      <c r="H122" s="619"/>
      <c r="I122" s="751"/>
      <c r="J122" s="851"/>
      <c r="K122" s="852"/>
      <c r="L122" s="751"/>
      <c r="M122" s="619"/>
      <c r="N122" s="844">
        <f t="shared" si="27"/>
        <v>0</v>
      </c>
      <c r="O122" s="845"/>
      <c r="P122" s="726"/>
      <c r="Q122" s="728"/>
      <c r="R122" s="503"/>
      <c r="S122" s="493"/>
      <c r="T122" s="503"/>
      <c r="U122" s="493"/>
    </row>
    <row r="123" spans="1:27" ht="15" thickTop="1">
      <c r="B123" s="481">
        <f>SUM(B113:B122)</f>
        <v>73404.2</v>
      </c>
      <c r="C123" s="486"/>
      <c r="D123" s="486"/>
      <c r="E123" s="839"/>
      <c r="F123" s="840"/>
      <c r="G123" s="485"/>
      <c r="H123" s="481"/>
      <c r="I123" s="752"/>
      <c r="J123" s="839"/>
      <c r="K123" s="840"/>
      <c r="L123" s="752"/>
      <c r="M123" s="505"/>
      <c r="N123" s="846">
        <f>SUM(N113:O117)</f>
        <v>236498.93379257811</v>
      </c>
      <c r="O123" s="846"/>
      <c r="P123" s="721"/>
      <c r="Q123" s="493"/>
      <c r="R123" s="503"/>
      <c r="S123" s="503"/>
      <c r="T123" s="493"/>
      <c r="U123" s="503"/>
      <c r="V123" s="493"/>
    </row>
    <row r="124" spans="1:27">
      <c r="A124"/>
      <c r="D124" s="493"/>
      <c r="E124" s="753"/>
      <c r="F124" s="590"/>
      <c r="G124" s="505"/>
      <c r="H124" s="505"/>
      <c r="I124" s="753"/>
      <c r="J124" s="505"/>
      <c r="K124" s="493"/>
      <c r="L124" s="748"/>
      <c r="M124" s="493"/>
      <c r="N124" s="505"/>
      <c r="O124" s="505"/>
      <c r="P124" s="503"/>
      <c r="Q124" s="503"/>
      <c r="R124" s="493"/>
      <c r="S124" s="503"/>
      <c r="T124" s="493"/>
    </row>
    <row r="125" spans="1:27">
      <c r="A125"/>
      <c r="D125" s="493"/>
      <c r="E125" s="748"/>
      <c r="G125" s="493"/>
      <c r="I125" s="748"/>
      <c r="K125" s="493"/>
      <c r="L125" s="748"/>
      <c r="M125" s="493"/>
      <c r="N125" s="505"/>
      <c r="O125" s="493"/>
      <c r="P125" s="503"/>
      <c r="Q125" s="503"/>
      <c r="R125" s="493"/>
      <c r="S125" s="503"/>
      <c r="T125" s="493"/>
    </row>
    <row r="126" spans="1:27" hidden="1">
      <c r="A126" t="s">
        <v>609</v>
      </c>
      <c r="D126" s="493"/>
      <c r="E126" s="748"/>
      <c r="G126" s="493"/>
      <c r="I126" s="748"/>
      <c r="K126" s="588"/>
      <c r="L126" s="748"/>
      <c r="M126" s="493"/>
      <c r="N126" s="493"/>
      <c r="O126" s="493"/>
      <c r="P126" s="503"/>
      <c r="Q126" s="503"/>
      <c r="R126" s="493"/>
      <c r="S126" s="503"/>
      <c r="T126" s="493"/>
    </row>
    <row r="127" spans="1:27" hidden="1">
      <c r="A127" t="s">
        <v>608</v>
      </c>
      <c r="B127" s="485">
        <f>SUM(SUMMARY!C44:C46)</f>
        <v>1028.390625</v>
      </c>
      <c r="D127" s="493"/>
      <c r="E127" s="748"/>
      <c r="G127" s="493"/>
      <c r="I127" s="748"/>
      <c r="K127" s="588"/>
      <c r="L127" s="748"/>
      <c r="M127" s="493"/>
      <c r="N127" s="493"/>
      <c r="O127" s="493"/>
      <c r="P127" s="503"/>
      <c r="Q127" s="503"/>
      <c r="R127" s="493"/>
      <c r="S127" s="503"/>
      <c r="T127" s="493"/>
    </row>
    <row r="128" spans="1:27" hidden="1">
      <c r="A128" t="s">
        <v>610</v>
      </c>
      <c r="B128" s="488">
        <f>SUM(SUMMARY!E44:E46)</f>
        <v>86384.8125</v>
      </c>
      <c r="D128" s="493"/>
      <c r="E128" s="761"/>
      <c r="F128" s="732"/>
      <c r="G128" s="493"/>
      <c r="I128" s="748"/>
      <c r="K128" s="588"/>
      <c r="L128" s="748"/>
      <c r="M128" s="493"/>
      <c r="N128" s="493"/>
      <c r="O128" s="493"/>
      <c r="P128" s="503"/>
      <c r="Q128" s="503"/>
      <c r="R128" s="493"/>
      <c r="S128" s="503"/>
      <c r="T128" s="493"/>
    </row>
    <row r="129" spans="1:20" hidden="1">
      <c r="A129" t="s">
        <v>611</v>
      </c>
      <c r="B129" s="481">
        <f>SUMMARY!E47</f>
        <v>18768.12890625</v>
      </c>
      <c r="D129" s="493"/>
      <c r="E129" s="748"/>
      <c r="G129" s="493"/>
      <c r="I129" s="748"/>
      <c r="K129" s="588"/>
      <c r="L129" s="748"/>
      <c r="M129" s="493"/>
      <c r="N129" s="493"/>
      <c r="O129" s="493"/>
      <c r="P129" s="503"/>
      <c r="Q129" s="503"/>
      <c r="R129" s="493"/>
      <c r="S129" s="503"/>
      <c r="T129" s="493"/>
    </row>
    <row r="130" spans="1:20" hidden="1">
      <c r="A130" t="s">
        <v>612</v>
      </c>
      <c r="B130" s="589">
        <f>GP</f>
        <v>0.22234805587013981</v>
      </c>
      <c r="D130" s="493"/>
      <c r="E130" s="748"/>
      <c r="G130" s="493"/>
      <c r="I130" s="748"/>
      <c r="K130" s="493"/>
      <c r="L130" s="748"/>
      <c r="M130" s="493"/>
      <c r="N130" s="493"/>
      <c r="O130" s="493"/>
      <c r="P130" s="503"/>
      <c r="Q130" s="503"/>
      <c r="R130" s="493"/>
      <c r="S130" s="503"/>
      <c r="T130" s="493"/>
    </row>
    <row r="131" spans="1:20" hidden="1">
      <c r="A131" t="s">
        <v>613</v>
      </c>
      <c r="B131" s="478">
        <f>SUMMARY!E59*SUMMARY!E61</f>
        <v>1.2915000000000001</v>
      </c>
      <c r="D131" s="493"/>
      <c r="E131" s="748"/>
      <c r="G131" s="493"/>
      <c r="I131" s="748"/>
      <c r="K131" s="493"/>
      <c r="L131" s="748"/>
      <c r="M131" s="493"/>
      <c r="N131" s="493"/>
      <c r="O131" s="493"/>
      <c r="P131" s="503"/>
      <c r="Q131" s="503"/>
      <c r="R131" s="493"/>
      <c r="S131" s="503"/>
      <c r="T131" s="493"/>
    </row>
    <row r="132" spans="1:20" hidden="1">
      <c r="A132" t="s">
        <v>614</v>
      </c>
      <c r="B132" s="587">
        <f>SUMMARY!D63</f>
        <v>1.1000000000000001</v>
      </c>
      <c r="D132" s="493"/>
      <c r="E132" s="748"/>
      <c r="G132" s="493"/>
      <c r="I132" s="748"/>
      <c r="K132" s="493"/>
      <c r="L132" s="748"/>
      <c r="M132" s="493"/>
      <c r="N132" s="493"/>
      <c r="O132" s="493"/>
      <c r="P132" s="503"/>
      <c r="Q132" s="503"/>
      <c r="R132" s="493"/>
      <c r="S132" s="503"/>
      <c r="T132" s="493"/>
    </row>
    <row r="133" spans="1:20" hidden="1">
      <c r="A133" t="s">
        <v>615</v>
      </c>
      <c r="B133" s="488">
        <f>SUMMARY!L38</f>
        <v>5356.7142421875005</v>
      </c>
      <c r="D133" s="493"/>
      <c r="E133" s="748"/>
      <c r="G133" s="493"/>
      <c r="I133" s="748"/>
      <c r="K133" s="493"/>
      <c r="L133" s="748"/>
      <c r="M133" s="493"/>
      <c r="N133" s="493"/>
      <c r="O133" s="493"/>
      <c r="P133" s="503"/>
      <c r="Q133" s="503"/>
      <c r="R133" s="493"/>
      <c r="S133" s="503"/>
      <c r="T133" s="493"/>
    </row>
    <row r="134" spans="1:20" hidden="1">
      <c r="A134" t="s">
        <v>616</v>
      </c>
      <c r="B134" s="481">
        <f>(SUMMARY!$E$7+SUMMARY!$E$9+SUMMARY!$E$18+SUMMARY!$K$8+SUMMARY!$E$27+SUMMARY!$E$28+SUMMARY!$E$31+SUMMARY!$E$54+SUMMARY!$E$56+SUMMARY!$E$6+SUMMARY!$K$6+SUMMARY!$F$6+SUMMARY!$F$7+SUMMARY!$F$8+SUMMARY!$F$9+SUMMARY!$F$18+SUMMARY!$F$27+SUMMARY!$F$28+SUMMARY!$L$6+SUMMARY!$L$8)</f>
        <v>11722.462500000001</v>
      </c>
      <c r="C134" s="481"/>
      <c r="D134" s="493"/>
      <c r="E134" s="748"/>
      <c r="G134" s="493"/>
      <c r="I134" s="748"/>
      <c r="K134" s="493"/>
      <c r="L134" s="748"/>
      <c r="M134" s="493"/>
      <c r="N134" s="493"/>
      <c r="O134" s="493"/>
      <c r="P134" s="503"/>
      <c r="Q134" s="503"/>
      <c r="R134" s="493"/>
      <c r="S134" s="503"/>
      <c r="T134" s="493"/>
    </row>
    <row r="135" spans="1:20" hidden="1">
      <c r="A135" t="s">
        <v>617</v>
      </c>
      <c r="B135" s="481">
        <f>SUM(SUMMARY!E54:E56)</f>
        <v>0</v>
      </c>
      <c r="D135" s="493"/>
      <c r="E135" s="748"/>
      <c r="G135" s="493"/>
      <c r="I135" s="748"/>
      <c r="K135" s="493"/>
      <c r="L135" s="748"/>
      <c r="M135" s="493"/>
      <c r="N135" s="493"/>
      <c r="O135" s="493"/>
      <c r="P135" s="503"/>
      <c r="Q135" s="503"/>
      <c r="R135" s="493"/>
      <c r="S135" s="503"/>
      <c r="T135" s="493"/>
    </row>
    <row r="136" spans="1:20" hidden="1">
      <c r="A136" t="s">
        <v>621</v>
      </c>
      <c r="B136" s="485">
        <f>Thrs-SUMMARY!C6-SUMMARY!C7-SUMMARY!C9-SUMMARY!C18-SUMMARY!C27-SUMMARY!C28-SUMMARY!I8-SUMMARY!I6</f>
        <v>888.83749999999998</v>
      </c>
      <c r="D136" s="493"/>
      <c r="E136" s="748"/>
      <c r="G136" s="493"/>
      <c r="I136" s="748"/>
      <c r="K136" s="493"/>
      <c r="L136" s="748"/>
      <c r="M136" s="493"/>
      <c r="N136" s="493"/>
      <c r="O136" s="493"/>
      <c r="P136" s="503"/>
      <c r="Q136" s="503"/>
      <c r="R136" s="493"/>
      <c r="S136" s="503"/>
      <c r="T136" s="493"/>
    </row>
    <row r="137" spans="1:20" hidden="1">
      <c r="A137" t="s">
        <v>622</v>
      </c>
      <c r="B137" s="485">
        <f>-(-SUMMARY!C6-SUMMARY!C7-SUMMARY!C9-SUMMARY!C18-SUMMARY!C27-SUMMARY!C28-SUMMARY!I8-SUMMARY!I6)</f>
        <v>139.55312500000002</v>
      </c>
      <c r="C137" s="484"/>
      <c r="D137" s="493"/>
      <c r="E137" s="748"/>
      <c r="G137" s="493"/>
      <c r="I137" s="748"/>
      <c r="K137" s="493"/>
      <c r="L137" s="748"/>
      <c r="M137" s="493"/>
      <c r="N137" s="493"/>
      <c r="O137" s="493"/>
      <c r="P137" s="503"/>
      <c r="Q137" s="503"/>
      <c r="R137" s="493"/>
      <c r="S137" s="503"/>
      <c r="T137" s="493"/>
    </row>
    <row r="138" spans="1:20" hidden="1">
      <c r="A138" t="s">
        <v>626</v>
      </c>
      <c r="B138" s="481">
        <f>(SUMMARY!$E$7+SUMMARY!$E$9+SUMMARY!$E$18+SUMMARY!$E$27+SUMMARY!$E$28+SUMMARY!$E$31+SUMMARY!$E$54+SUMMARY!$E$56+SUMMARY!$F$6+SUMMARY!$F$7+SUMMARY!$F$8+SUMMARY!$F$9+SUMMARY!$F$18+SUMMARY!$F$27+SUMMARY!$F$28+SUMMARY!E6)</f>
        <v>11722.462500000001</v>
      </c>
      <c r="D138" s="493"/>
      <c r="E138" s="748"/>
      <c r="F138" s="620"/>
      <c r="G138" s="493"/>
      <c r="I138" s="748"/>
      <c r="K138" s="493"/>
      <c r="L138" s="748"/>
      <c r="M138" s="493"/>
      <c r="N138" s="493"/>
      <c r="O138" s="493"/>
      <c r="P138" s="503"/>
      <c r="Q138" s="503"/>
      <c r="R138" s="493"/>
      <c r="S138" s="503"/>
      <c r="T138" s="493"/>
    </row>
    <row r="139" spans="1:20" hidden="1">
      <c r="A139" t="s">
        <v>627</v>
      </c>
      <c r="B139" s="488">
        <f>(SUMMARY!$K$8+SUMMARY!$K$6+SUMMARY!$L$6+SUMMARY!$L$8)</f>
        <v>0</v>
      </c>
      <c r="D139" s="493"/>
      <c r="E139" s="748"/>
      <c r="G139" s="493"/>
      <c r="I139" s="748"/>
      <c r="K139" s="493"/>
      <c r="L139" s="748"/>
      <c r="M139" s="493"/>
      <c r="N139" s="493"/>
      <c r="O139" s="493"/>
      <c r="P139" s="503"/>
      <c r="Q139" s="503"/>
      <c r="R139" s="493"/>
      <c r="S139" s="503"/>
      <c r="T139" s="493"/>
    </row>
    <row r="140" spans="1:20" hidden="1">
      <c r="A140" t="s">
        <v>628</v>
      </c>
      <c r="B140" s="485">
        <f>SUMMARY!C44-BTDetHrs</f>
        <v>888.83749999999998</v>
      </c>
      <c r="D140" s="493"/>
      <c r="E140" s="748"/>
      <c r="G140" s="493"/>
      <c r="I140" s="748"/>
      <c r="K140" s="493"/>
      <c r="L140" s="748"/>
      <c r="M140" s="493"/>
      <c r="N140" s="493"/>
      <c r="O140" s="493"/>
      <c r="P140" s="503"/>
      <c r="Q140" s="503"/>
      <c r="R140" s="493"/>
      <c r="S140" s="503"/>
      <c r="T140" s="493"/>
    </row>
    <row r="141" spans="1:20" hidden="1">
      <c r="A141" t="s">
        <v>619</v>
      </c>
      <c r="B141" s="485">
        <f>SUMMARY!C45+SUMMARY!C46-LCDetHrs</f>
        <v>0</v>
      </c>
      <c r="D141" s="493"/>
      <c r="E141" s="748"/>
      <c r="G141" s="493"/>
      <c r="I141" s="748"/>
      <c r="K141" s="493"/>
      <c r="L141" s="748"/>
      <c r="M141" s="493"/>
      <c r="N141" s="493"/>
      <c r="O141" s="493"/>
      <c r="P141" s="503"/>
      <c r="Q141" s="503"/>
      <c r="R141" s="493"/>
      <c r="S141" s="503"/>
      <c r="T141" s="493"/>
    </row>
    <row r="142" spans="1:20" hidden="1">
      <c r="A142" t="s">
        <v>629</v>
      </c>
      <c r="B142" s="485">
        <f>SUM(GeneralConditions!R30:R33)+SUMMARY!C27+SUMMARY!C28+SUMMARY!C31</f>
        <v>139.55312499999999</v>
      </c>
      <c r="C142" s="485">
        <f>SUM(GeneralConditions!S30:S33)</f>
        <v>0</v>
      </c>
      <c r="D142" s="485">
        <f>SUM(GeneralConditions!T30:T33)</f>
        <v>0</v>
      </c>
      <c r="E142" s="762">
        <f>SUM(GeneralConditions!U30:U33)</f>
        <v>0</v>
      </c>
      <c r="F142" s="485">
        <f>SUM(GeneralConditions!V30:V33)+SUMMARY!G27+SUMMARY!G28+SUMMARY!G31</f>
        <v>0</v>
      </c>
      <c r="G142" s="493"/>
      <c r="I142" s="748"/>
      <c r="K142" s="493"/>
      <c r="L142" s="748"/>
      <c r="M142" s="493"/>
      <c r="N142" s="493"/>
      <c r="O142" s="493"/>
      <c r="P142" s="503"/>
      <c r="Q142" s="503"/>
      <c r="R142" s="493"/>
      <c r="S142" s="503"/>
      <c r="T142" s="493"/>
    </row>
    <row r="143" spans="1:20" hidden="1">
      <c r="A143" t="s">
        <v>630</v>
      </c>
      <c r="B143" s="485">
        <f>(SUMIF($Z$3:$Z$104,$A113,$Y$3:$Y$104))/8+SUMMARY!I14+SUMMARY!I23+SUMMARY!I24</f>
        <v>0</v>
      </c>
      <c r="C143" s="478">
        <f>(SUMIF($Z$3:$Z$104,$A114,$Y$3:$Y$104))/8</f>
        <v>0</v>
      </c>
      <c r="D143" s="478">
        <f>(SUMIF($Z$3:$Z$104,$A115,$Y$3:$Y$104))/8</f>
        <v>0</v>
      </c>
      <c r="E143" s="748">
        <f>(SUMIF($Z$3:$Z$104,$A116,$Y$3:$Y$104))/8</f>
        <v>0</v>
      </c>
      <c r="F143" s="493">
        <f>(SUMIF($Z$3:$Z$104,$A117,$Y$3:$Y$104))/8</f>
        <v>0</v>
      </c>
      <c r="G143" s="493"/>
      <c r="I143" s="748"/>
      <c r="K143" s="493"/>
      <c r="L143" s="748"/>
      <c r="M143" s="493"/>
      <c r="N143" s="493"/>
      <c r="O143" s="493"/>
      <c r="P143" s="503"/>
      <c r="Q143" s="503"/>
      <c r="R143" s="493"/>
      <c r="S143" s="503"/>
      <c r="T143" s="493"/>
    </row>
    <row r="144" spans="1:20" hidden="1">
      <c r="A144" t="s">
        <v>631</v>
      </c>
      <c r="B144" s="485">
        <f>SUMMARY!C56</f>
        <v>0</v>
      </c>
      <c r="D144" s="493"/>
      <c r="E144" s="748"/>
      <c r="G144" s="493"/>
      <c r="I144" s="748"/>
      <c r="K144" s="493"/>
      <c r="L144" s="748"/>
      <c r="M144" s="493"/>
      <c r="N144" s="493"/>
      <c r="O144" s="493"/>
      <c r="P144" s="503"/>
      <c r="Q144" s="503"/>
      <c r="R144" s="493"/>
      <c r="S144" s="503"/>
      <c r="T144" s="493"/>
    </row>
    <row r="145" spans="1:20" hidden="1">
      <c r="A145" t="s">
        <v>632</v>
      </c>
      <c r="B145" s="589">
        <v>0.03</v>
      </c>
      <c r="D145" s="493"/>
      <c r="E145" s="748"/>
      <c r="G145" s="493"/>
      <c r="I145" s="748"/>
      <c r="K145" s="493"/>
      <c r="L145" s="748"/>
      <c r="M145" s="493"/>
      <c r="N145" s="493"/>
      <c r="O145" s="493"/>
      <c r="P145" s="503"/>
      <c r="Q145" s="503"/>
      <c r="R145" s="493"/>
      <c r="S145" s="503"/>
      <c r="T145" s="493"/>
    </row>
    <row r="146" spans="1:20">
      <c r="A146"/>
      <c r="D146" s="493"/>
      <c r="E146" s="748"/>
      <c r="G146" s="493"/>
      <c r="I146" s="748"/>
      <c r="K146" s="493"/>
      <c r="L146" s="748"/>
      <c r="M146" s="493"/>
      <c r="N146" s="493"/>
      <c r="O146" s="493"/>
      <c r="P146" s="503"/>
      <c r="Q146" s="503"/>
      <c r="R146" s="493"/>
      <c r="S146" s="503"/>
      <c r="T146" s="493"/>
    </row>
    <row r="147" spans="1:20">
      <c r="A147"/>
      <c r="D147" s="493"/>
      <c r="E147" s="748"/>
      <c r="G147" s="493"/>
      <c r="I147" s="748"/>
      <c r="K147" s="493"/>
      <c r="L147" s="748"/>
      <c r="M147" s="493"/>
      <c r="N147" s="493"/>
      <c r="O147" s="493"/>
      <c r="P147" s="503"/>
      <c r="Q147" s="503"/>
      <c r="R147" s="493"/>
      <c r="S147" s="503"/>
      <c r="T147" s="493"/>
    </row>
    <row r="148" spans="1:20">
      <c r="A148"/>
      <c r="D148" s="493"/>
      <c r="E148" s="748"/>
      <c r="G148" s="493"/>
      <c r="I148" s="748"/>
      <c r="K148" s="493"/>
      <c r="L148" s="748"/>
      <c r="M148" s="493"/>
      <c r="N148" s="493"/>
      <c r="O148" s="493"/>
      <c r="P148" s="503"/>
      <c r="Q148" s="503"/>
      <c r="R148" s="493"/>
      <c r="S148" s="503"/>
      <c r="T148" s="493"/>
    </row>
    <row r="149" spans="1:20">
      <c r="A149"/>
      <c r="D149" s="493"/>
      <c r="E149" s="748"/>
      <c r="G149" s="493"/>
      <c r="I149" s="748"/>
      <c r="K149" s="493"/>
      <c r="L149" s="748"/>
      <c r="M149" s="493"/>
      <c r="N149" s="493"/>
      <c r="O149" s="493"/>
      <c r="P149" s="503"/>
      <c r="Q149" s="503"/>
      <c r="R149" s="493"/>
      <c r="S149" s="503"/>
      <c r="T149" s="493"/>
    </row>
    <row r="150" spans="1:20">
      <c r="A150"/>
      <c r="D150" s="493"/>
      <c r="E150" s="748"/>
      <c r="G150" s="493"/>
      <c r="I150" s="748"/>
      <c r="K150" s="493"/>
      <c r="L150" s="748"/>
      <c r="M150" s="493"/>
      <c r="N150" s="493"/>
      <c r="O150" s="493"/>
      <c r="P150" s="503"/>
      <c r="Q150" s="503"/>
      <c r="R150" s="493"/>
      <c r="S150" s="503"/>
      <c r="T150" s="493"/>
    </row>
    <row r="151" spans="1:20">
      <c r="A151"/>
      <c r="D151" s="493"/>
      <c r="E151" s="748"/>
      <c r="G151" s="493"/>
      <c r="I151" s="748"/>
      <c r="K151" s="493"/>
      <c r="L151" s="748"/>
      <c r="M151" s="493"/>
      <c r="N151" s="493"/>
      <c r="O151" s="493"/>
      <c r="P151" s="503"/>
      <c r="Q151" s="503"/>
      <c r="R151" s="493"/>
      <c r="S151" s="503"/>
      <c r="T151" s="493"/>
    </row>
    <row r="152" spans="1:20">
      <c r="A152"/>
      <c r="D152" s="493"/>
      <c r="E152" s="748"/>
      <c r="G152" s="493"/>
      <c r="I152" s="748"/>
      <c r="K152" s="493"/>
      <c r="L152" s="748"/>
      <c r="M152" s="493"/>
      <c r="N152" s="493"/>
      <c r="O152" s="493"/>
      <c r="P152" s="503"/>
      <c r="Q152" s="503"/>
      <c r="R152" s="493"/>
      <c r="S152" s="503"/>
      <c r="T152" s="493"/>
    </row>
    <row r="153" spans="1:20">
      <c r="A153"/>
      <c r="D153" s="493"/>
      <c r="E153" s="748"/>
      <c r="G153" s="493"/>
      <c r="I153" s="748"/>
      <c r="K153" s="493"/>
      <c r="L153" s="748"/>
      <c r="M153" s="493"/>
      <c r="N153" s="493"/>
      <c r="O153" s="493"/>
      <c r="P153" s="493"/>
      <c r="Q153" s="493"/>
      <c r="R153" s="493"/>
      <c r="S153" s="493"/>
      <c r="T153" s="493"/>
    </row>
    <row r="154" spans="1:20">
      <c r="A154"/>
      <c r="D154" s="493"/>
      <c r="E154" s="748"/>
      <c r="G154" s="493"/>
      <c r="I154" s="748"/>
      <c r="K154" s="493"/>
      <c r="L154" s="748"/>
      <c r="M154" s="493"/>
      <c r="N154" s="493"/>
      <c r="O154" s="493"/>
      <c r="P154" s="493"/>
      <c r="Q154" s="493"/>
      <c r="R154" s="493"/>
      <c r="S154" s="493"/>
      <c r="T154" s="493"/>
    </row>
    <row r="155" spans="1:20">
      <c r="A155"/>
      <c r="D155" s="493"/>
      <c r="E155" s="748"/>
      <c r="G155" s="493"/>
      <c r="I155" s="748"/>
      <c r="K155" s="493"/>
      <c r="L155" s="748"/>
      <c r="M155" s="493"/>
      <c r="N155" s="493"/>
      <c r="O155" s="493"/>
      <c r="P155" s="493"/>
      <c r="Q155" s="493"/>
      <c r="R155" s="493"/>
      <c r="S155" s="493"/>
      <c r="T155" s="493"/>
    </row>
    <row r="156" spans="1:20">
      <c r="A156"/>
      <c r="D156" s="493"/>
      <c r="E156" s="748"/>
      <c r="G156" s="493"/>
      <c r="I156" s="748"/>
      <c r="K156" s="493"/>
      <c r="L156" s="748"/>
      <c r="M156" s="493"/>
      <c r="N156" s="493"/>
      <c r="O156" s="493"/>
      <c r="P156" s="493"/>
      <c r="Q156" s="493"/>
      <c r="R156" s="493"/>
      <c r="S156" s="493"/>
      <c r="T156" s="493"/>
    </row>
    <row r="157" spans="1:20">
      <c r="A157"/>
      <c r="D157" s="493"/>
      <c r="E157" s="748"/>
      <c r="G157" s="493"/>
      <c r="I157" s="748"/>
      <c r="K157" s="493"/>
      <c r="L157" s="748"/>
      <c r="M157" s="493"/>
      <c r="N157" s="493"/>
      <c r="O157" s="493"/>
      <c r="P157" s="493"/>
      <c r="Q157" s="493"/>
      <c r="R157" s="493"/>
      <c r="S157" s="493"/>
      <c r="T157" s="493"/>
    </row>
    <row r="158" spans="1:20">
      <c r="A158"/>
      <c r="D158" s="493"/>
      <c r="E158" s="748"/>
      <c r="G158" s="493"/>
      <c r="I158" s="748"/>
      <c r="K158" s="493"/>
      <c r="L158" s="748"/>
      <c r="M158" s="493"/>
      <c r="N158" s="493"/>
      <c r="O158" s="493"/>
      <c r="P158" s="493"/>
      <c r="Q158" s="493"/>
      <c r="R158" s="493"/>
      <c r="S158" s="493"/>
      <c r="T158" s="493"/>
    </row>
    <row r="159" spans="1:20">
      <c r="A159"/>
      <c r="D159" s="493"/>
      <c r="E159" s="748"/>
      <c r="G159" s="493"/>
      <c r="I159" s="748"/>
      <c r="K159" s="493"/>
      <c r="L159" s="748"/>
      <c r="M159" s="493"/>
      <c r="N159" s="493"/>
      <c r="O159" s="493"/>
      <c r="P159" s="493"/>
      <c r="Q159" s="493"/>
      <c r="R159" s="493"/>
      <c r="S159" s="493"/>
      <c r="T159" s="493"/>
    </row>
    <row r="160" spans="1:20">
      <c r="A160"/>
      <c r="D160" s="493"/>
      <c r="E160" s="748"/>
      <c r="G160" s="493"/>
      <c r="I160" s="748"/>
      <c r="K160" s="493"/>
      <c r="L160" s="748"/>
      <c r="M160" s="493"/>
      <c r="N160" s="493"/>
      <c r="O160" s="493"/>
      <c r="P160" s="493"/>
      <c r="Q160" s="493"/>
      <c r="R160" s="493"/>
      <c r="S160" s="493"/>
      <c r="T160" s="493"/>
    </row>
    <row r="161" spans="1:20">
      <c r="A161"/>
      <c r="D161" s="493"/>
      <c r="E161" s="748"/>
      <c r="G161" s="493"/>
      <c r="I161" s="748"/>
      <c r="K161" s="493"/>
      <c r="L161" s="748"/>
      <c r="M161" s="493"/>
      <c r="N161" s="493"/>
      <c r="O161" s="493"/>
      <c r="P161" s="493"/>
      <c r="Q161" s="493"/>
      <c r="R161" s="493"/>
      <c r="S161" s="493"/>
      <c r="T161" s="493"/>
    </row>
    <row r="162" spans="1:20">
      <c r="A162"/>
      <c r="D162" s="493"/>
      <c r="E162" s="748"/>
      <c r="G162" s="493"/>
      <c r="I162" s="748"/>
      <c r="K162" s="493"/>
      <c r="L162" s="748"/>
      <c r="M162" s="493"/>
      <c r="N162" s="493"/>
      <c r="O162" s="493"/>
      <c r="P162" s="493"/>
      <c r="Q162" s="493"/>
      <c r="R162" s="493"/>
      <c r="S162" s="493"/>
      <c r="T162" s="493"/>
    </row>
    <row r="163" spans="1:20">
      <c r="A163"/>
      <c r="D163" s="493"/>
      <c r="E163" s="748"/>
      <c r="G163" s="493"/>
      <c r="I163" s="748"/>
      <c r="K163" s="493"/>
      <c r="L163" s="748"/>
      <c r="M163" s="493"/>
      <c r="N163" s="493"/>
      <c r="O163" s="493"/>
      <c r="P163" s="493"/>
      <c r="Q163" s="493"/>
      <c r="R163" s="493"/>
      <c r="S163" s="493"/>
      <c r="T163" s="493"/>
    </row>
    <row r="164" spans="1:20">
      <c r="A164"/>
      <c r="D164" s="493"/>
      <c r="E164" s="748"/>
      <c r="G164" s="493"/>
      <c r="I164" s="748"/>
      <c r="K164" s="493"/>
      <c r="L164" s="748"/>
      <c r="M164" s="493"/>
      <c r="N164" s="493"/>
      <c r="O164" s="493"/>
      <c r="P164" s="493"/>
      <c r="Q164" s="493"/>
      <c r="R164" s="493"/>
      <c r="S164" s="493"/>
      <c r="T164" s="493"/>
    </row>
    <row r="165" spans="1:20">
      <c r="D165" s="493"/>
      <c r="E165" s="748"/>
      <c r="G165" s="493"/>
      <c r="I165" s="748"/>
      <c r="K165" s="493"/>
      <c r="L165" s="748"/>
      <c r="M165" s="493"/>
      <c r="N165" s="493"/>
      <c r="O165" s="493"/>
      <c r="P165" s="493"/>
      <c r="Q165" s="493"/>
      <c r="R165" s="493"/>
      <c r="S165" s="493"/>
      <c r="T165" s="493"/>
    </row>
    <row r="166" spans="1:20">
      <c r="D166" s="493"/>
      <c r="E166" s="748"/>
      <c r="G166" s="493"/>
      <c r="I166" s="748"/>
      <c r="K166" s="493"/>
      <c r="L166" s="748"/>
      <c r="M166" s="493"/>
      <c r="N166" s="493"/>
      <c r="O166" s="493"/>
      <c r="P166" s="493"/>
      <c r="Q166" s="493"/>
      <c r="R166" s="493"/>
      <c r="S166" s="493"/>
      <c r="T166" s="493"/>
    </row>
    <row r="167" spans="1:20">
      <c r="D167" s="493"/>
      <c r="E167" s="748"/>
      <c r="G167" s="493"/>
      <c r="I167" s="748"/>
      <c r="K167" s="493"/>
      <c r="L167" s="748"/>
      <c r="M167" s="493"/>
      <c r="N167" s="493"/>
      <c r="O167" s="493"/>
      <c r="P167" s="493"/>
      <c r="Q167" s="493"/>
      <c r="R167" s="493"/>
      <c r="S167" s="493"/>
      <c r="T167" s="493"/>
    </row>
    <row r="168" spans="1:20">
      <c r="D168" s="493"/>
      <c r="E168" s="748"/>
      <c r="G168" s="493"/>
      <c r="I168" s="748"/>
      <c r="K168" s="493"/>
      <c r="L168" s="748"/>
      <c r="M168" s="493"/>
      <c r="N168" s="493"/>
      <c r="O168" s="493"/>
      <c r="P168" s="493"/>
      <c r="Q168" s="493"/>
      <c r="R168" s="493"/>
      <c r="S168" s="493"/>
      <c r="T168" s="493"/>
    </row>
    <row r="169" spans="1:20">
      <c r="D169" s="493"/>
      <c r="E169" s="748"/>
      <c r="G169" s="493"/>
      <c r="I169" s="748"/>
      <c r="K169" s="493"/>
      <c r="L169" s="748"/>
      <c r="M169" s="493"/>
      <c r="N169" s="493"/>
      <c r="O169" s="493"/>
      <c r="P169" s="493"/>
      <c r="Q169" s="493"/>
      <c r="R169" s="493"/>
      <c r="S169" s="493"/>
      <c r="T169" s="493"/>
    </row>
    <row r="170" spans="1:20">
      <c r="D170" s="493"/>
      <c r="E170" s="748"/>
      <c r="G170" s="493"/>
      <c r="I170" s="748"/>
      <c r="K170" s="493"/>
      <c r="L170" s="748"/>
      <c r="M170" s="493"/>
      <c r="N170" s="493"/>
      <c r="O170" s="493"/>
      <c r="P170" s="493"/>
      <c r="Q170" s="493"/>
      <c r="R170" s="493"/>
      <c r="S170" s="493"/>
      <c r="T170" s="493"/>
    </row>
    <row r="171" spans="1:20">
      <c r="D171" s="493"/>
      <c r="E171" s="748"/>
      <c r="G171" s="493"/>
      <c r="I171" s="748"/>
      <c r="K171" s="493"/>
      <c r="L171" s="748"/>
      <c r="M171" s="493"/>
      <c r="N171" s="493"/>
      <c r="O171" s="493"/>
      <c r="P171" s="493"/>
      <c r="Q171" s="493"/>
      <c r="R171" s="493"/>
      <c r="S171" s="493"/>
      <c r="T171" s="493"/>
    </row>
    <row r="172" spans="1:20">
      <c r="D172" s="493"/>
      <c r="E172" s="748"/>
      <c r="G172" s="493"/>
      <c r="I172" s="748"/>
      <c r="K172" s="493"/>
      <c r="L172" s="748"/>
      <c r="M172" s="493"/>
      <c r="N172" s="493"/>
      <c r="O172" s="493"/>
      <c r="P172" s="493"/>
      <c r="Q172" s="493"/>
      <c r="R172" s="493"/>
      <c r="S172" s="493"/>
      <c r="T172" s="493"/>
    </row>
    <row r="173" spans="1:20">
      <c r="D173" s="493"/>
      <c r="E173" s="748"/>
      <c r="G173" s="493"/>
      <c r="I173" s="748"/>
      <c r="K173" s="493"/>
      <c r="L173" s="748"/>
      <c r="M173" s="493"/>
      <c r="N173" s="493"/>
      <c r="O173" s="493"/>
      <c r="P173" s="493"/>
      <c r="Q173" s="493"/>
      <c r="R173" s="493"/>
      <c r="S173" s="493"/>
      <c r="T173" s="493"/>
    </row>
    <row r="174" spans="1:20">
      <c r="D174" s="493"/>
      <c r="E174" s="748"/>
      <c r="G174" s="493"/>
      <c r="I174" s="748"/>
      <c r="K174" s="493"/>
      <c r="L174" s="748"/>
      <c r="M174" s="493"/>
      <c r="N174" s="493"/>
      <c r="O174" s="493"/>
      <c r="P174" s="493"/>
      <c r="Q174" s="493"/>
      <c r="R174" s="493"/>
      <c r="S174" s="493"/>
      <c r="T174" s="493"/>
    </row>
    <row r="175" spans="1:20">
      <c r="D175" s="493"/>
      <c r="E175" s="748"/>
      <c r="G175" s="493"/>
      <c r="I175" s="748"/>
      <c r="K175" s="493"/>
      <c r="L175" s="748"/>
      <c r="M175" s="493"/>
      <c r="N175" s="493"/>
      <c r="O175" s="493"/>
      <c r="P175" s="493"/>
      <c r="Q175" s="493"/>
      <c r="R175" s="493"/>
      <c r="S175" s="493"/>
      <c r="T175" s="493"/>
    </row>
    <row r="176" spans="1:20">
      <c r="D176" s="493"/>
      <c r="E176" s="748"/>
      <c r="G176" s="493"/>
      <c r="I176" s="748"/>
      <c r="K176" s="493"/>
      <c r="L176" s="748"/>
      <c r="M176" s="493"/>
      <c r="N176" s="493"/>
      <c r="O176" s="493"/>
      <c r="P176" s="493"/>
      <c r="Q176" s="493"/>
      <c r="R176" s="493"/>
      <c r="S176" s="493"/>
      <c r="T176" s="493"/>
    </row>
    <row r="177" spans="4:20">
      <c r="D177" s="493"/>
      <c r="E177" s="748"/>
      <c r="G177" s="493"/>
      <c r="I177" s="748"/>
      <c r="K177" s="493"/>
      <c r="L177" s="748"/>
      <c r="M177" s="493"/>
      <c r="N177" s="493"/>
      <c r="O177" s="493"/>
      <c r="P177" s="493"/>
      <c r="Q177" s="493"/>
      <c r="R177" s="493"/>
      <c r="S177" s="493"/>
      <c r="T177" s="493"/>
    </row>
    <row r="178" spans="4:20">
      <c r="D178" s="493"/>
      <c r="E178" s="748"/>
      <c r="G178" s="493"/>
      <c r="I178" s="748"/>
      <c r="K178" s="493"/>
      <c r="L178" s="748"/>
      <c r="M178" s="493"/>
      <c r="N178" s="493"/>
      <c r="O178" s="493"/>
      <c r="P178" s="493"/>
      <c r="Q178" s="493"/>
      <c r="R178" s="493"/>
      <c r="S178" s="493"/>
      <c r="T178" s="493"/>
    </row>
    <row r="179" spans="4:20">
      <c r="D179" s="493"/>
      <c r="E179" s="748"/>
      <c r="G179" s="493"/>
      <c r="I179" s="748"/>
      <c r="K179" s="493"/>
      <c r="L179" s="748"/>
      <c r="M179" s="493"/>
      <c r="N179" s="493"/>
      <c r="O179" s="493"/>
      <c r="P179" s="493"/>
      <c r="Q179" s="493"/>
      <c r="R179" s="493"/>
      <c r="S179" s="493"/>
      <c r="T179" s="493"/>
    </row>
    <row r="180" spans="4:20">
      <c r="D180" s="493"/>
      <c r="E180" s="748"/>
      <c r="G180" s="493"/>
      <c r="I180" s="748"/>
      <c r="K180" s="493"/>
      <c r="L180" s="748"/>
      <c r="M180" s="493"/>
      <c r="N180" s="493"/>
      <c r="O180" s="493"/>
      <c r="P180" s="493"/>
      <c r="Q180" s="493"/>
      <c r="R180" s="493"/>
      <c r="S180" s="493"/>
      <c r="T180" s="493"/>
    </row>
    <row r="181" spans="4:20">
      <c r="D181" s="493"/>
      <c r="E181" s="748"/>
      <c r="G181" s="493"/>
      <c r="I181" s="748"/>
      <c r="K181" s="493"/>
      <c r="L181" s="748"/>
      <c r="M181" s="493"/>
      <c r="N181" s="493"/>
      <c r="O181" s="493"/>
      <c r="P181" s="493"/>
      <c r="Q181" s="493"/>
      <c r="R181" s="493"/>
      <c r="S181" s="493"/>
      <c r="T181" s="493"/>
    </row>
    <row r="182" spans="4:20">
      <c r="D182" s="493"/>
      <c r="E182" s="748"/>
      <c r="G182" s="493"/>
      <c r="I182" s="748"/>
      <c r="K182" s="493"/>
      <c r="L182" s="748"/>
      <c r="M182" s="493"/>
      <c r="N182" s="493"/>
      <c r="O182" s="493"/>
      <c r="P182" s="493"/>
      <c r="Q182" s="493"/>
      <c r="R182" s="493"/>
      <c r="S182" s="493"/>
      <c r="T182" s="493"/>
    </row>
    <row r="183" spans="4:20">
      <c r="D183" s="493"/>
      <c r="E183" s="748"/>
      <c r="G183" s="493"/>
      <c r="I183" s="748"/>
      <c r="K183" s="493"/>
      <c r="L183" s="748"/>
      <c r="M183" s="493"/>
      <c r="N183" s="493"/>
      <c r="O183" s="493"/>
      <c r="P183" s="493"/>
      <c r="Q183" s="493"/>
      <c r="R183" s="493"/>
      <c r="S183" s="493"/>
      <c r="T183" s="493"/>
    </row>
    <row r="184" spans="4:20">
      <c r="D184" s="493"/>
      <c r="E184" s="748"/>
      <c r="G184" s="493"/>
      <c r="I184" s="748"/>
      <c r="K184" s="493"/>
      <c r="L184" s="748"/>
      <c r="M184" s="493"/>
      <c r="N184" s="493"/>
      <c r="O184" s="493"/>
      <c r="P184" s="493"/>
      <c r="Q184" s="493"/>
      <c r="R184" s="493"/>
      <c r="S184" s="493"/>
      <c r="T184" s="493"/>
    </row>
    <row r="185" spans="4:20">
      <c r="D185" s="493"/>
      <c r="E185" s="748"/>
      <c r="G185" s="493"/>
      <c r="I185" s="748"/>
      <c r="K185" s="493"/>
      <c r="L185" s="748"/>
      <c r="M185" s="493"/>
      <c r="N185" s="493"/>
      <c r="O185" s="493"/>
      <c r="P185" s="493"/>
      <c r="Q185" s="493"/>
      <c r="R185" s="493"/>
      <c r="S185" s="493"/>
      <c r="T185" s="493"/>
    </row>
    <row r="186" spans="4:20">
      <c r="D186" s="493"/>
      <c r="E186" s="748"/>
      <c r="G186" s="493"/>
      <c r="I186" s="748"/>
      <c r="K186" s="493"/>
      <c r="L186" s="748"/>
      <c r="M186" s="493"/>
      <c r="N186" s="493"/>
      <c r="O186" s="493"/>
      <c r="P186" s="493"/>
      <c r="Q186" s="493"/>
      <c r="R186" s="493"/>
      <c r="S186" s="493"/>
      <c r="T186" s="493"/>
    </row>
    <row r="187" spans="4:20">
      <c r="D187" s="493"/>
      <c r="E187" s="748"/>
      <c r="G187" s="493"/>
      <c r="I187" s="748"/>
      <c r="K187" s="493"/>
      <c r="L187" s="748"/>
      <c r="M187" s="493"/>
      <c r="N187" s="493"/>
      <c r="O187" s="493"/>
      <c r="P187" s="493"/>
      <c r="Q187" s="493"/>
      <c r="R187" s="493"/>
      <c r="S187" s="493"/>
      <c r="T187" s="493"/>
    </row>
    <row r="188" spans="4:20">
      <c r="D188" s="493"/>
      <c r="E188" s="748"/>
      <c r="G188" s="493"/>
      <c r="I188" s="748"/>
      <c r="K188" s="493"/>
      <c r="L188" s="748"/>
      <c r="M188" s="493"/>
      <c r="N188" s="493"/>
      <c r="O188" s="493"/>
      <c r="P188" s="493"/>
      <c r="Q188" s="493"/>
      <c r="R188" s="493"/>
      <c r="S188" s="493"/>
      <c r="T188" s="493"/>
    </row>
    <row r="189" spans="4:20">
      <c r="D189" s="493"/>
      <c r="E189" s="748"/>
      <c r="G189" s="493"/>
      <c r="I189" s="748"/>
      <c r="K189" s="493"/>
      <c r="L189" s="748"/>
      <c r="M189" s="493"/>
      <c r="N189" s="493"/>
      <c r="O189" s="493"/>
      <c r="P189" s="493"/>
      <c r="Q189" s="493"/>
      <c r="R189" s="493"/>
      <c r="S189" s="493"/>
      <c r="T189" s="493"/>
    </row>
    <row r="190" spans="4:20">
      <c r="D190" s="493"/>
      <c r="E190" s="748"/>
      <c r="G190" s="493"/>
      <c r="I190" s="748"/>
      <c r="K190" s="493"/>
      <c r="L190" s="748"/>
      <c r="M190" s="493"/>
      <c r="N190" s="493"/>
      <c r="O190" s="493"/>
      <c r="P190" s="493"/>
      <c r="Q190" s="493"/>
      <c r="R190" s="493"/>
      <c r="S190" s="493"/>
      <c r="T190" s="493"/>
    </row>
    <row r="191" spans="4:20">
      <c r="D191" s="493"/>
      <c r="E191" s="748"/>
      <c r="G191" s="493"/>
      <c r="I191" s="748"/>
      <c r="K191" s="493"/>
      <c r="L191" s="748"/>
      <c r="M191" s="493"/>
      <c r="N191" s="493"/>
      <c r="O191" s="493"/>
      <c r="P191" s="493"/>
      <c r="Q191" s="493"/>
      <c r="R191" s="493"/>
      <c r="S191" s="493"/>
      <c r="T191" s="493"/>
    </row>
    <row r="192" spans="4:20">
      <c r="D192" s="493"/>
      <c r="E192" s="748"/>
      <c r="G192" s="493"/>
      <c r="I192" s="748"/>
      <c r="K192" s="493"/>
      <c r="L192" s="748"/>
      <c r="M192" s="493"/>
      <c r="N192" s="493"/>
      <c r="O192" s="493"/>
      <c r="P192" s="493"/>
      <c r="Q192" s="493"/>
      <c r="R192" s="493"/>
      <c r="S192" s="493"/>
      <c r="T192" s="493"/>
    </row>
    <row r="193" spans="4:20">
      <c r="D193" s="493"/>
      <c r="E193" s="748"/>
      <c r="G193" s="493"/>
      <c r="I193" s="748"/>
      <c r="K193" s="493"/>
      <c r="L193" s="748"/>
      <c r="M193" s="493"/>
      <c r="N193" s="493"/>
      <c r="O193" s="493"/>
      <c r="P193" s="493"/>
      <c r="Q193" s="493"/>
      <c r="R193" s="493"/>
      <c r="S193" s="493"/>
      <c r="T193" s="493"/>
    </row>
    <row r="194" spans="4:20">
      <c r="D194" s="493"/>
      <c r="E194" s="748"/>
      <c r="G194" s="493"/>
      <c r="I194" s="748"/>
      <c r="K194" s="493"/>
      <c r="L194" s="748"/>
      <c r="M194" s="493"/>
      <c r="N194" s="493"/>
      <c r="O194" s="493"/>
      <c r="P194" s="493"/>
      <c r="Q194" s="493"/>
      <c r="R194" s="493"/>
      <c r="S194" s="493"/>
      <c r="T194" s="493"/>
    </row>
    <row r="195" spans="4:20">
      <c r="D195" s="493"/>
      <c r="E195" s="748"/>
      <c r="G195" s="493"/>
      <c r="I195" s="748"/>
      <c r="K195" s="493"/>
      <c r="L195" s="748"/>
      <c r="M195" s="493"/>
      <c r="N195" s="493"/>
      <c r="O195" s="493"/>
      <c r="P195" s="493"/>
      <c r="Q195" s="493"/>
      <c r="R195" s="493"/>
      <c r="S195" s="493"/>
      <c r="T195" s="493"/>
    </row>
    <row r="196" spans="4:20">
      <c r="D196" s="493"/>
      <c r="E196" s="748"/>
      <c r="G196" s="493"/>
      <c r="I196" s="748"/>
      <c r="K196" s="493"/>
      <c r="L196" s="748"/>
      <c r="M196" s="493"/>
      <c r="N196" s="493"/>
      <c r="O196" s="493"/>
      <c r="P196" s="493"/>
      <c r="Q196" s="493"/>
      <c r="R196" s="493"/>
      <c r="S196" s="493"/>
      <c r="T196" s="493"/>
    </row>
    <row r="197" spans="4:20">
      <c r="D197" s="493"/>
      <c r="E197" s="748"/>
      <c r="G197" s="493"/>
      <c r="I197" s="748"/>
      <c r="K197" s="493"/>
      <c r="L197" s="748"/>
      <c r="M197" s="493"/>
      <c r="N197" s="493"/>
      <c r="O197" s="493"/>
      <c r="P197" s="493"/>
      <c r="Q197" s="493"/>
      <c r="R197" s="493"/>
      <c r="S197" s="493"/>
      <c r="T197" s="493"/>
    </row>
    <row r="198" spans="4:20">
      <c r="D198" s="493"/>
      <c r="E198" s="748"/>
      <c r="G198" s="493"/>
      <c r="I198" s="748"/>
      <c r="K198" s="493"/>
      <c r="L198" s="748"/>
      <c r="M198" s="493"/>
      <c r="N198" s="493"/>
      <c r="O198" s="493"/>
      <c r="P198" s="493"/>
      <c r="Q198" s="493"/>
      <c r="R198" s="493"/>
      <c r="S198" s="493"/>
      <c r="T198" s="493"/>
    </row>
    <row r="199" spans="4:20">
      <c r="D199" s="493"/>
      <c r="E199" s="748"/>
      <c r="G199" s="493"/>
      <c r="I199" s="748"/>
      <c r="K199" s="493"/>
      <c r="L199" s="748"/>
      <c r="M199" s="493"/>
      <c r="N199" s="493"/>
      <c r="O199" s="493"/>
      <c r="P199" s="493"/>
      <c r="Q199" s="493"/>
      <c r="R199" s="493"/>
      <c r="S199" s="493"/>
      <c r="T199" s="493"/>
    </row>
    <row r="200" spans="4:20">
      <c r="D200" s="493"/>
      <c r="E200" s="748"/>
      <c r="G200" s="493"/>
      <c r="I200" s="748"/>
      <c r="K200" s="493"/>
      <c r="L200" s="748"/>
      <c r="M200" s="493"/>
      <c r="N200" s="493"/>
      <c r="O200" s="493"/>
      <c r="P200" s="493"/>
      <c r="Q200" s="493"/>
      <c r="R200" s="493"/>
      <c r="S200" s="493"/>
      <c r="T200" s="493"/>
    </row>
    <row r="201" spans="4:20">
      <c r="D201" s="493"/>
      <c r="E201" s="748"/>
      <c r="G201" s="493"/>
      <c r="I201" s="748"/>
      <c r="K201" s="493"/>
      <c r="L201" s="748"/>
      <c r="M201" s="493"/>
      <c r="N201" s="493"/>
      <c r="O201" s="493"/>
      <c r="P201" s="493"/>
      <c r="Q201" s="493"/>
      <c r="R201" s="493"/>
      <c r="S201" s="493"/>
      <c r="T201" s="493"/>
    </row>
    <row r="202" spans="4:20">
      <c r="D202" s="493"/>
      <c r="E202" s="748"/>
      <c r="G202" s="493"/>
      <c r="I202" s="748"/>
      <c r="K202" s="493"/>
      <c r="L202" s="748"/>
      <c r="M202" s="493"/>
      <c r="N202" s="493"/>
      <c r="O202" s="493"/>
      <c r="P202" s="493"/>
      <c r="Q202" s="493"/>
      <c r="R202" s="493"/>
      <c r="S202" s="493"/>
      <c r="T202" s="493"/>
    </row>
    <row r="203" spans="4:20">
      <c r="D203" s="493"/>
      <c r="E203" s="748"/>
      <c r="G203" s="493"/>
      <c r="I203" s="748"/>
      <c r="K203" s="493"/>
      <c r="L203" s="748"/>
      <c r="M203" s="493"/>
      <c r="N203" s="493"/>
      <c r="O203" s="493"/>
      <c r="P203" s="493"/>
      <c r="Q203" s="493"/>
      <c r="R203" s="493"/>
      <c r="S203" s="493"/>
      <c r="T203" s="493"/>
    </row>
    <row r="204" spans="4:20">
      <c r="D204" s="493"/>
      <c r="E204" s="748"/>
      <c r="G204" s="493"/>
      <c r="I204" s="748"/>
      <c r="K204" s="493"/>
      <c r="L204" s="748"/>
      <c r="M204" s="493"/>
      <c r="N204" s="493"/>
      <c r="O204" s="493"/>
      <c r="P204" s="493"/>
      <c r="Q204" s="493"/>
      <c r="R204" s="493"/>
      <c r="S204" s="493"/>
      <c r="T204" s="493"/>
    </row>
    <row r="205" spans="4:20">
      <c r="D205" s="493"/>
      <c r="E205" s="748"/>
      <c r="G205" s="493"/>
      <c r="I205" s="748"/>
      <c r="K205" s="493"/>
      <c r="L205" s="748"/>
      <c r="M205" s="493"/>
      <c r="N205" s="493"/>
      <c r="O205" s="493"/>
      <c r="P205" s="493"/>
      <c r="Q205" s="493"/>
      <c r="R205" s="493"/>
      <c r="S205" s="493"/>
      <c r="T205" s="493"/>
    </row>
    <row r="206" spans="4:20">
      <c r="D206" s="493"/>
      <c r="E206" s="748"/>
      <c r="G206" s="493"/>
      <c r="I206" s="748"/>
      <c r="K206" s="493"/>
      <c r="L206" s="748"/>
      <c r="M206" s="493"/>
      <c r="N206" s="493"/>
      <c r="O206" s="493"/>
      <c r="P206" s="493"/>
      <c r="Q206" s="493"/>
      <c r="R206" s="493"/>
      <c r="S206" s="493"/>
      <c r="T206" s="493"/>
    </row>
    <row r="207" spans="4:20">
      <c r="D207" s="493"/>
      <c r="E207" s="748"/>
      <c r="G207" s="493"/>
      <c r="I207" s="748"/>
      <c r="K207" s="493"/>
      <c r="L207" s="748"/>
      <c r="M207" s="493"/>
      <c r="N207" s="493"/>
      <c r="O207" s="493"/>
      <c r="P207" s="493"/>
      <c r="Q207" s="493"/>
      <c r="R207" s="493"/>
      <c r="S207" s="493"/>
      <c r="T207" s="493"/>
    </row>
    <row r="208" spans="4:20">
      <c r="D208" s="493"/>
      <c r="E208" s="748"/>
      <c r="G208" s="493"/>
      <c r="I208" s="748"/>
      <c r="K208" s="493"/>
      <c r="L208" s="748"/>
      <c r="M208" s="493"/>
      <c r="N208" s="493"/>
      <c r="O208" s="493"/>
      <c r="P208" s="493"/>
      <c r="Q208" s="493"/>
      <c r="R208" s="493"/>
      <c r="S208" s="493"/>
      <c r="T208" s="493"/>
    </row>
    <row r="209" spans="4:20">
      <c r="D209" s="493"/>
      <c r="E209" s="748"/>
      <c r="G209" s="493"/>
      <c r="I209" s="748"/>
      <c r="K209" s="493"/>
      <c r="L209" s="748"/>
      <c r="M209" s="493"/>
      <c r="N209" s="493"/>
      <c r="O209" s="493"/>
      <c r="P209" s="493"/>
      <c r="Q209" s="493"/>
      <c r="R209" s="493"/>
      <c r="S209" s="493"/>
      <c r="T209" s="493"/>
    </row>
    <row r="210" spans="4:20">
      <c r="D210" s="493"/>
      <c r="E210" s="748"/>
      <c r="G210" s="493"/>
      <c r="I210" s="748"/>
      <c r="K210" s="493"/>
      <c r="L210" s="748"/>
      <c r="M210" s="493"/>
      <c r="N210" s="493"/>
      <c r="O210" s="493"/>
      <c r="P210" s="493"/>
      <c r="Q210" s="493"/>
      <c r="R210" s="493"/>
      <c r="S210" s="493"/>
      <c r="T210" s="493"/>
    </row>
    <row r="211" spans="4:20">
      <c r="D211" s="493"/>
      <c r="E211" s="748"/>
      <c r="G211" s="493"/>
      <c r="I211" s="748"/>
      <c r="K211" s="493"/>
      <c r="L211" s="748"/>
      <c r="M211" s="493"/>
      <c r="N211" s="493"/>
      <c r="O211" s="493"/>
      <c r="P211" s="493"/>
      <c r="Q211" s="493"/>
      <c r="R211" s="493"/>
      <c r="S211" s="493"/>
      <c r="T211" s="493"/>
    </row>
    <row r="212" spans="4:20">
      <c r="D212" s="493"/>
      <c r="E212" s="748"/>
      <c r="G212" s="493"/>
      <c r="I212" s="748"/>
      <c r="K212" s="493"/>
      <c r="L212" s="748"/>
      <c r="M212" s="493"/>
      <c r="N212" s="493"/>
      <c r="O212" s="493"/>
      <c r="P212" s="493"/>
      <c r="Q212" s="493"/>
      <c r="R212" s="493"/>
      <c r="S212" s="493"/>
      <c r="T212" s="493"/>
    </row>
    <row r="213" spans="4:20">
      <c r="D213" s="493"/>
      <c r="E213" s="748"/>
      <c r="G213" s="493"/>
      <c r="I213" s="748"/>
      <c r="K213" s="493"/>
      <c r="L213" s="748"/>
      <c r="M213" s="493"/>
      <c r="N213" s="493"/>
      <c r="O213" s="493"/>
      <c r="P213" s="493"/>
      <c r="Q213" s="493"/>
      <c r="R213" s="493"/>
      <c r="S213" s="493"/>
      <c r="T213" s="493"/>
    </row>
    <row r="214" spans="4:20">
      <c r="D214" s="493"/>
      <c r="E214" s="748"/>
      <c r="G214" s="493"/>
      <c r="I214" s="748"/>
      <c r="K214" s="493"/>
      <c r="L214" s="748"/>
      <c r="M214" s="493"/>
      <c r="N214" s="493"/>
      <c r="O214" s="493"/>
      <c r="P214" s="493"/>
      <c r="Q214" s="493"/>
      <c r="R214" s="493"/>
      <c r="S214" s="493"/>
      <c r="T214" s="493"/>
    </row>
    <row r="215" spans="4:20">
      <c r="D215" s="493"/>
      <c r="E215" s="748"/>
      <c r="G215" s="493"/>
      <c r="I215" s="748"/>
      <c r="K215" s="493"/>
      <c r="L215" s="748"/>
      <c r="M215" s="493"/>
      <c r="N215" s="493"/>
      <c r="O215" s="493"/>
      <c r="P215" s="493"/>
      <c r="Q215" s="493"/>
      <c r="R215" s="493"/>
      <c r="S215" s="493"/>
      <c r="T215" s="493"/>
    </row>
    <row r="216" spans="4:20">
      <c r="D216" s="493"/>
      <c r="E216" s="748"/>
      <c r="G216" s="493"/>
      <c r="I216" s="748"/>
      <c r="K216" s="493"/>
      <c r="L216" s="748"/>
      <c r="M216" s="493"/>
      <c r="N216" s="493"/>
      <c r="O216" s="493"/>
      <c r="P216" s="493"/>
      <c r="Q216" s="493"/>
      <c r="R216" s="493"/>
      <c r="S216" s="493"/>
      <c r="T216" s="493"/>
    </row>
    <row r="217" spans="4:20">
      <c r="D217" s="493"/>
      <c r="E217" s="748"/>
      <c r="G217" s="493"/>
      <c r="I217" s="748"/>
      <c r="K217" s="493"/>
      <c r="L217" s="748"/>
      <c r="M217" s="493"/>
      <c r="N217" s="493"/>
      <c r="O217" s="493"/>
      <c r="P217" s="493"/>
      <c r="Q217" s="493"/>
      <c r="R217" s="493"/>
      <c r="S217" s="493"/>
      <c r="T217" s="493"/>
    </row>
    <row r="218" spans="4:20">
      <c r="D218" s="493"/>
      <c r="E218" s="748"/>
      <c r="G218" s="493"/>
      <c r="I218" s="748"/>
      <c r="K218" s="493"/>
      <c r="L218" s="748"/>
      <c r="M218" s="493"/>
      <c r="N218" s="493"/>
      <c r="O218" s="493"/>
      <c r="P218" s="493"/>
      <c r="Q218" s="493"/>
      <c r="R218" s="493"/>
      <c r="S218" s="493"/>
      <c r="T218" s="493"/>
    </row>
    <row r="219" spans="4:20">
      <c r="D219" s="493"/>
      <c r="E219" s="748"/>
      <c r="G219" s="493"/>
      <c r="I219" s="748"/>
      <c r="K219" s="493"/>
      <c r="L219" s="748"/>
      <c r="M219" s="493"/>
      <c r="N219" s="493"/>
      <c r="O219" s="493"/>
      <c r="P219" s="493"/>
      <c r="Q219" s="493"/>
      <c r="R219" s="493"/>
      <c r="S219" s="493"/>
      <c r="T219" s="493"/>
    </row>
    <row r="220" spans="4:20">
      <c r="D220" s="493"/>
      <c r="E220" s="748"/>
      <c r="G220" s="493"/>
      <c r="I220" s="748"/>
      <c r="K220" s="493"/>
      <c r="L220" s="748"/>
      <c r="M220" s="493"/>
      <c r="N220" s="493"/>
      <c r="O220" s="493"/>
      <c r="P220" s="493"/>
      <c r="Q220" s="493"/>
      <c r="R220" s="493"/>
      <c r="S220" s="493"/>
      <c r="T220" s="493"/>
    </row>
    <row r="221" spans="4:20">
      <c r="D221" s="493"/>
      <c r="E221" s="748"/>
      <c r="G221" s="493"/>
      <c r="I221" s="748"/>
      <c r="K221" s="493"/>
      <c r="L221" s="748"/>
      <c r="M221" s="493"/>
      <c r="N221" s="493"/>
      <c r="O221" s="493"/>
      <c r="P221" s="493"/>
      <c r="Q221" s="493"/>
      <c r="R221" s="493"/>
      <c r="S221" s="493"/>
      <c r="T221" s="493"/>
    </row>
    <row r="222" spans="4:20">
      <c r="D222" s="493"/>
      <c r="E222" s="748"/>
      <c r="G222" s="493"/>
      <c r="I222" s="748"/>
      <c r="K222" s="493"/>
      <c r="L222" s="748"/>
      <c r="M222" s="493"/>
      <c r="N222" s="493"/>
      <c r="O222" s="493"/>
      <c r="P222" s="493"/>
      <c r="Q222" s="493"/>
      <c r="R222" s="493"/>
      <c r="S222" s="493"/>
      <c r="T222" s="493"/>
    </row>
    <row r="223" spans="4:20">
      <c r="D223" s="493"/>
      <c r="E223" s="748"/>
      <c r="G223" s="493"/>
      <c r="I223" s="748"/>
      <c r="K223" s="493"/>
      <c r="L223" s="748"/>
      <c r="M223" s="493"/>
      <c r="N223" s="493"/>
      <c r="O223" s="493"/>
      <c r="P223" s="493"/>
      <c r="Q223" s="493"/>
      <c r="R223" s="493"/>
      <c r="S223" s="493"/>
      <c r="T223" s="493"/>
    </row>
    <row r="224" spans="4:20">
      <c r="D224" s="493"/>
      <c r="E224" s="748"/>
      <c r="G224" s="493"/>
      <c r="I224" s="748"/>
      <c r="K224" s="493"/>
      <c r="L224" s="748"/>
      <c r="M224" s="493"/>
      <c r="N224" s="493"/>
      <c r="O224" s="493"/>
      <c r="P224" s="493"/>
      <c r="Q224" s="493"/>
      <c r="R224" s="493"/>
      <c r="S224" s="493"/>
      <c r="T224" s="493"/>
    </row>
    <row r="225" spans="4:20">
      <c r="D225" s="493"/>
      <c r="E225" s="748"/>
      <c r="G225" s="493"/>
      <c r="I225" s="748"/>
      <c r="K225" s="493"/>
      <c r="L225" s="748"/>
      <c r="M225" s="493"/>
      <c r="N225" s="493"/>
      <c r="O225" s="493"/>
      <c r="P225" s="493"/>
      <c r="Q225" s="493"/>
      <c r="R225" s="493"/>
      <c r="S225" s="493"/>
      <c r="T225" s="493"/>
    </row>
    <row r="226" spans="4:20">
      <c r="D226" s="493"/>
      <c r="E226" s="748"/>
      <c r="G226" s="493"/>
      <c r="I226" s="748"/>
      <c r="K226" s="493"/>
      <c r="L226" s="748"/>
      <c r="M226" s="493"/>
      <c r="N226" s="493"/>
      <c r="O226" s="493"/>
      <c r="P226" s="493"/>
      <c r="Q226" s="493"/>
      <c r="R226" s="493"/>
      <c r="S226" s="493"/>
      <c r="T226" s="493"/>
    </row>
    <row r="227" spans="4:20">
      <c r="D227" s="493"/>
      <c r="E227" s="748"/>
      <c r="G227" s="493"/>
      <c r="I227" s="748"/>
      <c r="K227" s="493"/>
      <c r="L227" s="748"/>
      <c r="M227" s="493"/>
      <c r="N227" s="493"/>
      <c r="O227" s="493"/>
      <c r="P227" s="493"/>
      <c r="Q227" s="493"/>
      <c r="R227" s="493"/>
      <c r="S227" s="493"/>
      <c r="T227" s="493"/>
    </row>
    <row r="228" spans="4:20">
      <c r="D228" s="493"/>
      <c r="E228" s="748"/>
      <c r="G228" s="493"/>
      <c r="I228" s="748"/>
      <c r="K228" s="493"/>
      <c r="L228" s="748"/>
      <c r="M228" s="493"/>
      <c r="N228" s="493"/>
      <c r="O228" s="493"/>
      <c r="P228" s="493"/>
      <c r="Q228" s="493"/>
      <c r="R228" s="493"/>
      <c r="S228" s="493"/>
      <c r="T228" s="493"/>
    </row>
    <row r="229" spans="4:20">
      <c r="D229" s="493"/>
      <c r="E229" s="748"/>
      <c r="G229" s="493"/>
      <c r="I229" s="748"/>
      <c r="K229" s="493"/>
      <c r="L229" s="748"/>
      <c r="M229" s="493"/>
      <c r="N229" s="493"/>
      <c r="O229" s="493"/>
      <c r="P229" s="493"/>
      <c r="Q229" s="493"/>
      <c r="R229" s="493"/>
      <c r="S229" s="493"/>
      <c r="T229" s="493"/>
    </row>
    <row r="230" spans="4:20">
      <c r="D230" s="493"/>
      <c r="E230" s="748"/>
      <c r="G230" s="493"/>
      <c r="I230" s="748"/>
      <c r="K230" s="493"/>
      <c r="L230" s="748"/>
      <c r="M230" s="493"/>
      <c r="N230" s="493"/>
      <c r="O230" s="493"/>
      <c r="P230" s="493"/>
      <c r="Q230" s="493"/>
      <c r="R230" s="493"/>
      <c r="S230" s="493"/>
      <c r="T230" s="493"/>
    </row>
    <row r="231" spans="4:20">
      <c r="D231" s="493"/>
      <c r="E231" s="748"/>
      <c r="G231" s="493"/>
      <c r="I231" s="748"/>
      <c r="K231" s="493"/>
      <c r="L231" s="748"/>
      <c r="M231" s="493"/>
      <c r="N231" s="493"/>
      <c r="O231" s="493"/>
      <c r="P231" s="493"/>
      <c r="Q231" s="493"/>
      <c r="R231" s="493"/>
      <c r="S231" s="493"/>
      <c r="T231" s="493"/>
    </row>
    <row r="232" spans="4:20">
      <c r="D232" s="493"/>
      <c r="E232" s="748"/>
      <c r="G232" s="493"/>
      <c r="I232" s="748"/>
      <c r="K232" s="493"/>
      <c r="L232" s="748"/>
      <c r="M232" s="493"/>
      <c r="N232" s="493"/>
      <c r="O232" s="493"/>
      <c r="P232" s="493"/>
      <c r="Q232" s="493"/>
      <c r="R232" s="493"/>
      <c r="S232" s="493"/>
      <c r="T232" s="493"/>
    </row>
    <row r="233" spans="4:20">
      <c r="D233" s="493"/>
      <c r="E233" s="748"/>
      <c r="G233" s="493"/>
      <c r="I233" s="748"/>
      <c r="K233" s="493"/>
      <c r="L233" s="748"/>
      <c r="M233" s="493"/>
      <c r="N233" s="493"/>
      <c r="O233" s="493"/>
      <c r="P233" s="493"/>
      <c r="Q233" s="493"/>
      <c r="R233" s="493"/>
      <c r="S233" s="493"/>
      <c r="T233" s="493"/>
    </row>
    <row r="234" spans="4:20">
      <c r="D234" s="493"/>
      <c r="E234" s="748"/>
      <c r="G234" s="493"/>
      <c r="I234" s="748"/>
      <c r="K234" s="493"/>
      <c r="L234" s="748"/>
      <c r="M234" s="493"/>
      <c r="N234" s="493"/>
      <c r="O234" s="493"/>
      <c r="P234" s="493"/>
      <c r="Q234" s="493"/>
      <c r="R234" s="493"/>
      <c r="S234" s="493"/>
      <c r="T234" s="493"/>
    </row>
    <row r="235" spans="4:20">
      <c r="D235" s="493"/>
      <c r="E235" s="748"/>
      <c r="G235" s="493"/>
      <c r="I235" s="748"/>
      <c r="K235" s="493"/>
      <c r="L235" s="748"/>
      <c r="M235" s="493"/>
      <c r="N235" s="493"/>
      <c r="O235" s="493"/>
      <c r="P235" s="493"/>
      <c r="Q235" s="493"/>
      <c r="R235" s="493"/>
      <c r="S235" s="493"/>
      <c r="T235" s="493"/>
    </row>
    <row r="236" spans="4:20">
      <c r="D236" s="493"/>
      <c r="E236" s="748"/>
      <c r="G236" s="493"/>
      <c r="I236" s="748"/>
      <c r="K236" s="493"/>
      <c r="L236" s="748"/>
      <c r="M236" s="493"/>
      <c r="N236" s="493"/>
      <c r="O236" s="493"/>
      <c r="P236" s="493"/>
      <c r="Q236" s="493"/>
      <c r="R236" s="493"/>
      <c r="S236" s="493"/>
      <c r="T236" s="493"/>
    </row>
    <row r="237" spans="4:20">
      <c r="D237" s="493"/>
      <c r="E237" s="748"/>
      <c r="G237" s="493"/>
      <c r="I237" s="748"/>
      <c r="K237" s="493"/>
      <c r="L237" s="748"/>
      <c r="M237" s="493"/>
      <c r="N237" s="493"/>
      <c r="O237" s="493"/>
      <c r="P237" s="493"/>
      <c r="Q237" s="493"/>
      <c r="R237" s="493"/>
      <c r="S237" s="493"/>
      <c r="T237" s="493"/>
    </row>
    <row r="238" spans="4:20">
      <c r="D238" s="493"/>
      <c r="E238" s="748"/>
      <c r="G238" s="493"/>
      <c r="I238" s="748"/>
      <c r="K238" s="493"/>
      <c r="L238" s="748"/>
      <c r="M238" s="493"/>
      <c r="N238" s="493"/>
      <c r="O238" s="493"/>
      <c r="P238" s="493"/>
      <c r="Q238" s="493"/>
      <c r="R238" s="493"/>
      <c r="S238" s="493"/>
      <c r="T238" s="493"/>
    </row>
    <row r="239" spans="4:20">
      <c r="D239" s="493"/>
      <c r="E239" s="748"/>
      <c r="G239" s="493"/>
      <c r="I239" s="748"/>
      <c r="K239" s="493"/>
      <c r="L239" s="748"/>
      <c r="M239" s="493"/>
      <c r="N239" s="493"/>
      <c r="O239" s="493"/>
      <c r="P239" s="493"/>
      <c r="Q239" s="493"/>
      <c r="R239" s="493"/>
      <c r="S239" s="493"/>
      <c r="T239" s="493"/>
    </row>
    <row r="240" spans="4:20">
      <c r="D240" s="493"/>
      <c r="E240" s="748"/>
      <c r="G240" s="493"/>
      <c r="I240" s="748"/>
      <c r="K240" s="493"/>
      <c r="L240" s="748"/>
      <c r="M240" s="493"/>
      <c r="N240" s="493"/>
      <c r="O240" s="493"/>
      <c r="P240" s="493"/>
      <c r="Q240" s="493"/>
      <c r="R240" s="493"/>
      <c r="S240" s="493"/>
      <c r="T240" s="493"/>
    </row>
    <row r="241" spans="4:20">
      <c r="D241" s="493"/>
      <c r="E241" s="748"/>
      <c r="G241" s="493"/>
      <c r="I241" s="748"/>
      <c r="K241" s="493"/>
      <c r="L241" s="748"/>
      <c r="M241" s="493"/>
      <c r="N241" s="493"/>
      <c r="O241" s="493"/>
      <c r="P241" s="493"/>
      <c r="Q241" s="493"/>
      <c r="R241" s="493"/>
      <c r="S241" s="493"/>
      <c r="T241" s="493"/>
    </row>
    <row r="242" spans="4:20">
      <c r="D242" s="493"/>
      <c r="E242" s="748"/>
      <c r="G242" s="493"/>
      <c r="I242" s="748"/>
      <c r="K242" s="493"/>
      <c r="L242" s="748"/>
      <c r="M242" s="493"/>
      <c r="N242" s="493"/>
      <c r="O242" s="493"/>
      <c r="P242" s="493"/>
      <c r="Q242" s="493"/>
      <c r="R242" s="493"/>
      <c r="S242" s="493"/>
      <c r="T242" s="493"/>
    </row>
    <row r="243" spans="4:20">
      <c r="D243" s="493"/>
      <c r="E243" s="748"/>
      <c r="G243" s="493"/>
      <c r="I243" s="748"/>
      <c r="K243" s="493"/>
      <c r="L243" s="748"/>
      <c r="M243" s="493"/>
      <c r="N243" s="493"/>
      <c r="O243" s="493"/>
      <c r="P243" s="493"/>
      <c r="Q243" s="493"/>
      <c r="R243" s="493"/>
      <c r="S243" s="493"/>
      <c r="T243" s="493"/>
    </row>
    <row r="244" spans="4:20">
      <c r="D244" s="493"/>
      <c r="E244" s="748"/>
      <c r="G244" s="493"/>
      <c r="I244" s="748"/>
      <c r="K244" s="493"/>
      <c r="L244" s="748"/>
      <c r="M244" s="493"/>
      <c r="N244" s="493"/>
      <c r="O244" s="493"/>
      <c r="P244" s="493"/>
      <c r="Q244" s="493"/>
      <c r="R244" s="493"/>
      <c r="S244" s="493"/>
      <c r="T244" s="493"/>
    </row>
    <row r="245" spans="4:20">
      <c r="D245" s="493"/>
      <c r="E245" s="748"/>
      <c r="G245" s="493"/>
      <c r="I245" s="748"/>
      <c r="K245" s="493"/>
      <c r="L245" s="748"/>
      <c r="M245" s="493"/>
      <c r="N245" s="493"/>
      <c r="O245" s="493"/>
      <c r="P245" s="493"/>
      <c r="Q245" s="493"/>
      <c r="R245" s="493"/>
      <c r="S245" s="493"/>
      <c r="T245" s="493"/>
    </row>
    <row r="246" spans="4:20">
      <c r="D246" s="493"/>
      <c r="E246" s="748"/>
      <c r="G246" s="493"/>
      <c r="I246" s="748"/>
      <c r="K246" s="493"/>
      <c r="L246" s="748"/>
      <c r="M246" s="493"/>
      <c r="N246" s="493"/>
      <c r="O246" s="493"/>
      <c r="P246" s="493"/>
      <c r="Q246" s="493"/>
      <c r="R246" s="493"/>
      <c r="S246" s="493"/>
      <c r="T246" s="493"/>
    </row>
    <row r="247" spans="4:20">
      <c r="D247" s="493"/>
      <c r="E247" s="748"/>
      <c r="G247" s="493"/>
      <c r="I247" s="748"/>
      <c r="K247" s="493"/>
      <c r="L247" s="748"/>
      <c r="M247" s="493"/>
      <c r="N247" s="493"/>
      <c r="O247" s="493"/>
      <c r="P247" s="493"/>
      <c r="Q247" s="493"/>
      <c r="R247" s="493"/>
      <c r="S247" s="493"/>
      <c r="T247" s="493"/>
    </row>
    <row r="248" spans="4:20">
      <c r="D248" s="493"/>
      <c r="E248" s="748"/>
      <c r="G248" s="493"/>
      <c r="I248" s="748"/>
      <c r="K248" s="493"/>
      <c r="L248" s="748"/>
      <c r="M248" s="493"/>
      <c r="N248" s="493"/>
      <c r="O248" s="493"/>
      <c r="P248" s="493"/>
      <c r="Q248" s="493"/>
      <c r="R248" s="493"/>
      <c r="S248" s="493"/>
      <c r="T248" s="493"/>
    </row>
    <row r="249" spans="4:20">
      <c r="D249" s="493"/>
      <c r="E249" s="748"/>
      <c r="G249" s="493"/>
      <c r="I249" s="748"/>
      <c r="K249" s="493"/>
      <c r="L249" s="748"/>
      <c r="M249" s="493"/>
      <c r="N249" s="493"/>
      <c r="O249" s="493"/>
      <c r="P249" s="493"/>
      <c r="Q249" s="493"/>
      <c r="R249" s="493"/>
      <c r="S249" s="493"/>
      <c r="T249" s="493"/>
    </row>
    <row r="250" spans="4:20">
      <c r="D250" s="493"/>
      <c r="E250" s="748"/>
      <c r="G250" s="493"/>
      <c r="I250" s="748"/>
      <c r="K250" s="493"/>
      <c r="L250" s="748"/>
      <c r="M250" s="493"/>
      <c r="N250" s="493"/>
      <c r="O250" s="493"/>
      <c r="P250" s="493"/>
      <c r="Q250" s="493"/>
      <c r="R250" s="493"/>
      <c r="S250" s="493"/>
      <c r="T250" s="493"/>
    </row>
    <row r="251" spans="4:20">
      <c r="D251" s="493"/>
      <c r="E251" s="748"/>
      <c r="G251" s="493"/>
      <c r="I251" s="748"/>
      <c r="K251" s="493"/>
      <c r="L251" s="748"/>
      <c r="M251" s="493"/>
      <c r="N251" s="493"/>
      <c r="O251" s="493"/>
      <c r="P251" s="493"/>
      <c r="Q251" s="493"/>
      <c r="R251" s="493"/>
      <c r="S251" s="493"/>
      <c r="T251" s="493"/>
    </row>
    <row r="252" spans="4:20">
      <c r="D252" s="493"/>
      <c r="E252" s="748"/>
      <c r="G252" s="493"/>
      <c r="I252" s="748"/>
      <c r="K252" s="493"/>
      <c r="L252" s="748"/>
      <c r="M252" s="493"/>
      <c r="N252" s="493"/>
      <c r="O252" s="493"/>
      <c r="P252" s="493"/>
      <c r="Q252" s="493"/>
      <c r="R252" s="493"/>
      <c r="S252" s="493"/>
      <c r="T252" s="493"/>
    </row>
    <row r="253" spans="4:20">
      <c r="D253" s="493"/>
      <c r="E253" s="748"/>
      <c r="G253" s="493"/>
      <c r="I253" s="748"/>
      <c r="K253" s="493"/>
      <c r="L253" s="748"/>
      <c r="M253" s="493"/>
      <c r="N253" s="493"/>
      <c r="O253" s="493"/>
      <c r="P253" s="493"/>
      <c r="Q253" s="493"/>
      <c r="R253" s="493"/>
      <c r="S253" s="493"/>
      <c r="T253" s="493"/>
    </row>
    <row r="254" spans="4:20">
      <c r="D254" s="493"/>
      <c r="E254" s="748"/>
      <c r="G254" s="493"/>
      <c r="I254" s="748"/>
      <c r="K254" s="493"/>
      <c r="L254" s="748"/>
      <c r="M254" s="493"/>
      <c r="N254" s="493"/>
      <c r="O254" s="493"/>
      <c r="P254" s="493"/>
      <c r="Q254" s="493"/>
      <c r="R254" s="493"/>
      <c r="S254" s="493"/>
      <c r="T254" s="493"/>
    </row>
    <row r="255" spans="4:20">
      <c r="D255" s="493"/>
      <c r="E255" s="748"/>
      <c r="G255" s="493"/>
      <c r="I255" s="748"/>
      <c r="K255" s="493"/>
      <c r="L255" s="748"/>
      <c r="M255" s="493"/>
      <c r="N255" s="493"/>
      <c r="O255" s="493"/>
      <c r="P255" s="493"/>
      <c r="Q255" s="493"/>
      <c r="R255" s="493"/>
      <c r="S255" s="493"/>
      <c r="T255" s="493"/>
    </row>
    <row r="256" spans="4:20">
      <c r="D256" s="493"/>
      <c r="E256" s="748"/>
      <c r="G256" s="493"/>
      <c r="I256" s="748"/>
      <c r="K256" s="493"/>
      <c r="L256" s="748"/>
      <c r="M256" s="493"/>
      <c r="N256" s="493"/>
      <c r="O256" s="493"/>
      <c r="P256" s="493"/>
      <c r="Q256" s="493"/>
      <c r="R256" s="493"/>
      <c r="S256" s="493"/>
      <c r="T256" s="493"/>
    </row>
    <row r="257" spans="4:20">
      <c r="D257" s="493"/>
      <c r="E257" s="748"/>
      <c r="G257" s="493"/>
      <c r="I257" s="748"/>
      <c r="K257" s="493"/>
      <c r="L257" s="748"/>
      <c r="M257" s="493"/>
      <c r="N257" s="493"/>
      <c r="O257" s="493"/>
      <c r="P257" s="493"/>
      <c r="Q257" s="493"/>
      <c r="R257" s="493"/>
      <c r="S257" s="493"/>
      <c r="T257" s="493"/>
    </row>
    <row r="258" spans="4:20">
      <c r="D258" s="493"/>
      <c r="E258" s="748"/>
      <c r="G258" s="493"/>
      <c r="I258" s="748"/>
      <c r="K258" s="493"/>
      <c r="L258" s="748"/>
      <c r="M258" s="493"/>
      <c r="N258" s="493"/>
      <c r="O258" s="493"/>
      <c r="P258" s="493"/>
      <c r="Q258" s="493"/>
      <c r="R258" s="493"/>
      <c r="S258" s="493"/>
      <c r="T258" s="493"/>
    </row>
    <row r="259" spans="4:20">
      <c r="D259" s="493"/>
      <c r="E259" s="748"/>
      <c r="G259" s="493"/>
      <c r="I259" s="748"/>
      <c r="K259" s="493"/>
      <c r="L259" s="748"/>
      <c r="M259" s="493"/>
      <c r="N259" s="493"/>
      <c r="O259" s="493"/>
      <c r="P259" s="493"/>
      <c r="Q259" s="493"/>
      <c r="R259" s="493"/>
      <c r="S259" s="493"/>
      <c r="T259" s="493"/>
    </row>
    <row r="260" spans="4:20">
      <c r="D260" s="493"/>
      <c r="E260" s="748"/>
      <c r="G260" s="493"/>
      <c r="I260" s="748"/>
      <c r="K260" s="493"/>
      <c r="L260" s="748"/>
      <c r="M260" s="493"/>
      <c r="N260" s="493"/>
      <c r="O260" s="493"/>
      <c r="P260" s="493"/>
      <c r="Q260" s="493"/>
      <c r="R260" s="493"/>
      <c r="S260" s="493"/>
      <c r="T260" s="493"/>
    </row>
    <row r="261" spans="4:20">
      <c r="D261" s="493"/>
      <c r="E261" s="748"/>
      <c r="G261" s="493"/>
      <c r="I261" s="748"/>
      <c r="K261" s="493"/>
      <c r="L261" s="748"/>
      <c r="M261" s="493"/>
      <c r="N261" s="493"/>
      <c r="O261" s="493"/>
      <c r="P261" s="493"/>
      <c r="Q261" s="493"/>
      <c r="R261" s="493"/>
      <c r="S261" s="493"/>
      <c r="T261" s="493"/>
    </row>
    <row r="262" spans="4:20">
      <c r="D262" s="493"/>
      <c r="E262" s="748"/>
      <c r="G262" s="493"/>
      <c r="I262" s="748"/>
      <c r="K262" s="493"/>
      <c r="L262" s="748"/>
      <c r="M262" s="493"/>
      <c r="N262" s="493"/>
      <c r="O262" s="493"/>
      <c r="P262" s="493"/>
      <c r="Q262" s="493"/>
      <c r="R262" s="493"/>
      <c r="S262" s="493"/>
      <c r="T262" s="493"/>
    </row>
    <row r="263" spans="4:20">
      <c r="D263" s="493"/>
      <c r="E263" s="748"/>
      <c r="G263" s="493"/>
      <c r="I263" s="748"/>
      <c r="K263" s="493"/>
      <c r="L263" s="748"/>
      <c r="M263" s="493"/>
      <c r="N263" s="493"/>
      <c r="O263" s="493"/>
      <c r="P263" s="493"/>
      <c r="Q263" s="493"/>
      <c r="R263" s="493"/>
      <c r="S263" s="493"/>
      <c r="T263" s="493"/>
    </row>
    <row r="264" spans="4:20">
      <c r="D264" s="493"/>
      <c r="E264" s="748"/>
      <c r="G264" s="493"/>
      <c r="I264" s="748"/>
      <c r="K264" s="493"/>
      <c r="L264" s="748"/>
      <c r="M264" s="493"/>
      <c r="N264" s="493"/>
      <c r="O264" s="493"/>
      <c r="P264" s="493"/>
      <c r="Q264" s="493"/>
      <c r="R264" s="493"/>
      <c r="S264" s="493"/>
      <c r="T264" s="493"/>
    </row>
    <row r="265" spans="4:20">
      <c r="D265" s="493"/>
      <c r="E265" s="748"/>
      <c r="G265" s="493"/>
      <c r="I265" s="748"/>
      <c r="K265" s="493"/>
      <c r="L265" s="748"/>
      <c r="M265" s="493"/>
      <c r="N265" s="493"/>
      <c r="O265" s="493"/>
      <c r="P265" s="493"/>
      <c r="Q265" s="493"/>
      <c r="R265" s="493"/>
      <c r="S265" s="493"/>
      <c r="T265" s="493"/>
    </row>
    <row r="266" spans="4:20">
      <c r="D266" s="493"/>
      <c r="E266" s="748"/>
      <c r="G266" s="493"/>
      <c r="I266" s="748"/>
      <c r="K266" s="493"/>
      <c r="L266" s="748"/>
      <c r="M266" s="493"/>
      <c r="N266" s="493"/>
      <c r="O266" s="493"/>
      <c r="P266" s="493"/>
      <c r="Q266" s="493"/>
      <c r="R266" s="493"/>
      <c r="S266" s="493"/>
      <c r="T266" s="493"/>
    </row>
    <row r="267" spans="4:20">
      <c r="D267" s="493"/>
      <c r="E267" s="748"/>
      <c r="G267" s="493"/>
      <c r="I267" s="748"/>
      <c r="K267" s="493"/>
      <c r="L267" s="748"/>
      <c r="M267" s="493"/>
      <c r="N267" s="493"/>
      <c r="O267" s="493"/>
      <c r="P267" s="493"/>
      <c r="Q267" s="493"/>
      <c r="R267" s="493"/>
      <c r="S267" s="493"/>
      <c r="T267" s="493"/>
    </row>
    <row r="268" spans="4:20">
      <c r="D268" s="493"/>
      <c r="E268" s="748"/>
      <c r="G268" s="493"/>
      <c r="I268" s="748"/>
      <c r="K268" s="493"/>
      <c r="L268" s="748"/>
      <c r="M268" s="493"/>
      <c r="N268" s="493"/>
      <c r="O268" s="493"/>
      <c r="P268" s="493"/>
      <c r="Q268" s="493"/>
      <c r="R268" s="493"/>
      <c r="S268" s="493"/>
      <c r="T268" s="493"/>
    </row>
    <row r="269" spans="4:20">
      <c r="D269" s="493"/>
      <c r="E269" s="748"/>
      <c r="G269" s="493"/>
      <c r="I269" s="748"/>
      <c r="K269" s="493"/>
      <c r="L269" s="748"/>
      <c r="M269" s="493"/>
      <c r="N269" s="493"/>
      <c r="O269" s="493"/>
      <c r="P269" s="493"/>
      <c r="Q269" s="493"/>
      <c r="R269" s="493"/>
      <c r="S269" s="493"/>
      <c r="T269" s="493"/>
    </row>
    <row r="270" spans="4:20">
      <c r="D270" s="493"/>
      <c r="E270" s="748"/>
      <c r="G270" s="493"/>
      <c r="I270" s="748"/>
      <c r="K270" s="493"/>
      <c r="L270" s="748"/>
      <c r="M270" s="493"/>
      <c r="N270" s="493"/>
      <c r="O270" s="493"/>
      <c r="P270" s="493"/>
      <c r="Q270" s="493"/>
      <c r="R270" s="493"/>
      <c r="S270" s="493"/>
      <c r="T270" s="493"/>
    </row>
    <row r="271" spans="4:20">
      <c r="D271" s="493"/>
      <c r="E271" s="748"/>
      <c r="G271" s="493"/>
      <c r="I271" s="748"/>
      <c r="K271" s="493"/>
      <c r="L271" s="748"/>
      <c r="M271" s="493"/>
      <c r="N271" s="493"/>
      <c r="O271" s="493"/>
      <c r="P271" s="493"/>
      <c r="Q271" s="493"/>
      <c r="R271" s="493"/>
      <c r="S271" s="493"/>
      <c r="T271" s="493"/>
    </row>
    <row r="272" spans="4:20">
      <c r="D272" s="493"/>
      <c r="E272" s="748"/>
      <c r="G272" s="493"/>
      <c r="I272" s="748"/>
      <c r="K272" s="493"/>
      <c r="L272" s="748"/>
      <c r="M272" s="493"/>
      <c r="N272" s="493"/>
      <c r="O272" s="493"/>
      <c r="P272" s="493"/>
      <c r="Q272" s="493"/>
      <c r="R272" s="493"/>
      <c r="S272" s="493"/>
      <c r="T272" s="493"/>
    </row>
    <row r="273" spans="4:20">
      <c r="D273" s="493"/>
      <c r="E273" s="748"/>
      <c r="G273" s="493"/>
      <c r="I273" s="748"/>
      <c r="K273" s="493"/>
      <c r="L273" s="748"/>
      <c r="M273" s="493"/>
      <c r="N273" s="493"/>
      <c r="O273" s="493"/>
      <c r="P273" s="493"/>
      <c r="Q273" s="493"/>
      <c r="R273" s="493"/>
      <c r="S273" s="493"/>
      <c r="T273" s="493"/>
    </row>
    <row r="274" spans="4:20">
      <c r="D274" s="493"/>
      <c r="E274" s="748"/>
      <c r="G274" s="493"/>
      <c r="I274" s="748"/>
      <c r="K274" s="493"/>
      <c r="L274" s="748"/>
      <c r="M274" s="493"/>
      <c r="N274" s="493"/>
      <c r="O274" s="493"/>
      <c r="P274" s="493"/>
      <c r="Q274" s="493"/>
      <c r="R274" s="493"/>
      <c r="S274" s="493"/>
      <c r="T274" s="493"/>
    </row>
    <row r="275" spans="4:20">
      <c r="D275" s="493"/>
      <c r="E275" s="748"/>
      <c r="G275" s="493"/>
      <c r="I275" s="748"/>
      <c r="K275" s="493"/>
      <c r="L275" s="748"/>
      <c r="M275" s="493"/>
      <c r="N275" s="493"/>
      <c r="O275" s="493"/>
      <c r="P275" s="493"/>
      <c r="Q275" s="493"/>
      <c r="R275" s="493"/>
      <c r="S275" s="493"/>
      <c r="T275" s="493"/>
    </row>
    <row r="276" spans="4:20">
      <c r="D276" s="493"/>
      <c r="E276" s="748"/>
      <c r="G276" s="493"/>
      <c r="I276" s="748"/>
      <c r="K276" s="493"/>
      <c r="L276" s="748"/>
      <c r="M276" s="493"/>
      <c r="N276" s="493"/>
      <c r="O276" s="493"/>
      <c r="P276" s="493"/>
      <c r="Q276" s="493"/>
      <c r="R276" s="493"/>
      <c r="S276" s="493"/>
      <c r="T276" s="493"/>
    </row>
    <row r="277" spans="4:20">
      <c r="D277" s="493"/>
      <c r="E277" s="748"/>
      <c r="G277" s="493"/>
      <c r="I277" s="748"/>
      <c r="K277" s="493"/>
      <c r="L277" s="748"/>
      <c r="M277" s="493"/>
      <c r="N277" s="493"/>
      <c r="O277" s="493"/>
      <c r="P277" s="493"/>
      <c r="Q277" s="493"/>
      <c r="R277" s="493"/>
      <c r="S277" s="493"/>
      <c r="T277" s="493"/>
    </row>
    <row r="278" spans="4:20">
      <c r="D278" s="493"/>
      <c r="E278" s="748"/>
      <c r="G278" s="493"/>
      <c r="I278" s="748"/>
      <c r="K278" s="493"/>
      <c r="L278" s="748"/>
      <c r="M278" s="493"/>
      <c r="N278" s="493"/>
      <c r="O278" s="493"/>
      <c r="P278" s="493"/>
      <c r="Q278" s="493"/>
      <c r="R278" s="493"/>
      <c r="S278" s="493"/>
      <c r="T278" s="493"/>
    </row>
    <row r="279" spans="4:20">
      <c r="D279" s="493"/>
      <c r="E279" s="748"/>
      <c r="G279" s="493"/>
      <c r="I279" s="748"/>
      <c r="K279" s="493"/>
      <c r="L279" s="748"/>
      <c r="M279" s="493"/>
      <c r="N279" s="493"/>
      <c r="O279" s="493"/>
      <c r="P279" s="493"/>
      <c r="Q279" s="493"/>
      <c r="R279" s="493"/>
      <c r="S279" s="493"/>
      <c r="T279" s="493"/>
    </row>
    <row r="280" spans="4:20">
      <c r="D280" s="493"/>
      <c r="E280" s="748"/>
      <c r="G280" s="493"/>
      <c r="I280" s="748"/>
      <c r="K280" s="493"/>
      <c r="L280" s="748"/>
      <c r="M280" s="493"/>
      <c r="N280" s="493"/>
      <c r="O280" s="493"/>
      <c r="P280" s="493"/>
      <c r="Q280" s="493"/>
      <c r="R280" s="493"/>
      <c r="S280" s="493"/>
      <c r="T280" s="493"/>
    </row>
    <row r="281" spans="4:20">
      <c r="D281" s="493"/>
      <c r="E281" s="748"/>
      <c r="G281" s="493"/>
      <c r="I281" s="748"/>
      <c r="K281" s="493"/>
      <c r="L281" s="748"/>
      <c r="M281" s="493"/>
      <c r="N281" s="493"/>
      <c r="O281" s="493"/>
      <c r="P281" s="493"/>
      <c r="Q281" s="493"/>
      <c r="R281" s="493"/>
      <c r="S281" s="493"/>
      <c r="T281" s="493"/>
    </row>
    <row r="282" spans="4:20">
      <c r="D282" s="493"/>
      <c r="E282" s="748"/>
      <c r="G282" s="493"/>
      <c r="I282" s="748"/>
      <c r="K282" s="493"/>
      <c r="L282" s="748"/>
      <c r="M282" s="493"/>
      <c r="N282" s="493"/>
      <c r="O282" s="493"/>
      <c r="P282" s="493"/>
      <c r="Q282" s="493"/>
      <c r="R282" s="493"/>
      <c r="S282" s="493"/>
      <c r="T282" s="493"/>
    </row>
    <row r="283" spans="4:20">
      <c r="D283" s="493"/>
      <c r="E283" s="748"/>
      <c r="G283" s="493"/>
      <c r="I283" s="748"/>
      <c r="K283" s="493"/>
      <c r="L283" s="748"/>
      <c r="M283" s="493"/>
      <c r="N283" s="493"/>
      <c r="O283" s="493"/>
      <c r="P283" s="493"/>
      <c r="Q283" s="493"/>
      <c r="R283" s="493"/>
      <c r="S283" s="493"/>
      <c r="T283" s="493"/>
    </row>
    <row r="284" spans="4:20">
      <c r="D284" s="493"/>
      <c r="E284" s="748"/>
      <c r="G284" s="493"/>
      <c r="I284" s="748"/>
      <c r="K284" s="493"/>
      <c r="L284" s="748"/>
      <c r="M284" s="493"/>
      <c r="N284" s="493"/>
      <c r="O284" s="493"/>
      <c r="P284" s="493"/>
      <c r="Q284" s="493"/>
      <c r="R284" s="493"/>
      <c r="S284" s="493"/>
      <c r="T284" s="493"/>
    </row>
    <row r="285" spans="4:20">
      <c r="D285" s="493"/>
      <c r="E285" s="748"/>
      <c r="G285" s="493"/>
      <c r="I285" s="748"/>
      <c r="K285" s="493"/>
      <c r="L285" s="748"/>
      <c r="M285" s="493"/>
      <c r="N285" s="493"/>
      <c r="O285" s="493"/>
      <c r="P285" s="493"/>
      <c r="Q285" s="493"/>
      <c r="R285" s="493"/>
      <c r="S285" s="493"/>
      <c r="T285" s="493"/>
    </row>
    <row r="286" spans="4:20">
      <c r="D286" s="493"/>
      <c r="E286" s="748"/>
      <c r="G286" s="493"/>
      <c r="I286" s="748"/>
      <c r="K286" s="493"/>
      <c r="L286" s="748"/>
      <c r="M286" s="493"/>
      <c r="N286" s="493"/>
      <c r="O286" s="493"/>
      <c r="P286" s="493"/>
      <c r="Q286" s="493"/>
      <c r="R286" s="493"/>
      <c r="S286" s="493"/>
      <c r="T286" s="493"/>
    </row>
    <row r="287" spans="4:20">
      <c r="D287" s="493"/>
      <c r="E287" s="748"/>
      <c r="G287" s="493"/>
      <c r="I287" s="748"/>
      <c r="K287" s="493"/>
      <c r="L287" s="748"/>
      <c r="M287" s="493"/>
      <c r="N287" s="493"/>
      <c r="O287" s="493"/>
      <c r="P287" s="493"/>
      <c r="Q287" s="493"/>
      <c r="R287" s="493"/>
      <c r="S287" s="493"/>
      <c r="T287" s="493"/>
    </row>
    <row r="288" spans="4:20">
      <c r="D288" s="493"/>
      <c r="E288" s="748"/>
      <c r="G288" s="493"/>
      <c r="I288" s="748"/>
      <c r="K288" s="493"/>
      <c r="L288" s="748"/>
      <c r="M288" s="493"/>
      <c r="N288" s="493"/>
      <c r="O288" s="493"/>
      <c r="P288" s="493"/>
      <c r="Q288" s="493"/>
      <c r="R288" s="493"/>
      <c r="S288" s="493"/>
      <c r="T288" s="493"/>
    </row>
    <row r="289" spans="4:20">
      <c r="D289" s="493"/>
      <c r="E289" s="748"/>
      <c r="G289" s="493"/>
      <c r="I289" s="748"/>
      <c r="K289" s="493"/>
      <c r="L289" s="748"/>
      <c r="M289" s="493"/>
      <c r="N289" s="493"/>
      <c r="O289" s="493"/>
      <c r="P289" s="493"/>
      <c r="Q289" s="493"/>
      <c r="R289" s="493"/>
      <c r="S289" s="493"/>
      <c r="T289" s="493"/>
    </row>
    <row r="290" spans="4:20">
      <c r="D290" s="493"/>
      <c r="E290" s="748"/>
      <c r="G290" s="493"/>
      <c r="I290" s="748"/>
      <c r="K290" s="493"/>
      <c r="L290" s="748"/>
      <c r="M290" s="493"/>
      <c r="N290" s="493"/>
      <c r="O290" s="493"/>
      <c r="P290" s="493"/>
      <c r="Q290" s="493"/>
      <c r="R290" s="493"/>
      <c r="S290" s="493"/>
      <c r="T290" s="493"/>
    </row>
    <row r="291" spans="4:20">
      <c r="D291" s="493"/>
      <c r="E291" s="748"/>
      <c r="G291" s="493"/>
      <c r="I291" s="748"/>
      <c r="K291" s="493"/>
      <c r="L291" s="748"/>
      <c r="M291" s="493"/>
      <c r="N291" s="493"/>
      <c r="O291" s="493"/>
      <c r="P291" s="493"/>
      <c r="Q291" s="493"/>
      <c r="R291" s="493"/>
      <c r="S291" s="493"/>
      <c r="T291" s="493"/>
    </row>
    <row r="292" spans="4:20">
      <c r="D292" s="493"/>
      <c r="E292" s="748"/>
      <c r="G292" s="493"/>
      <c r="I292" s="748"/>
      <c r="K292" s="493"/>
      <c r="L292" s="748"/>
      <c r="M292" s="493"/>
      <c r="N292" s="493"/>
      <c r="O292" s="493"/>
      <c r="P292" s="493"/>
      <c r="Q292" s="493"/>
      <c r="R292" s="493"/>
      <c r="S292" s="493"/>
      <c r="T292" s="493"/>
    </row>
    <row r="293" spans="4:20">
      <c r="D293" s="493"/>
      <c r="E293" s="748"/>
      <c r="G293" s="493"/>
      <c r="I293" s="748"/>
      <c r="K293" s="493"/>
      <c r="L293" s="748"/>
      <c r="M293" s="493"/>
      <c r="N293" s="493"/>
      <c r="O293" s="493"/>
      <c r="P293" s="493"/>
      <c r="Q293" s="493"/>
      <c r="R293" s="493"/>
      <c r="S293" s="493"/>
      <c r="T293" s="493"/>
    </row>
    <row r="294" spans="4:20">
      <c r="D294" s="493"/>
      <c r="E294" s="748"/>
      <c r="G294" s="493"/>
      <c r="I294" s="748"/>
      <c r="K294" s="493"/>
      <c r="L294" s="748"/>
      <c r="M294" s="493"/>
      <c r="N294" s="493"/>
      <c r="O294" s="493"/>
      <c r="P294" s="493"/>
      <c r="Q294" s="493"/>
      <c r="R294" s="493"/>
      <c r="S294" s="493"/>
      <c r="T294" s="493"/>
    </row>
    <row r="295" spans="4:20">
      <c r="D295" s="493"/>
      <c r="E295" s="748"/>
      <c r="G295" s="493"/>
      <c r="I295" s="748"/>
      <c r="K295" s="493"/>
      <c r="L295" s="748"/>
      <c r="M295" s="493"/>
      <c r="N295" s="493"/>
      <c r="O295" s="493"/>
      <c r="P295" s="493"/>
      <c r="Q295" s="493"/>
      <c r="R295" s="493"/>
      <c r="S295" s="493"/>
      <c r="T295" s="493"/>
    </row>
    <row r="296" spans="4:20">
      <c r="D296" s="493"/>
      <c r="E296" s="748"/>
      <c r="G296" s="493"/>
      <c r="I296" s="748"/>
      <c r="K296" s="493"/>
      <c r="L296" s="748"/>
      <c r="M296" s="493"/>
      <c r="N296" s="493"/>
      <c r="O296" s="493"/>
      <c r="P296" s="493"/>
      <c r="Q296" s="493"/>
      <c r="R296" s="493"/>
      <c r="S296" s="493"/>
      <c r="T296" s="493"/>
    </row>
    <row r="297" spans="4:20">
      <c r="D297" s="493"/>
      <c r="E297" s="748"/>
      <c r="G297" s="493"/>
      <c r="I297" s="748"/>
      <c r="K297" s="493"/>
      <c r="L297" s="748"/>
      <c r="M297" s="493"/>
      <c r="N297" s="493"/>
      <c r="O297" s="493"/>
      <c r="P297" s="493"/>
      <c r="Q297" s="493"/>
      <c r="R297" s="493"/>
      <c r="S297" s="493"/>
      <c r="T297" s="493"/>
    </row>
    <row r="298" spans="4:20">
      <c r="D298" s="493"/>
      <c r="E298" s="748"/>
      <c r="G298" s="493"/>
      <c r="I298" s="748"/>
      <c r="K298" s="493"/>
      <c r="L298" s="748"/>
      <c r="M298" s="493"/>
      <c r="N298" s="493"/>
      <c r="O298" s="493"/>
      <c r="P298" s="493"/>
      <c r="Q298" s="493"/>
      <c r="R298" s="493"/>
      <c r="S298" s="493"/>
      <c r="T298" s="493"/>
    </row>
    <row r="299" spans="4:20">
      <c r="D299" s="493"/>
      <c r="E299" s="748"/>
      <c r="G299" s="493"/>
      <c r="I299" s="748"/>
      <c r="K299" s="493"/>
      <c r="L299" s="748"/>
      <c r="M299" s="493"/>
      <c r="N299" s="493"/>
      <c r="O299" s="493"/>
      <c r="P299" s="493"/>
      <c r="Q299" s="493"/>
      <c r="R299" s="493"/>
      <c r="S299" s="493"/>
      <c r="T299" s="493"/>
    </row>
    <row r="300" spans="4:20">
      <c r="D300" s="493"/>
      <c r="E300" s="748"/>
      <c r="G300" s="493"/>
      <c r="I300" s="748"/>
      <c r="K300" s="493"/>
      <c r="L300" s="748"/>
      <c r="M300" s="493"/>
      <c r="N300" s="493"/>
      <c r="O300" s="493"/>
      <c r="P300" s="493"/>
      <c r="Q300" s="493"/>
      <c r="R300" s="493"/>
      <c r="S300" s="493"/>
      <c r="T300" s="493"/>
    </row>
    <row r="301" spans="4:20">
      <c r="D301" s="493"/>
      <c r="E301" s="748"/>
      <c r="G301" s="493"/>
      <c r="I301" s="748"/>
      <c r="K301" s="493"/>
      <c r="L301" s="748"/>
      <c r="M301" s="493"/>
      <c r="N301" s="493"/>
      <c r="O301" s="493"/>
      <c r="P301" s="493"/>
      <c r="Q301" s="493"/>
      <c r="R301" s="493"/>
      <c r="S301" s="493"/>
      <c r="T301" s="493"/>
    </row>
    <row r="302" spans="4:20">
      <c r="D302" s="493"/>
      <c r="E302" s="748"/>
      <c r="G302" s="493"/>
      <c r="I302" s="748"/>
      <c r="K302" s="493"/>
      <c r="L302" s="748"/>
      <c r="M302" s="493"/>
      <c r="N302" s="493"/>
      <c r="O302" s="493"/>
      <c r="P302" s="493"/>
      <c r="Q302" s="493"/>
      <c r="R302" s="493"/>
      <c r="S302" s="493"/>
      <c r="T302" s="493"/>
    </row>
    <row r="303" spans="4:20">
      <c r="D303" s="493"/>
      <c r="E303" s="748"/>
      <c r="G303" s="493"/>
      <c r="I303" s="748"/>
      <c r="K303" s="493"/>
      <c r="L303" s="748"/>
      <c r="M303" s="493"/>
      <c r="N303" s="493"/>
      <c r="O303" s="493"/>
      <c r="P303" s="493"/>
      <c r="Q303" s="493"/>
      <c r="R303" s="493"/>
      <c r="S303" s="493"/>
      <c r="T303" s="493"/>
    </row>
    <row r="304" spans="4:20">
      <c r="D304" s="493"/>
      <c r="E304" s="748"/>
      <c r="G304" s="493"/>
      <c r="I304" s="748"/>
      <c r="K304" s="493"/>
      <c r="L304" s="748"/>
      <c r="M304" s="493"/>
      <c r="N304" s="493"/>
      <c r="O304" s="493"/>
      <c r="P304" s="493"/>
      <c r="Q304" s="493"/>
      <c r="R304" s="493"/>
      <c r="S304" s="493"/>
      <c r="T304" s="493"/>
    </row>
    <row r="305" spans="4:20">
      <c r="D305" s="493"/>
      <c r="E305" s="748"/>
      <c r="G305" s="493"/>
      <c r="I305" s="748"/>
      <c r="K305" s="493"/>
      <c r="L305" s="748"/>
      <c r="M305" s="493"/>
      <c r="N305" s="493"/>
      <c r="O305" s="493"/>
      <c r="P305" s="493"/>
      <c r="Q305" s="493"/>
      <c r="R305" s="493"/>
      <c r="S305" s="493"/>
      <c r="T305" s="493"/>
    </row>
    <row r="306" spans="4:20">
      <c r="D306" s="493"/>
      <c r="E306" s="748"/>
      <c r="G306" s="493"/>
      <c r="I306" s="748"/>
      <c r="K306" s="493"/>
      <c r="L306" s="748"/>
      <c r="M306" s="493"/>
      <c r="N306" s="493"/>
      <c r="O306" s="493"/>
      <c r="P306" s="493"/>
      <c r="Q306" s="493"/>
      <c r="R306" s="493"/>
      <c r="S306" s="493"/>
      <c r="T306" s="493"/>
    </row>
    <row r="307" spans="4:20">
      <c r="D307" s="493"/>
      <c r="E307" s="748"/>
      <c r="G307" s="493"/>
      <c r="I307" s="748"/>
      <c r="K307" s="493"/>
      <c r="L307" s="748"/>
      <c r="M307" s="493"/>
      <c r="N307" s="493"/>
      <c r="O307" s="493"/>
      <c r="P307" s="493"/>
      <c r="Q307" s="493"/>
      <c r="R307" s="493"/>
      <c r="S307" s="493"/>
      <c r="T307" s="493"/>
    </row>
    <row r="308" spans="4:20">
      <c r="D308" s="493"/>
      <c r="E308" s="748"/>
      <c r="G308" s="493"/>
      <c r="I308" s="748"/>
      <c r="K308" s="493"/>
      <c r="L308" s="748"/>
      <c r="M308" s="493"/>
      <c r="N308" s="493"/>
      <c r="O308" s="493"/>
      <c r="P308" s="493"/>
      <c r="Q308" s="493"/>
      <c r="R308" s="493"/>
      <c r="S308" s="493"/>
      <c r="T308" s="493"/>
    </row>
    <row r="309" spans="4:20">
      <c r="D309" s="493"/>
      <c r="E309" s="748"/>
      <c r="G309" s="493"/>
      <c r="I309" s="748"/>
      <c r="K309" s="493"/>
      <c r="L309" s="748"/>
      <c r="M309" s="493"/>
      <c r="N309" s="493"/>
      <c r="O309" s="493"/>
      <c r="P309" s="493"/>
      <c r="Q309" s="493"/>
      <c r="R309" s="493"/>
      <c r="S309" s="493"/>
      <c r="T309" s="493"/>
    </row>
    <row r="310" spans="4:20">
      <c r="D310" s="493"/>
      <c r="E310" s="748"/>
      <c r="G310" s="493"/>
      <c r="I310" s="748"/>
      <c r="K310" s="493"/>
      <c r="L310" s="748"/>
      <c r="M310" s="493"/>
      <c r="N310" s="493"/>
      <c r="O310" s="493"/>
      <c r="P310" s="493"/>
      <c r="Q310" s="493"/>
      <c r="R310" s="493"/>
      <c r="S310" s="493"/>
      <c r="T310" s="493"/>
    </row>
    <row r="311" spans="4:20">
      <c r="D311" s="493"/>
      <c r="E311" s="748"/>
      <c r="G311" s="493"/>
      <c r="I311" s="748"/>
      <c r="K311" s="493"/>
      <c r="L311" s="748"/>
      <c r="M311" s="493"/>
      <c r="N311" s="493"/>
      <c r="O311" s="493"/>
      <c r="P311" s="493"/>
      <c r="Q311" s="493"/>
      <c r="R311" s="493"/>
      <c r="S311" s="493"/>
      <c r="T311" s="493"/>
    </row>
    <row r="312" spans="4:20">
      <c r="D312" s="493"/>
      <c r="E312" s="748"/>
      <c r="G312" s="493"/>
      <c r="I312" s="748"/>
      <c r="K312" s="493"/>
      <c r="L312" s="748"/>
      <c r="M312" s="493"/>
      <c r="N312" s="493"/>
      <c r="O312" s="493"/>
      <c r="P312" s="493"/>
      <c r="Q312" s="493"/>
      <c r="R312" s="493"/>
      <c r="S312" s="493"/>
      <c r="T312" s="493"/>
    </row>
    <row r="313" spans="4:20">
      <c r="D313" s="493"/>
      <c r="E313" s="748"/>
      <c r="G313" s="493"/>
      <c r="I313" s="748"/>
      <c r="K313" s="493"/>
      <c r="L313" s="748"/>
      <c r="M313" s="493"/>
      <c r="N313" s="493"/>
      <c r="O313" s="493"/>
      <c r="P313" s="493"/>
      <c r="Q313" s="493"/>
      <c r="R313" s="493"/>
      <c r="S313" s="493"/>
      <c r="T313" s="493"/>
    </row>
    <row r="314" spans="4:20">
      <c r="D314" s="493"/>
      <c r="E314" s="748"/>
      <c r="G314" s="493"/>
      <c r="I314" s="748"/>
      <c r="K314" s="493"/>
      <c r="L314" s="748"/>
      <c r="M314" s="493"/>
      <c r="N314" s="493"/>
      <c r="O314" s="493"/>
      <c r="P314" s="493"/>
      <c r="Q314" s="493"/>
      <c r="R314" s="493"/>
      <c r="S314" s="493"/>
      <c r="T314" s="493"/>
    </row>
    <row r="315" spans="4:20">
      <c r="D315" s="493"/>
      <c r="E315" s="748"/>
      <c r="G315" s="493"/>
      <c r="I315" s="748"/>
      <c r="K315" s="493"/>
      <c r="L315" s="748"/>
      <c r="M315" s="493"/>
      <c r="N315" s="493"/>
      <c r="O315" s="493"/>
      <c r="P315" s="493"/>
      <c r="Q315" s="493"/>
      <c r="R315" s="493"/>
      <c r="S315" s="493"/>
      <c r="T315" s="493"/>
    </row>
    <row r="316" spans="4:20">
      <c r="D316" s="493"/>
      <c r="E316" s="748"/>
      <c r="G316" s="493"/>
      <c r="I316" s="748"/>
      <c r="K316" s="493"/>
      <c r="L316" s="748"/>
      <c r="M316" s="493"/>
      <c r="N316" s="493"/>
      <c r="O316" s="493"/>
      <c r="P316" s="493"/>
      <c r="Q316" s="493"/>
      <c r="R316" s="493"/>
      <c r="S316" s="493"/>
      <c r="T316" s="493"/>
    </row>
    <row r="317" spans="4:20">
      <c r="D317" s="493"/>
      <c r="E317" s="748"/>
      <c r="G317" s="493"/>
      <c r="I317" s="748"/>
      <c r="K317" s="493"/>
      <c r="L317" s="748"/>
      <c r="M317" s="493"/>
      <c r="N317" s="493"/>
      <c r="O317" s="493"/>
      <c r="P317" s="493"/>
      <c r="Q317" s="493"/>
      <c r="R317" s="493"/>
      <c r="S317" s="493"/>
      <c r="T317" s="493"/>
    </row>
    <row r="318" spans="4:20">
      <c r="D318" s="493"/>
      <c r="E318" s="748"/>
      <c r="G318" s="493"/>
      <c r="I318" s="748"/>
      <c r="K318" s="493"/>
      <c r="L318" s="748"/>
      <c r="M318" s="493"/>
      <c r="N318" s="493"/>
      <c r="O318" s="493"/>
      <c r="P318" s="493"/>
      <c r="Q318" s="493"/>
      <c r="R318" s="493"/>
      <c r="S318" s="493"/>
      <c r="T318" s="493"/>
    </row>
    <row r="319" spans="4:20">
      <c r="D319" s="493"/>
      <c r="E319" s="748"/>
      <c r="G319" s="493"/>
      <c r="I319" s="748"/>
      <c r="K319" s="493"/>
      <c r="L319" s="748"/>
      <c r="M319" s="493"/>
      <c r="N319" s="493"/>
      <c r="O319" s="493"/>
      <c r="P319" s="493"/>
      <c r="Q319" s="493"/>
      <c r="R319" s="493"/>
      <c r="S319" s="493"/>
      <c r="T319" s="493"/>
    </row>
    <row r="320" spans="4:20">
      <c r="D320" s="493"/>
      <c r="E320" s="748"/>
      <c r="G320" s="493"/>
      <c r="I320" s="748"/>
      <c r="K320" s="493"/>
      <c r="L320" s="748"/>
      <c r="M320" s="493"/>
      <c r="N320" s="493"/>
      <c r="O320" s="493"/>
      <c r="P320" s="493"/>
      <c r="Q320" s="493"/>
      <c r="R320" s="493"/>
      <c r="S320" s="493"/>
      <c r="T320" s="493"/>
    </row>
    <row r="321" spans="4:20">
      <c r="D321" s="493"/>
      <c r="E321" s="748"/>
      <c r="G321" s="493"/>
      <c r="I321" s="748"/>
      <c r="K321" s="493"/>
      <c r="L321" s="748"/>
      <c r="M321" s="493"/>
      <c r="N321" s="493"/>
      <c r="O321" s="493"/>
      <c r="P321" s="493"/>
      <c r="Q321" s="493"/>
      <c r="R321" s="493"/>
      <c r="S321" s="493"/>
      <c r="T321" s="493"/>
    </row>
    <row r="322" spans="4:20">
      <c r="D322" s="493"/>
      <c r="E322" s="748"/>
      <c r="G322" s="493"/>
      <c r="I322" s="748"/>
      <c r="K322" s="493"/>
      <c r="L322" s="748"/>
      <c r="M322" s="493"/>
      <c r="N322" s="493"/>
      <c r="O322" s="493"/>
      <c r="P322" s="493"/>
      <c r="Q322" s="493"/>
      <c r="R322" s="493"/>
      <c r="S322" s="493"/>
      <c r="T322" s="493"/>
    </row>
    <row r="323" spans="4:20">
      <c r="D323" s="493"/>
      <c r="E323" s="748"/>
      <c r="G323" s="493"/>
      <c r="I323" s="748"/>
      <c r="K323" s="493"/>
      <c r="L323" s="748"/>
      <c r="M323" s="493"/>
      <c r="N323" s="493"/>
      <c r="O323" s="493"/>
      <c r="P323" s="493"/>
      <c r="Q323" s="493"/>
      <c r="R323" s="493"/>
      <c r="S323" s="493"/>
      <c r="T323" s="493"/>
    </row>
    <row r="324" spans="4:20">
      <c r="D324" s="493"/>
      <c r="E324" s="748"/>
      <c r="G324" s="493"/>
      <c r="I324" s="748"/>
      <c r="K324" s="493"/>
      <c r="L324" s="748"/>
      <c r="M324" s="493"/>
      <c r="N324" s="493"/>
      <c r="O324" s="493"/>
      <c r="P324" s="493"/>
      <c r="Q324" s="493"/>
      <c r="R324" s="493"/>
      <c r="S324" s="493"/>
      <c r="T324" s="493"/>
    </row>
    <row r="325" spans="4:20">
      <c r="D325" s="493"/>
      <c r="E325" s="748"/>
      <c r="G325" s="493"/>
      <c r="I325" s="748"/>
      <c r="K325" s="493"/>
      <c r="L325" s="748"/>
      <c r="M325" s="493"/>
      <c r="N325" s="493"/>
      <c r="O325" s="493"/>
      <c r="P325" s="493"/>
      <c r="Q325" s="493"/>
      <c r="R325" s="493"/>
      <c r="S325" s="493"/>
      <c r="T325" s="493"/>
    </row>
    <row r="326" spans="4:20">
      <c r="D326" s="493"/>
      <c r="E326" s="748"/>
      <c r="G326" s="493"/>
      <c r="I326" s="748"/>
      <c r="K326" s="493"/>
      <c r="L326" s="748"/>
      <c r="M326" s="493"/>
      <c r="N326" s="493"/>
      <c r="O326" s="493"/>
      <c r="P326" s="493"/>
      <c r="Q326" s="493"/>
      <c r="R326" s="493"/>
      <c r="S326" s="493"/>
      <c r="T326" s="493"/>
    </row>
    <row r="327" spans="4:20">
      <c r="D327" s="493"/>
      <c r="E327" s="748"/>
      <c r="G327" s="493"/>
      <c r="I327" s="748"/>
      <c r="K327" s="493"/>
      <c r="L327" s="748"/>
      <c r="M327" s="493"/>
      <c r="N327" s="493"/>
      <c r="O327" s="493"/>
      <c r="P327" s="493"/>
      <c r="Q327" s="493"/>
      <c r="R327" s="493"/>
      <c r="S327" s="493"/>
      <c r="T327" s="493"/>
    </row>
    <row r="328" spans="4:20">
      <c r="D328" s="493"/>
      <c r="E328" s="748"/>
      <c r="G328" s="493"/>
      <c r="I328" s="748"/>
      <c r="K328" s="493"/>
      <c r="L328" s="748"/>
      <c r="M328" s="493"/>
      <c r="N328" s="493"/>
      <c r="O328" s="493"/>
      <c r="P328" s="493"/>
      <c r="Q328" s="493"/>
      <c r="R328" s="493"/>
      <c r="S328" s="493"/>
      <c r="T328" s="493"/>
    </row>
    <row r="329" spans="4:20">
      <c r="D329" s="493"/>
      <c r="E329" s="748"/>
      <c r="G329" s="493"/>
      <c r="I329" s="748"/>
      <c r="K329" s="493"/>
      <c r="L329" s="748"/>
      <c r="M329" s="493"/>
      <c r="N329" s="493"/>
      <c r="O329" s="493"/>
      <c r="P329" s="493"/>
      <c r="Q329" s="493"/>
      <c r="R329" s="493"/>
      <c r="S329" s="493"/>
      <c r="T329" s="493"/>
    </row>
    <row r="330" spans="4:20">
      <c r="D330" s="493"/>
      <c r="E330" s="748"/>
      <c r="G330" s="493"/>
      <c r="I330" s="748"/>
      <c r="K330" s="493"/>
      <c r="L330" s="748"/>
      <c r="M330" s="493"/>
      <c r="N330" s="493"/>
      <c r="O330" s="493"/>
      <c r="P330" s="493"/>
      <c r="Q330" s="493"/>
      <c r="R330" s="493"/>
      <c r="S330" s="493"/>
      <c r="T330" s="493"/>
    </row>
    <row r="331" spans="4:20">
      <c r="D331" s="493"/>
      <c r="E331" s="748"/>
      <c r="G331" s="493"/>
      <c r="I331" s="748"/>
      <c r="K331" s="493"/>
      <c r="L331" s="748"/>
      <c r="M331" s="493"/>
      <c r="N331" s="493"/>
      <c r="O331" s="493"/>
      <c r="P331" s="493"/>
      <c r="Q331" s="493"/>
      <c r="R331" s="493"/>
      <c r="S331" s="493"/>
      <c r="T331" s="493"/>
    </row>
    <row r="332" spans="4:20">
      <c r="D332" s="493"/>
      <c r="E332" s="748"/>
      <c r="G332" s="493"/>
      <c r="I332" s="748"/>
      <c r="K332" s="493"/>
      <c r="L332" s="748"/>
      <c r="M332" s="493"/>
      <c r="N332" s="493"/>
      <c r="O332" s="493"/>
      <c r="P332" s="493"/>
      <c r="Q332" s="493"/>
      <c r="R332" s="493"/>
      <c r="S332" s="493"/>
      <c r="T332" s="493"/>
    </row>
    <row r="333" spans="4:20">
      <c r="D333" s="493"/>
      <c r="E333" s="748"/>
      <c r="G333" s="493"/>
      <c r="I333" s="748"/>
      <c r="K333" s="493"/>
      <c r="L333" s="748"/>
      <c r="M333" s="493"/>
      <c r="N333" s="493"/>
      <c r="O333" s="493"/>
      <c r="P333" s="493"/>
      <c r="Q333" s="493"/>
      <c r="R333" s="493"/>
      <c r="S333" s="493"/>
      <c r="T333" s="493"/>
    </row>
    <row r="334" spans="4:20">
      <c r="D334" s="493"/>
      <c r="E334" s="748"/>
      <c r="G334" s="493"/>
      <c r="I334" s="748"/>
      <c r="K334" s="493"/>
      <c r="L334" s="748"/>
      <c r="M334" s="493"/>
      <c r="N334" s="493"/>
      <c r="O334" s="493"/>
      <c r="P334" s="493"/>
      <c r="Q334" s="493"/>
      <c r="R334" s="493"/>
      <c r="S334" s="493"/>
      <c r="T334" s="493"/>
    </row>
    <row r="335" spans="4:20">
      <c r="D335" s="493"/>
      <c r="E335" s="748"/>
      <c r="G335" s="493"/>
      <c r="I335" s="748"/>
      <c r="K335" s="493"/>
      <c r="L335" s="748"/>
      <c r="M335" s="493"/>
      <c r="N335" s="493"/>
      <c r="O335" s="493"/>
      <c r="P335" s="493"/>
      <c r="Q335" s="493"/>
      <c r="R335" s="493"/>
      <c r="S335" s="493"/>
      <c r="T335" s="493"/>
    </row>
    <row r="336" spans="4:20">
      <c r="D336" s="493"/>
      <c r="E336" s="748"/>
      <c r="G336" s="493"/>
      <c r="I336" s="748"/>
      <c r="K336" s="493"/>
      <c r="L336" s="748"/>
      <c r="M336" s="493"/>
      <c r="N336" s="493"/>
      <c r="O336" s="493"/>
      <c r="P336" s="493"/>
      <c r="Q336" s="493"/>
      <c r="R336" s="493"/>
      <c r="S336" s="493"/>
      <c r="T336" s="493"/>
    </row>
    <row r="337" spans="4:20">
      <c r="D337" s="493"/>
      <c r="E337" s="748"/>
      <c r="G337" s="493"/>
      <c r="I337" s="748"/>
      <c r="K337" s="493"/>
      <c r="L337" s="748"/>
      <c r="M337" s="493"/>
      <c r="N337" s="493"/>
      <c r="O337" s="493"/>
      <c r="P337" s="493"/>
      <c r="Q337" s="493"/>
      <c r="R337" s="493"/>
      <c r="S337" s="493"/>
      <c r="T337" s="493"/>
    </row>
    <row r="338" spans="4:20">
      <c r="D338" s="493"/>
      <c r="E338" s="748"/>
      <c r="G338" s="493"/>
      <c r="I338" s="748"/>
      <c r="K338" s="493"/>
      <c r="L338" s="748"/>
      <c r="M338" s="493"/>
      <c r="N338" s="493"/>
      <c r="O338" s="493"/>
      <c r="P338" s="493"/>
      <c r="Q338" s="493"/>
      <c r="R338" s="493"/>
      <c r="S338" s="493"/>
      <c r="T338" s="493"/>
    </row>
    <row r="339" spans="4:20">
      <c r="D339" s="493"/>
      <c r="E339" s="748"/>
      <c r="G339" s="493"/>
      <c r="I339" s="748"/>
      <c r="K339" s="493"/>
      <c r="L339" s="748"/>
      <c r="M339" s="493"/>
      <c r="N339" s="493"/>
      <c r="O339" s="493"/>
      <c r="P339" s="493"/>
      <c r="Q339" s="493"/>
      <c r="R339" s="493"/>
      <c r="S339" s="493"/>
      <c r="T339" s="493"/>
    </row>
    <row r="340" spans="4:20">
      <c r="D340" s="493"/>
      <c r="E340" s="748"/>
      <c r="G340" s="493"/>
      <c r="I340" s="748"/>
      <c r="K340" s="493"/>
      <c r="L340" s="748"/>
      <c r="M340" s="493"/>
      <c r="N340" s="493"/>
      <c r="O340" s="493"/>
      <c r="P340" s="493"/>
      <c r="Q340" s="493"/>
      <c r="R340" s="493"/>
      <c r="S340" s="493"/>
      <c r="T340" s="493"/>
    </row>
    <row r="341" spans="4:20">
      <c r="D341" s="493"/>
      <c r="E341" s="748"/>
      <c r="G341" s="493"/>
      <c r="I341" s="748"/>
      <c r="K341" s="493"/>
      <c r="L341" s="748"/>
      <c r="M341" s="493"/>
      <c r="N341" s="493"/>
      <c r="O341" s="493"/>
      <c r="P341" s="493"/>
      <c r="Q341" s="493"/>
      <c r="R341" s="493"/>
      <c r="S341" s="493"/>
      <c r="T341" s="493"/>
    </row>
    <row r="342" spans="4:20">
      <c r="D342" s="493"/>
      <c r="E342" s="748"/>
      <c r="G342" s="493"/>
      <c r="I342" s="748"/>
      <c r="K342" s="493"/>
      <c r="L342" s="748"/>
      <c r="M342" s="493"/>
      <c r="N342" s="493"/>
      <c r="O342" s="493"/>
      <c r="P342" s="493"/>
      <c r="Q342" s="493"/>
      <c r="R342" s="493"/>
      <c r="S342" s="493"/>
      <c r="T342" s="493"/>
    </row>
    <row r="343" spans="4:20">
      <c r="D343" s="493"/>
      <c r="E343" s="748"/>
      <c r="G343" s="493"/>
      <c r="I343" s="748"/>
      <c r="K343" s="493"/>
      <c r="L343" s="748"/>
      <c r="M343" s="493"/>
      <c r="N343" s="493"/>
      <c r="O343" s="493"/>
      <c r="P343" s="493"/>
      <c r="Q343" s="493"/>
      <c r="R343" s="493"/>
      <c r="S343" s="493"/>
      <c r="T343" s="493"/>
    </row>
    <row r="344" spans="4:20">
      <c r="D344" s="493"/>
      <c r="E344" s="748"/>
      <c r="G344" s="493"/>
      <c r="I344" s="748"/>
      <c r="K344" s="493"/>
      <c r="L344" s="748"/>
      <c r="M344" s="493"/>
      <c r="N344" s="493"/>
      <c r="O344" s="493"/>
      <c r="P344" s="493"/>
      <c r="Q344" s="493"/>
      <c r="R344" s="493"/>
      <c r="S344" s="493"/>
      <c r="T344" s="493"/>
    </row>
    <row r="345" spans="4:20">
      <c r="D345" s="493"/>
      <c r="E345" s="748"/>
      <c r="G345" s="493"/>
      <c r="I345" s="748"/>
      <c r="K345" s="493"/>
      <c r="L345" s="748"/>
      <c r="M345" s="493"/>
      <c r="N345" s="493"/>
      <c r="O345" s="493"/>
      <c r="P345" s="493"/>
      <c r="Q345" s="493"/>
      <c r="R345" s="493"/>
      <c r="S345" s="493"/>
      <c r="T345" s="493"/>
    </row>
    <row r="346" spans="4:20">
      <c r="D346" s="493"/>
      <c r="E346" s="748"/>
      <c r="G346" s="493"/>
      <c r="I346" s="748"/>
      <c r="K346" s="493"/>
      <c r="L346" s="748"/>
      <c r="M346" s="493"/>
      <c r="N346" s="493"/>
      <c r="O346" s="493"/>
      <c r="P346" s="493"/>
      <c r="Q346" s="493"/>
      <c r="R346" s="493"/>
      <c r="S346" s="493"/>
      <c r="T346" s="493"/>
    </row>
    <row r="347" spans="4:20">
      <c r="D347" s="493"/>
      <c r="E347" s="748"/>
      <c r="G347" s="493"/>
      <c r="I347" s="748"/>
      <c r="K347" s="493"/>
      <c r="L347" s="748"/>
      <c r="M347" s="493"/>
      <c r="N347" s="493"/>
      <c r="O347" s="493"/>
      <c r="P347" s="493"/>
      <c r="Q347" s="493"/>
      <c r="R347" s="493"/>
      <c r="S347" s="493"/>
      <c r="T347" s="493"/>
    </row>
    <row r="348" spans="4:20">
      <c r="D348" s="493"/>
      <c r="E348" s="748"/>
      <c r="G348" s="493"/>
      <c r="I348" s="748"/>
      <c r="K348" s="493"/>
      <c r="L348" s="748"/>
      <c r="M348" s="493"/>
      <c r="N348" s="493"/>
      <c r="O348" s="493"/>
      <c r="P348" s="493"/>
      <c r="Q348" s="493"/>
      <c r="R348" s="493"/>
      <c r="S348" s="493"/>
      <c r="T348" s="493"/>
    </row>
    <row r="349" spans="4:20">
      <c r="D349" s="493"/>
      <c r="E349" s="748"/>
      <c r="G349" s="493"/>
      <c r="I349" s="748"/>
      <c r="K349" s="493"/>
      <c r="L349" s="748"/>
      <c r="M349" s="493"/>
      <c r="N349" s="493"/>
      <c r="O349" s="493"/>
      <c r="P349" s="493"/>
      <c r="Q349" s="493"/>
      <c r="R349" s="493"/>
      <c r="S349" s="493"/>
      <c r="T349" s="493"/>
    </row>
    <row r="350" spans="4:20">
      <c r="D350" s="493"/>
      <c r="E350" s="748"/>
      <c r="G350" s="493"/>
      <c r="I350" s="748"/>
      <c r="K350" s="493"/>
      <c r="L350" s="748"/>
      <c r="M350" s="493"/>
      <c r="N350" s="493"/>
      <c r="O350" s="493"/>
      <c r="P350" s="493"/>
      <c r="Q350" s="493"/>
      <c r="R350" s="493"/>
      <c r="S350" s="493"/>
      <c r="T350" s="493"/>
    </row>
    <row r="351" spans="4:20">
      <c r="D351" s="493"/>
      <c r="E351" s="748"/>
      <c r="G351" s="493"/>
      <c r="I351" s="748"/>
      <c r="K351" s="493"/>
      <c r="L351" s="748"/>
      <c r="M351" s="493"/>
      <c r="N351" s="493"/>
      <c r="O351" s="493"/>
      <c r="P351" s="493"/>
      <c r="Q351" s="493"/>
      <c r="R351" s="493"/>
      <c r="S351" s="493"/>
      <c r="T351" s="493"/>
    </row>
    <row r="352" spans="4:20">
      <c r="D352" s="493"/>
      <c r="E352" s="748"/>
      <c r="G352" s="493"/>
      <c r="I352" s="748"/>
      <c r="K352" s="493"/>
      <c r="L352" s="748"/>
      <c r="M352" s="493"/>
      <c r="N352" s="493"/>
      <c r="O352" s="493"/>
      <c r="P352" s="493"/>
      <c r="Q352" s="493"/>
      <c r="R352" s="493"/>
      <c r="S352" s="493"/>
      <c r="T352" s="493"/>
    </row>
    <row r="353" spans="4:20">
      <c r="D353" s="493"/>
      <c r="E353" s="748"/>
      <c r="G353" s="493"/>
      <c r="I353" s="748"/>
      <c r="K353" s="493"/>
      <c r="L353" s="748"/>
      <c r="M353" s="493"/>
      <c r="N353" s="493"/>
      <c r="O353" s="493"/>
      <c r="P353" s="493"/>
      <c r="Q353" s="493"/>
      <c r="R353" s="493"/>
      <c r="S353" s="493"/>
      <c r="T353" s="493"/>
    </row>
    <row r="354" spans="4:20">
      <c r="D354" s="493"/>
      <c r="E354" s="748"/>
      <c r="G354" s="493"/>
      <c r="I354" s="748"/>
      <c r="K354" s="493"/>
      <c r="L354" s="748"/>
      <c r="M354" s="493"/>
      <c r="N354" s="493"/>
      <c r="O354" s="493"/>
      <c r="P354" s="493"/>
      <c r="Q354" s="493"/>
      <c r="R354" s="493"/>
      <c r="S354" s="493"/>
      <c r="T354" s="493"/>
    </row>
    <row r="355" spans="4:20">
      <c r="D355" s="493"/>
      <c r="E355" s="748"/>
      <c r="G355" s="493"/>
      <c r="I355" s="748"/>
      <c r="K355" s="493"/>
      <c r="L355" s="748"/>
      <c r="M355" s="493"/>
      <c r="N355" s="493"/>
      <c r="O355" s="493"/>
      <c r="P355" s="493"/>
      <c r="Q355" s="493"/>
      <c r="R355" s="493"/>
      <c r="S355" s="493"/>
      <c r="T355" s="493"/>
    </row>
    <row r="356" spans="4:20">
      <c r="D356" s="493"/>
      <c r="E356" s="748"/>
      <c r="G356" s="493"/>
      <c r="I356" s="748"/>
      <c r="K356" s="493"/>
      <c r="L356" s="748"/>
      <c r="M356" s="493"/>
      <c r="N356" s="493"/>
      <c r="O356" s="493"/>
      <c r="P356" s="493"/>
      <c r="Q356" s="493"/>
      <c r="R356" s="493"/>
      <c r="S356" s="493"/>
      <c r="T356" s="493"/>
    </row>
    <row r="357" spans="4:20">
      <c r="D357" s="493"/>
      <c r="E357" s="748"/>
      <c r="G357" s="493"/>
      <c r="I357" s="748"/>
      <c r="K357" s="493"/>
      <c r="L357" s="748"/>
      <c r="M357" s="493"/>
      <c r="N357" s="493"/>
      <c r="O357" s="493"/>
      <c r="P357" s="493"/>
      <c r="Q357" s="493"/>
      <c r="R357" s="493"/>
      <c r="S357" s="493"/>
      <c r="T357" s="493"/>
    </row>
    <row r="358" spans="4:20">
      <c r="D358" s="493"/>
      <c r="E358" s="748"/>
      <c r="G358" s="493"/>
      <c r="I358" s="748"/>
      <c r="K358" s="493"/>
      <c r="L358" s="748"/>
      <c r="M358" s="493"/>
      <c r="N358" s="493"/>
      <c r="O358" s="493"/>
      <c r="P358" s="493"/>
      <c r="Q358" s="493"/>
      <c r="R358" s="493"/>
      <c r="S358" s="493"/>
      <c r="T358" s="493"/>
    </row>
    <row r="359" spans="4:20">
      <c r="D359" s="493"/>
      <c r="E359" s="748"/>
      <c r="G359" s="493"/>
      <c r="I359" s="748"/>
      <c r="K359" s="493"/>
      <c r="L359" s="748"/>
      <c r="M359" s="493"/>
      <c r="N359" s="493"/>
      <c r="O359" s="493"/>
      <c r="P359" s="493"/>
      <c r="Q359" s="493"/>
      <c r="R359" s="493"/>
      <c r="S359" s="493"/>
      <c r="T359" s="493"/>
    </row>
    <row r="360" spans="4:20">
      <c r="D360" s="493"/>
      <c r="E360" s="748"/>
      <c r="G360" s="493"/>
      <c r="I360" s="748"/>
      <c r="K360" s="493"/>
      <c r="L360" s="748"/>
      <c r="M360" s="493"/>
      <c r="N360" s="493"/>
      <c r="O360" s="493"/>
      <c r="P360" s="493"/>
      <c r="Q360" s="493"/>
      <c r="R360" s="493"/>
      <c r="S360" s="493"/>
      <c r="T360" s="493"/>
    </row>
    <row r="361" spans="4:20">
      <c r="D361" s="493"/>
      <c r="E361" s="748"/>
      <c r="G361" s="493"/>
      <c r="I361" s="748"/>
      <c r="K361" s="493"/>
      <c r="L361" s="748"/>
      <c r="M361" s="493"/>
      <c r="N361" s="493"/>
      <c r="O361" s="493"/>
      <c r="P361" s="493"/>
      <c r="Q361" s="493"/>
      <c r="R361" s="493"/>
      <c r="S361" s="493"/>
      <c r="T361" s="493"/>
    </row>
    <row r="362" spans="4:20">
      <c r="D362" s="493"/>
      <c r="E362" s="748"/>
      <c r="G362" s="493"/>
      <c r="I362" s="748"/>
      <c r="K362" s="493"/>
      <c r="L362" s="748"/>
      <c r="M362" s="493"/>
      <c r="N362" s="493"/>
      <c r="O362" s="493"/>
      <c r="P362" s="493"/>
      <c r="Q362" s="493"/>
      <c r="R362" s="493"/>
      <c r="S362" s="493"/>
      <c r="T362" s="493"/>
    </row>
    <row r="363" spans="4:20">
      <c r="D363" s="493"/>
      <c r="E363" s="748"/>
      <c r="G363" s="493"/>
      <c r="I363" s="748"/>
      <c r="K363" s="493"/>
      <c r="L363" s="748"/>
      <c r="M363" s="493"/>
      <c r="N363" s="493"/>
      <c r="O363" s="493"/>
      <c r="P363" s="493"/>
      <c r="Q363" s="493"/>
      <c r="R363" s="493"/>
      <c r="S363" s="493"/>
      <c r="T363" s="493"/>
    </row>
    <row r="364" spans="4:20">
      <c r="D364" s="493"/>
      <c r="E364" s="748"/>
      <c r="G364" s="493"/>
      <c r="I364" s="748"/>
      <c r="K364" s="493"/>
      <c r="L364" s="748"/>
      <c r="M364" s="493"/>
      <c r="N364" s="493"/>
      <c r="O364" s="493"/>
      <c r="P364" s="493"/>
      <c r="Q364" s="493"/>
      <c r="R364" s="493"/>
      <c r="S364" s="493"/>
      <c r="T364" s="493"/>
    </row>
    <row r="365" spans="4:20">
      <c r="D365" s="493"/>
      <c r="E365" s="748"/>
      <c r="G365" s="493"/>
      <c r="I365" s="748"/>
      <c r="K365" s="493"/>
      <c r="L365" s="748"/>
      <c r="M365" s="493"/>
      <c r="N365" s="493"/>
      <c r="O365" s="493"/>
      <c r="P365" s="493"/>
      <c r="Q365" s="493"/>
      <c r="R365" s="493"/>
      <c r="S365" s="493"/>
      <c r="T365" s="493"/>
    </row>
    <row r="366" spans="4:20">
      <c r="D366" s="493"/>
      <c r="E366" s="748"/>
      <c r="G366" s="493"/>
      <c r="I366" s="748"/>
      <c r="K366" s="493"/>
      <c r="L366" s="748"/>
      <c r="M366" s="493"/>
      <c r="N366" s="493"/>
      <c r="O366" s="493"/>
      <c r="P366" s="493"/>
      <c r="Q366" s="493"/>
      <c r="R366" s="493"/>
      <c r="S366" s="493"/>
      <c r="T366" s="493"/>
    </row>
    <row r="367" spans="4:20">
      <c r="D367" s="493"/>
      <c r="E367" s="748"/>
      <c r="G367" s="493"/>
      <c r="I367" s="748"/>
      <c r="K367" s="493"/>
      <c r="L367" s="748"/>
      <c r="M367" s="493"/>
      <c r="N367" s="493"/>
      <c r="O367" s="493"/>
      <c r="P367" s="493"/>
      <c r="Q367" s="493"/>
      <c r="R367" s="493"/>
      <c r="S367" s="493"/>
      <c r="T367" s="493"/>
    </row>
    <row r="368" spans="4:20">
      <c r="D368" s="493"/>
      <c r="E368" s="748"/>
      <c r="G368" s="493"/>
      <c r="I368" s="748"/>
      <c r="K368" s="493"/>
      <c r="L368" s="748"/>
      <c r="M368" s="493"/>
      <c r="N368" s="493"/>
      <c r="O368" s="493"/>
      <c r="P368" s="493"/>
      <c r="Q368" s="493"/>
      <c r="R368" s="493"/>
      <c r="S368" s="493"/>
      <c r="T368" s="493"/>
    </row>
    <row r="369" spans="4:20">
      <c r="D369" s="493"/>
      <c r="E369" s="748"/>
      <c r="G369" s="493"/>
      <c r="I369" s="748"/>
      <c r="K369" s="493"/>
      <c r="L369" s="748"/>
      <c r="M369" s="493"/>
      <c r="N369" s="493"/>
      <c r="O369" s="493"/>
      <c r="P369" s="493"/>
      <c r="Q369" s="493"/>
      <c r="R369" s="493"/>
      <c r="S369" s="493"/>
      <c r="T369" s="493"/>
    </row>
    <row r="370" spans="4:20">
      <c r="D370" s="493"/>
      <c r="E370" s="748"/>
      <c r="G370" s="493"/>
      <c r="I370" s="748"/>
      <c r="K370" s="493"/>
      <c r="L370" s="748"/>
      <c r="M370" s="493"/>
      <c r="N370" s="493"/>
      <c r="O370" s="493"/>
      <c r="P370" s="493"/>
      <c r="Q370" s="493"/>
      <c r="R370" s="493"/>
      <c r="S370" s="493"/>
      <c r="T370" s="493"/>
    </row>
    <row r="371" spans="4:20">
      <c r="D371" s="493"/>
      <c r="E371" s="748"/>
      <c r="G371" s="493"/>
      <c r="I371" s="748"/>
      <c r="K371" s="493"/>
      <c r="L371" s="748"/>
      <c r="M371" s="493"/>
      <c r="N371" s="493"/>
      <c r="O371" s="493"/>
      <c r="P371" s="493"/>
      <c r="Q371" s="493"/>
      <c r="R371" s="493"/>
      <c r="S371" s="493"/>
      <c r="T371" s="493"/>
    </row>
    <row r="372" spans="4:20">
      <c r="D372" s="493"/>
      <c r="E372" s="748"/>
      <c r="G372" s="493"/>
      <c r="I372" s="748"/>
      <c r="K372" s="493"/>
      <c r="L372" s="748"/>
      <c r="M372" s="493"/>
      <c r="N372" s="493"/>
      <c r="O372" s="493"/>
      <c r="P372" s="493"/>
      <c r="Q372" s="493"/>
      <c r="R372" s="493"/>
      <c r="S372" s="493"/>
      <c r="T372" s="493"/>
    </row>
    <row r="373" spans="4:20">
      <c r="D373" s="493"/>
      <c r="E373" s="748"/>
      <c r="G373" s="493"/>
      <c r="I373" s="748"/>
      <c r="K373" s="493"/>
      <c r="L373" s="748"/>
      <c r="M373" s="493"/>
      <c r="N373" s="493"/>
      <c r="O373" s="493"/>
      <c r="P373" s="493"/>
      <c r="Q373" s="493"/>
      <c r="R373" s="493"/>
      <c r="S373" s="493"/>
      <c r="T373" s="493"/>
    </row>
    <row r="374" spans="4:20">
      <c r="D374" s="493"/>
      <c r="E374" s="748"/>
      <c r="G374" s="493"/>
      <c r="I374" s="748"/>
      <c r="K374" s="493"/>
      <c r="L374" s="748"/>
      <c r="M374" s="493"/>
      <c r="N374" s="493"/>
      <c r="O374" s="493"/>
      <c r="P374" s="493"/>
      <c r="Q374" s="493"/>
      <c r="R374" s="493"/>
      <c r="S374" s="493"/>
      <c r="T374" s="493"/>
    </row>
    <row r="375" spans="4:20">
      <c r="D375" s="493"/>
      <c r="E375" s="748"/>
      <c r="G375" s="493"/>
      <c r="I375" s="748"/>
      <c r="K375" s="493"/>
      <c r="L375" s="748"/>
      <c r="M375" s="493"/>
      <c r="N375" s="493"/>
      <c r="O375" s="493"/>
      <c r="P375" s="493"/>
      <c r="Q375" s="493"/>
      <c r="R375" s="493"/>
      <c r="S375" s="493"/>
      <c r="T375" s="493"/>
    </row>
    <row r="376" spans="4:20">
      <c r="D376" s="493"/>
      <c r="E376" s="748"/>
      <c r="G376" s="493"/>
      <c r="I376" s="748"/>
      <c r="K376" s="493"/>
      <c r="L376" s="748"/>
      <c r="M376" s="493"/>
      <c r="N376" s="493"/>
      <c r="O376" s="493"/>
      <c r="P376" s="493"/>
      <c r="Q376" s="493"/>
      <c r="R376" s="493"/>
      <c r="S376" s="493"/>
      <c r="T376" s="493"/>
    </row>
    <row r="377" spans="4:20">
      <c r="D377" s="493"/>
      <c r="E377" s="748"/>
      <c r="G377" s="493"/>
      <c r="I377" s="748"/>
      <c r="K377" s="493"/>
      <c r="L377" s="748"/>
      <c r="M377" s="493"/>
      <c r="N377" s="493"/>
      <c r="O377" s="493"/>
      <c r="P377" s="493"/>
      <c r="Q377" s="493"/>
      <c r="R377" s="493"/>
      <c r="S377" s="493"/>
      <c r="T377" s="493"/>
    </row>
    <row r="378" spans="4:20">
      <c r="D378" s="493"/>
      <c r="E378" s="748"/>
      <c r="G378" s="493"/>
      <c r="I378" s="748"/>
      <c r="K378" s="493"/>
      <c r="L378" s="748"/>
      <c r="M378" s="493"/>
      <c r="N378" s="493"/>
      <c r="O378" s="493"/>
      <c r="P378" s="493"/>
      <c r="Q378" s="493"/>
      <c r="R378" s="493"/>
      <c r="S378" s="493"/>
      <c r="T378" s="493"/>
    </row>
    <row r="379" spans="4:20">
      <c r="D379" s="493"/>
      <c r="E379" s="748"/>
      <c r="G379" s="493"/>
      <c r="I379" s="748"/>
      <c r="K379" s="493"/>
      <c r="L379" s="748"/>
      <c r="M379" s="493"/>
      <c r="N379" s="493"/>
      <c r="O379" s="493"/>
      <c r="P379" s="493"/>
      <c r="Q379" s="493"/>
      <c r="R379" s="493"/>
      <c r="S379" s="493"/>
      <c r="T379" s="493"/>
    </row>
    <row r="380" spans="4:20">
      <c r="D380" s="493"/>
      <c r="E380" s="748"/>
      <c r="G380" s="493"/>
      <c r="I380" s="748"/>
      <c r="K380" s="493"/>
      <c r="L380" s="748"/>
      <c r="M380" s="493"/>
      <c r="N380" s="493"/>
      <c r="O380" s="493"/>
      <c r="P380" s="493"/>
      <c r="Q380" s="493"/>
      <c r="R380" s="493"/>
      <c r="S380" s="493"/>
      <c r="T380" s="493"/>
    </row>
    <row r="381" spans="4:20">
      <c r="D381" s="493"/>
      <c r="E381" s="748"/>
      <c r="G381" s="493"/>
      <c r="I381" s="748"/>
      <c r="K381" s="493"/>
      <c r="L381" s="748"/>
      <c r="M381" s="493"/>
      <c r="N381" s="493"/>
      <c r="O381" s="493"/>
      <c r="P381" s="493"/>
      <c r="Q381" s="493"/>
      <c r="R381" s="493"/>
      <c r="S381" s="493"/>
      <c r="T381" s="493"/>
    </row>
    <row r="382" spans="4:20">
      <c r="D382" s="493"/>
      <c r="E382" s="748"/>
      <c r="G382" s="493"/>
      <c r="I382" s="748"/>
      <c r="K382" s="493"/>
      <c r="L382" s="748"/>
      <c r="M382" s="493"/>
      <c r="N382" s="493"/>
      <c r="O382" s="493"/>
      <c r="P382" s="493"/>
      <c r="Q382" s="493"/>
      <c r="R382" s="493"/>
      <c r="S382" s="493"/>
      <c r="T382" s="493"/>
    </row>
    <row r="383" spans="4:20">
      <c r="D383" s="493"/>
      <c r="E383" s="748"/>
      <c r="G383" s="493"/>
      <c r="I383" s="748"/>
      <c r="K383" s="493"/>
      <c r="L383" s="748"/>
      <c r="M383" s="493"/>
      <c r="N383" s="493"/>
      <c r="O383" s="493"/>
      <c r="P383" s="493"/>
      <c r="Q383" s="493"/>
      <c r="R383" s="493"/>
      <c r="S383" s="493"/>
      <c r="T383" s="493"/>
    </row>
    <row r="384" spans="4:20">
      <c r="D384" s="493"/>
      <c r="E384" s="748"/>
      <c r="G384" s="493"/>
      <c r="I384" s="748"/>
      <c r="K384" s="493"/>
      <c r="L384" s="748"/>
      <c r="M384" s="493"/>
      <c r="N384" s="493"/>
      <c r="O384" s="493"/>
      <c r="P384" s="493"/>
      <c r="Q384" s="493"/>
      <c r="R384" s="493"/>
      <c r="S384" s="493"/>
      <c r="T384" s="493"/>
    </row>
    <row r="385" spans="4:20">
      <c r="D385" s="493"/>
      <c r="E385" s="748"/>
      <c r="G385" s="493"/>
      <c r="I385" s="748"/>
      <c r="K385" s="493"/>
      <c r="L385" s="748"/>
      <c r="M385" s="493"/>
      <c r="N385" s="493"/>
      <c r="O385" s="493"/>
      <c r="P385" s="493"/>
      <c r="Q385" s="493"/>
      <c r="R385" s="493"/>
      <c r="S385" s="493"/>
      <c r="T385" s="493"/>
    </row>
    <row r="386" spans="4:20">
      <c r="D386" s="493"/>
      <c r="E386" s="748"/>
      <c r="G386" s="493"/>
      <c r="I386" s="748"/>
      <c r="K386" s="493"/>
      <c r="L386" s="748"/>
      <c r="M386" s="493"/>
      <c r="N386" s="493"/>
      <c r="O386" s="493"/>
      <c r="P386" s="493"/>
      <c r="Q386" s="493"/>
      <c r="R386" s="493"/>
      <c r="S386" s="493"/>
      <c r="T386" s="493"/>
    </row>
    <row r="387" spans="4:20">
      <c r="D387" s="493"/>
      <c r="E387" s="748"/>
      <c r="G387" s="493"/>
      <c r="I387" s="748"/>
      <c r="K387" s="493"/>
      <c r="L387" s="748"/>
      <c r="M387" s="493"/>
      <c r="N387" s="493"/>
      <c r="O387" s="493"/>
      <c r="P387" s="493"/>
      <c r="Q387" s="493"/>
      <c r="R387" s="493"/>
      <c r="S387" s="493"/>
      <c r="T387" s="493"/>
    </row>
    <row r="388" spans="4:20">
      <c r="D388" s="493"/>
      <c r="E388" s="748"/>
      <c r="G388" s="493"/>
      <c r="I388" s="748"/>
      <c r="K388" s="493"/>
      <c r="L388" s="748"/>
      <c r="M388" s="493"/>
      <c r="N388" s="493"/>
      <c r="O388" s="493"/>
      <c r="P388" s="493"/>
      <c r="Q388" s="493"/>
      <c r="R388" s="493"/>
      <c r="S388" s="493"/>
      <c r="T388" s="493"/>
    </row>
    <row r="389" spans="4:20">
      <c r="D389" s="493"/>
      <c r="E389" s="748"/>
      <c r="G389" s="493"/>
      <c r="I389" s="748"/>
      <c r="K389" s="493"/>
      <c r="L389" s="748"/>
      <c r="M389" s="493"/>
      <c r="N389" s="493"/>
      <c r="O389" s="493"/>
      <c r="P389" s="493"/>
      <c r="Q389" s="493"/>
      <c r="R389" s="493"/>
      <c r="S389" s="493"/>
      <c r="T389" s="493"/>
    </row>
    <row r="390" spans="4:20">
      <c r="D390" s="493"/>
      <c r="E390" s="748"/>
      <c r="G390" s="493"/>
      <c r="I390" s="748"/>
      <c r="K390" s="493"/>
      <c r="L390" s="748"/>
      <c r="M390" s="493"/>
      <c r="N390" s="493"/>
      <c r="O390" s="493"/>
      <c r="P390" s="493"/>
      <c r="Q390" s="493"/>
      <c r="R390" s="493"/>
      <c r="S390" s="493"/>
      <c r="T390" s="493"/>
    </row>
    <row r="391" spans="4:20">
      <c r="D391" s="493"/>
      <c r="E391" s="748"/>
      <c r="G391" s="493"/>
      <c r="I391" s="748"/>
      <c r="K391" s="493"/>
      <c r="L391" s="748"/>
      <c r="M391" s="493"/>
      <c r="N391" s="493"/>
      <c r="O391" s="493"/>
      <c r="P391" s="493"/>
      <c r="Q391" s="493"/>
      <c r="R391" s="493"/>
      <c r="S391" s="493"/>
      <c r="T391" s="493"/>
    </row>
    <row r="392" spans="4:20">
      <c r="D392" s="493"/>
      <c r="E392" s="748"/>
      <c r="G392" s="493"/>
      <c r="I392" s="748"/>
      <c r="K392" s="493"/>
      <c r="L392" s="748"/>
      <c r="M392" s="493"/>
      <c r="N392" s="493"/>
      <c r="O392" s="493"/>
      <c r="P392" s="493"/>
      <c r="Q392" s="493"/>
      <c r="R392" s="493"/>
      <c r="S392" s="493"/>
      <c r="T392" s="493"/>
    </row>
    <row r="393" spans="4:20">
      <c r="D393" s="493"/>
      <c r="E393" s="748"/>
      <c r="G393" s="493"/>
      <c r="I393" s="748"/>
      <c r="K393" s="493"/>
      <c r="L393" s="748"/>
      <c r="M393" s="493"/>
      <c r="N393" s="493"/>
      <c r="O393" s="493"/>
      <c r="P393" s="493"/>
      <c r="Q393" s="493"/>
      <c r="R393" s="493"/>
      <c r="S393" s="493"/>
      <c r="T393" s="493"/>
    </row>
    <row r="394" spans="4:20">
      <c r="D394" s="493"/>
      <c r="E394" s="748"/>
      <c r="G394" s="493"/>
      <c r="I394" s="748"/>
      <c r="K394" s="493"/>
      <c r="L394" s="748"/>
      <c r="M394" s="493"/>
      <c r="N394" s="493"/>
      <c r="O394" s="493"/>
      <c r="P394" s="493"/>
      <c r="Q394" s="493"/>
      <c r="R394" s="493"/>
      <c r="S394" s="493"/>
      <c r="T394" s="493"/>
    </row>
    <row r="395" spans="4:20">
      <c r="D395" s="493"/>
      <c r="E395" s="748"/>
      <c r="G395" s="493"/>
      <c r="I395" s="748"/>
      <c r="K395" s="493"/>
      <c r="L395" s="748"/>
      <c r="M395" s="493"/>
      <c r="N395" s="493"/>
      <c r="O395" s="493"/>
      <c r="P395" s="493"/>
      <c r="Q395" s="493"/>
      <c r="R395" s="493"/>
      <c r="S395" s="493"/>
      <c r="T395" s="493"/>
    </row>
    <row r="396" spans="4:20">
      <c r="D396" s="493"/>
      <c r="E396" s="748"/>
      <c r="G396" s="493"/>
      <c r="I396" s="748"/>
      <c r="K396" s="493"/>
      <c r="L396" s="748"/>
      <c r="M396" s="493"/>
      <c r="N396" s="493"/>
      <c r="O396" s="493"/>
      <c r="P396" s="493"/>
      <c r="Q396" s="493"/>
      <c r="R396" s="493"/>
      <c r="S396" s="493"/>
      <c r="T396" s="493"/>
    </row>
    <row r="397" spans="4:20">
      <c r="D397" s="493"/>
      <c r="E397" s="748"/>
      <c r="G397" s="493"/>
      <c r="I397" s="748"/>
      <c r="K397" s="493"/>
      <c r="L397" s="748"/>
      <c r="M397" s="493"/>
      <c r="N397" s="493"/>
      <c r="O397" s="493"/>
      <c r="P397" s="493"/>
      <c r="Q397" s="493"/>
      <c r="R397" s="493"/>
      <c r="S397" s="493"/>
      <c r="T397" s="493"/>
    </row>
    <row r="398" spans="4:20">
      <c r="D398" s="493"/>
      <c r="E398" s="748"/>
      <c r="G398" s="493"/>
      <c r="I398" s="748"/>
      <c r="K398" s="493"/>
      <c r="L398" s="748"/>
      <c r="M398" s="493"/>
      <c r="N398" s="493"/>
      <c r="O398" s="493"/>
      <c r="P398" s="493"/>
      <c r="Q398" s="493"/>
      <c r="R398" s="493"/>
      <c r="S398" s="493"/>
      <c r="T398" s="493"/>
    </row>
    <row r="399" spans="4:20">
      <c r="D399" s="493"/>
      <c r="E399" s="748"/>
      <c r="G399" s="493"/>
      <c r="I399" s="748"/>
      <c r="K399" s="493"/>
      <c r="L399" s="748"/>
      <c r="M399" s="493"/>
      <c r="N399" s="493"/>
      <c r="O399" s="493"/>
      <c r="P399" s="493"/>
      <c r="Q399" s="493"/>
      <c r="R399" s="493"/>
      <c r="S399" s="493"/>
      <c r="T399" s="493"/>
    </row>
    <row r="400" spans="4:20">
      <c r="D400" s="493"/>
      <c r="E400" s="748"/>
      <c r="G400" s="493"/>
      <c r="I400" s="748"/>
      <c r="K400" s="493"/>
      <c r="L400" s="748"/>
      <c r="M400" s="493"/>
      <c r="N400" s="493"/>
      <c r="O400" s="493"/>
      <c r="P400" s="493"/>
      <c r="Q400" s="493"/>
      <c r="R400" s="493"/>
      <c r="S400" s="493"/>
      <c r="T400" s="493"/>
    </row>
    <row r="401" spans="4:20">
      <c r="D401" s="493"/>
      <c r="E401" s="748"/>
      <c r="G401" s="493"/>
      <c r="I401" s="748"/>
      <c r="K401" s="493"/>
      <c r="L401" s="748"/>
      <c r="M401" s="493"/>
      <c r="N401" s="493"/>
      <c r="O401" s="493"/>
      <c r="P401" s="493"/>
      <c r="Q401" s="493"/>
      <c r="R401" s="493"/>
      <c r="S401" s="493"/>
      <c r="T401" s="493"/>
    </row>
    <row r="402" spans="4:20">
      <c r="D402" s="493"/>
      <c r="E402" s="748"/>
      <c r="G402" s="493"/>
      <c r="I402" s="748"/>
      <c r="K402" s="493"/>
      <c r="L402" s="748"/>
      <c r="M402" s="493"/>
      <c r="N402" s="493"/>
      <c r="O402" s="493"/>
      <c r="P402" s="493"/>
      <c r="Q402" s="493"/>
      <c r="R402" s="493"/>
      <c r="S402" s="493"/>
      <c r="T402" s="493"/>
    </row>
    <row r="403" spans="4:20">
      <c r="D403" s="493"/>
      <c r="E403" s="748"/>
      <c r="G403" s="493"/>
      <c r="I403" s="748"/>
      <c r="K403" s="493"/>
      <c r="L403" s="748"/>
      <c r="M403" s="493"/>
      <c r="N403" s="493"/>
      <c r="O403" s="493"/>
      <c r="P403" s="493"/>
      <c r="Q403" s="493"/>
      <c r="R403" s="493"/>
      <c r="S403" s="493"/>
      <c r="T403" s="493"/>
    </row>
    <row r="404" spans="4:20">
      <c r="D404" s="493"/>
      <c r="E404" s="748"/>
      <c r="G404" s="493"/>
      <c r="I404" s="748"/>
      <c r="K404" s="493"/>
      <c r="L404" s="748"/>
      <c r="M404" s="493"/>
      <c r="N404" s="493"/>
      <c r="O404" s="493"/>
      <c r="P404" s="493"/>
      <c r="Q404" s="493"/>
      <c r="R404" s="493"/>
      <c r="S404" s="493"/>
      <c r="T404" s="493"/>
    </row>
    <row r="405" spans="4:20">
      <c r="D405" s="493"/>
      <c r="E405" s="748"/>
      <c r="G405" s="493"/>
      <c r="I405" s="748"/>
      <c r="K405" s="493"/>
      <c r="L405" s="748"/>
      <c r="M405" s="493"/>
      <c r="N405" s="493"/>
      <c r="O405" s="493"/>
      <c r="P405" s="493"/>
      <c r="Q405" s="493"/>
      <c r="R405" s="493"/>
      <c r="S405" s="493"/>
      <c r="T405" s="493"/>
    </row>
    <row r="406" spans="4:20">
      <c r="D406" s="493"/>
      <c r="E406" s="748"/>
      <c r="G406" s="493"/>
      <c r="I406" s="748"/>
      <c r="K406" s="493"/>
      <c r="L406" s="748"/>
      <c r="M406" s="493"/>
      <c r="N406" s="493"/>
      <c r="O406" s="493"/>
      <c r="P406" s="493"/>
      <c r="Q406" s="493"/>
      <c r="R406" s="493"/>
      <c r="S406" s="493"/>
      <c r="T406" s="493"/>
    </row>
    <row r="407" spans="4:20">
      <c r="D407" s="493"/>
      <c r="E407" s="748"/>
      <c r="G407" s="493"/>
      <c r="I407" s="748"/>
      <c r="K407" s="493"/>
      <c r="L407" s="748"/>
      <c r="M407" s="493"/>
      <c r="N407" s="493"/>
      <c r="O407" s="493"/>
      <c r="P407" s="493"/>
      <c r="Q407" s="493"/>
      <c r="R407" s="493"/>
      <c r="S407" s="493"/>
      <c r="T407" s="493"/>
    </row>
    <row r="408" spans="4:20">
      <c r="D408" s="493"/>
      <c r="E408" s="748"/>
      <c r="G408" s="493"/>
      <c r="I408" s="748"/>
      <c r="K408" s="493"/>
      <c r="L408" s="748"/>
      <c r="M408" s="493"/>
      <c r="N408" s="493"/>
      <c r="O408" s="493"/>
      <c r="P408" s="493"/>
      <c r="Q408" s="493"/>
      <c r="R408" s="493"/>
      <c r="S408" s="493"/>
      <c r="T408" s="493"/>
    </row>
    <row r="409" spans="4:20">
      <c r="D409" s="493"/>
      <c r="E409" s="748"/>
      <c r="G409" s="493"/>
      <c r="I409" s="748"/>
      <c r="K409" s="493"/>
      <c r="L409" s="748"/>
      <c r="M409" s="493"/>
      <c r="N409" s="493"/>
      <c r="O409" s="493"/>
      <c r="P409" s="493"/>
      <c r="Q409" s="493"/>
      <c r="R409" s="493"/>
      <c r="S409" s="493"/>
      <c r="T409" s="493"/>
    </row>
    <row r="410" spans="4:20">
      <c r="D410" s="493"/>
      <c r="E410" s="748"/>
      <c r="G410" s="493"/>
      <c r="I410" s="748"/>
      <c r="K410" s="493"/>
      <c r="L410" s="748"/>
      <c r="M410" s="493"/>
      <c r="N410" s="493"/>
      <c r="O410" s="493"/>
      <c r="P410" s="493"/>
      <c r="Q410" s="493"/>
      <c r="R410" s="493"/>
      <c r="S410" s="493"/>
      <c r="T410" s="493"/>
    </row>
    <row r="411" spans="4:20">
      <c r="D411" s="493"/>
      <c r="E411" s="748"/>
      <c r="G411" s="493"/>
      <c r="I411" s="748"/>
      <c r="K411" s="493"/>
      <c r="L411" s="748"/>
      <c r="M411" s="493"/>
      <c r="N411" s="493"/>
      <c r="O411" s="493"/>
      <c r="P411" s="493"/>
      <c r="Q411" s="493"/>
      <c r="R411" s="493"/>
      <c r="S411" s="493"/>
      <c r="T411" s="493"/>
    </row>
    <row r="412" spans="4:20">
      <c r="D412" s="493"/>
      <c r="E412" s="748"/>
      <c r="G412" s="493"/>
      <c r="I412" s="748"/>
      <c r="K412" s="493"/>
      <c r="L412" s="748"/>
      <c r="M412" s="493"/>
      <c r="N412" s="493"/>
      <c r="O412" s="493"/>
      <c r="P412" s="493"/>
      <c r="Q412" s="493"/>
      <c r="R412" s="493"/>
      <c r="S412" s="493"/>
      <c r="T412" s="493"/>
    </row>
    <row r="413" spans="4:20">
      <c r="D413" s="493"/>
      <c r="E413" s="748"/>
      <c r="G413" s="493"/>
      <c r="I413" s="748"/>
      <c r="K413" s="493"/>
      <c r="L413" s="748"/>
      <c r="M413" s="493"/>
      <c r="N413" s="493"/>
      <c r="O413" s="493"/>
      <c r="P413" s="493"/>
      <c r="Q413" s="493"/>
      <c r="R413" s="493"/>
      <c r="S413" s="493"/>
      <c r="T413" s="493"/>
    </row>
    <row r="414" spans="4:20">
      <c r="D414" s="493"/>
      <c r="E414" s="748"/>
      <c r="G414" s="493"/>
      <c r="I414" s="748"/>
      <c r="K414" s="493"/>
      <c r="L414" s="748"/>
      <c r="M414" s="493"/>
      <c r="N414" s="493"/>
      <c r="O414" s="493"/>
      <c r="P414" s="493"/>
      <c r="Q414" s="493"/>
      <c r="R414" s="493"/>
      <c r="S414" s="493"/>
      <c r="T414" s="493"/>
    </row>
    <row r="415" spans="4:20">
      <c r="D415" s="493"/>
      <c r="E415" s="748"/>
      <c r="G415" s="493"/>
      <c r="I415" s="748"/>
      <c r="K415" s="493"/>
      <c r="L415" s="748"/>
      <c r="M415" s="493"/>
      <c r="N415" s="493"/>
      <c r="O415" s="493"/>
      <c r="P415" s="493"/>
      <c r="Q415" s="493"/>
      <c r="R415" s="493"/>
      <c r="S415" s="493"/>
      <c r="T415" s="493"/>
    </row>
    <row r="416" spans="4:20">
      <c r="D416" s="493"/>
      <c r="E416" s="748"/>
      <c r="G416" s="493"/>
      <c r="I416" s="748"/>
      <c r="K416" s="493"/>
      <c r="L416" s="748"/>
      <c r="M416" s="493"/>
      <c r="N416" s="493"/>
      <c r="O416" s="493"/>
      <c r="P416" s="493"/>
      <c r="Q416" s="493"/>
      <c r="R416" s="493"/>
      <c r="S416" s="493"/>
      <c r="T416" s="493"/>
    </row>
    <row r="417" spans="4:20">
      <c r="D417" s="493"/>
      <c r="E417" s="748"/>
      <c r="G417" s="493"/>
      <c r="I417" s="748"/>
      <c r="K417" s="493"/>
      <c r="L417" s="748"/>
      <c r="M417" s="493"/>
      <c r="N417" s="493"/>
      <c r="O417" s="493"/>
      <c r="P417" s="493"/>
      <c r="Q417" s="493"/>
      <c r="R417" s="493"/>
      <c r="S417" s="493"/>
      <c r="T417" s="493"/>
    </row>
    <row r="418" spans="4:20">
      <c r="D418" s="493"/>
      <c r="E418" s="748"/>
      <c r="G418" s="493"/>
      <c r="I418" s="748"/>
      <c r="K418" s="493"/>
      <c r="L418" s="748"/>
      <c r="M418" s="493"/>
      <c r="N418" s="493"/>
      <c r="O418" s="493"/>
      <c r="P418" s="493"/>
      <c r="Q418" s="493"/>
      <c r="R418" s="493"/>
      <c r="S418" s="493"/>
      <c r="T418" s="493"/>
    </row>
    <row r="419" spans="4:20">
      <c r="D419" s="493"/>
      <c r="E419" s="748"/>
      <c r="G419" s="493"/>
      <c r="I419" s="748"/>
      <c r="K419" s="493"/>
      <c r="L419" s="748"/>
      <c r="M419" s="493"/>
      <c r="N419" s="493"/>
      <c r="O419" s="493"/>
      <c r="P419" s="493"/>
      <c r="Q419" s="493"/>
      <c r="R419" s="493"/>
      <c r="S419" s="493"/>
      <c r="T419" s="493"/>
    </row>
    <row r="420" spans="4:20">
      <c r="D420" s="493"/>
      <c r="E420" s="748"/>
      <c r="G420" s="493"/>
      <c r="I420" s="748"/>
      <c r="K420" s="493"/>
      <c r="L420" s="748"/>
      <c r="M420" s="493"/>
      <c r="N420" s="493"/>
      <c r="O420" s="493"/>
      <c r="P420" s="493"/>
      <c r="Q420" s="493"/>
      <c r="R420" s="493"/>
      <c r="S420" s="493"/>
      <c r="T420" s="493"/>
    </row>
    <row r="421" spans="4:20">
      <c r="D421" s="493"/>
      <c r="E421" s="748"/>
      <c r="G421" s="493"/>
      <c r="I421" s="748"/>
      <c r="K421" s="493"/>
      <c r="L421" s="748"/>
      <c r="M421" s="493"/>
      <c r="N421" s="493"/>
      <c r="O421" s="493"/>
      <c r="P421" s="493"/>
      <c r="Q421" s="493"/>
      <c r="R421" s="493"/>
      <c r="S421" s="493"/>
      <c r="T421" s="493"/>
    </row>
    <row r="422" spans="4:20">
      <c r="D422" s="493"/>
      <c r="E422" s="748"/>
      <c r="G422" s="493"/>
      <c r="I422" s="748"/>
      <c r="K422" s="493"/>
      <c r="L422" s="748"/>
      <c r="M422" s="493"/>
      <c r="N422" s="493"/>
      <c r="O422" s="493"/>
      <c r="P422" s="493"/>
      <c r="Q422" s="493"/>
      <c r="R422" s="493"/>
      <c r="S422" s="493"/>
      <c r="T422" s="493"/>
    </row>
    <row r="423" spans="4:20">
      <c r="D423" s="493"/>
      <c r="E423" s="748"/>
      <c r="G423" s="493"/>
      <c r="I423" s="748"/>
      <c r="K423" s="493"/>
      <c r="L423" s="748"/>
      <c r="M423" s="493"/>
      <c r="N423" s="493"/>
      <c r="O423" s="493"/>
      <c r="P423" s="493"/>
      <c r="Q423" s="493"/>
      <c r="R423" s="493"/>
      <c r="S423" s="493"/>
      <c r="T423" s="493"/>
    </row>
    <row r="424" spans="4:20">
      <c r="D424" s="493"/>
      <c r="E424" s="748"/>
      <c r="G424" s="493"/>
      <c r="I424" s="748"/>
      <c r="K424" s="493"/>
      <c r="L424" s="748"/>
      <c r="M424" s="493"/>
      <c r="N424" s="493"/>
      <c r="O424" s="493"/>
      <c r="P424" s="493"/>
      <c r="Q424" s="493"/>
      <c r="R424" s="493"/>
      <c r="S424" s="493"/>
      <c r="T424" s="493"/>
    </row>
    <row r="425" spans="4:20">
      <c r="D425" s="493"/>
      <c r="E425" s="748"/>
      <c r="G425" s="493"/>
      <c r="I425" s="748"/>
      <c r="K425" s="493"/>
      <c r="L425" s="748"/>
      <c r="M425" s="493"/>
      <c r="N425" s="493"/>
      <c r="O425" s="493"/>
      <c r="P425" s="493"/>
      <c r="Q425" s="493"/>
      <c r="R425" s="493"/>
      <c r="S425" s="493"/>
      <c r="T425" s="493"/>
    </row>
    <row r="426" spans="4:20">
      <c r="D426" s="493"/>
      <c r="E426" s="748"/>
      <c r="G426" s="493"/>
      <c r="I426" s="748"/>
      <c r="K426" s="493"/>
      <c r="L426" s="748"/>
      <c r="M426" s="493"/>
      <c r="N426" s="493"/>
      <c r="O426" s="493"/>
      <c r="P426" s="493"/>
      <c r="Q426" s="493"/>
      <c r="R426" s="493"/>
      <c r="S426" s="493"/>
      <c r="T426" s="493"/>
    </row>
    <row r="427" spans="4:20">
      <c r="D427" s="493"/>
      <c r="E427" s="748"/>
      <c r="G427" s="493"/>
      <c r="I427" s="748"/>
      <c r="K427" s="493"/>
      <c r="L427" s="748"/>
      <c r="M427" s="493"/>
      <c r="N427" s="493"/>
      <c r="O427" s="493"/>
      <c r="P427" s="493"/>
      <c r="Q427" s="493"/>
      <c r="R427" s="493"/>
      <c r="S427" s="493"/>
      <c r="T427" s="493"/>
    </row>
    <row r="428" spans="4:20">
      <c r="D428" s="493"/>
      <c r="E428" s="748"/>
      <c r="G428" s="493"/>
      <c r="I428" s="748"/>
      <c r="K428" s="493"/>
      <c r="L428" s="748"/>
      <c r="M428" s="493"/>
      <c r="N428" s="493"/>
      <c r="O428" s="493"/>
      <c r="P428" s="493"/>
      <c r="Q428" s="493"/>
      <c r="R428" s="493"/>
      <c r="S428" s="493"/>
      <c r="T428" s="493"/>
    </row>
    <row r="429" spans="4:20">
      <c r="D429" s="493"/>
      <c r="E429" s="748"/>
      <c r="G429" s="493"/>
      <c r="I429" s="748"/>
      <c r="K429" s="493"/>
      <c r="L429" s="748"/>
      <c r="M429" s="493"/>
      <c r="N429" s="493"/>
      <c r="O429" s="493"/>
      <c r="P429" s="493"/>
      <c r="Q429" s="493"/>
      <c r="R429" s="493"/>
      <c r="S429" s="493"/>
      <c r="T429" s="493"/>
    </row>
    <row r="430" spans="4:20">
      <c r="D430" s="493"/>
      <c r="E430" s="748"/>
      <c r="G430" s="493"/>
      <c r="I430" s="748"/>
      <c r="K430" s="493"/>
      <c r="L430" s="748"/>
      <c r="M430" s="493"/>
      <c r="N430" s="493"/>
      <c r="O430" s="493"/>
      <c r="P430" s="493"/>
      <c r="Q430" s="493"/>
      <c r="R430" s="493"/>
      <c r="S430" s="493"/>
      <c r="T430" s="493"/>
    </row>
    <row r="431" spans="4:20">
      <c r="D431" s="493"/>
      <c r="E431" s="748"/>
      <c r="G431" s="493"/>
      <c r="I431" s="748"/>
      <c r="K431" s="493"/>
      <c r="L431" s="748"/>
      <c r="M431" s="493"/>
      <c r="N431" s="493"/>
      <c r="O431" s="493"/>
      <c r="P431" s="493"/>
      <c r="Q431" s="493"/>
      <c r="R431" s="493"/>
      <c r="S431" s="493"/>
      <c r="T431" s="493"/>
    </row>
    <row r="432" spans="4:20">
      <c r="D432" s="493"/>
      <c r="E432" s="748"/>
      <c r="G432" s="493"/>
      <c r="I432" s="748"/>
      <c r="K432" s="493"/>
      <c r="L432" s="748"/>
      <c r="M432" s="493"/>
      <c r="N432" s="493"/>
      <c r="O432" s="493"/>
      <c r="P432" s="493"/>
      <c r="Q432" s="493"/>
      <c r="R432" s="493"/>
      <c r="S432" s="493"/>
      <c r="T432" s="493"/>
    </row>
    <row r="433" spans="4:20">
      <c r="D433" s="493"/>
      <c r="E433" s="748"/>
      <c r="G433" s="493"/>
      <c r="I433" s="748"/>
      <c r="K433" s="493"/>
      <c r="L433" s="748"/>
      <c r="M433" s="493"/>
      <c r="N433" s="493"/>
      <c r="O433" s="493"/>
      <c r="P433" s="493"/>
      <c r="Q433" s="493"/>
      <c r="R433" s="493"/>
      <c r="S433" s="493"/>
      <c r="T433" s="493"/>
    </row>
    <row r="434" spans="4:20">
      <c r="D434" s="493"/>
      <c r="E434" s="748"/>
      <c r="G434" s="493"/>
      <c r="I434" s="748"/>
      <c r="K434" s="493"/>
      <c r="L434" s="748"/>
      <c r="M434" s="493"/>
      <c r="N434" s="493"/>
      <c r="O434" s="493"/>
      <c r="P434" s="493"/>
      <c r="Q434" s="493"/>
      <c r="R434" s="493"/>
      <c r="S434" s="493"/>
      <c r="T434" s="493"/>
    </row>
    <row r="435" spans="4:20">
      <c r="D435" s="493"/>
      <c r="E435" s="748"/>
      <c r="G435" s="493"/>
      <c r="I435" s="748"/>
      <c r="K435" s="493"/>
      <c r="L435" s="748"/>
      <c r="M435" s="493"/>
      <c r="N435" s="493"/>
      <c r="O435" s="493"/>
      <c r="P435" s="493"/>
      <c r="Q435" s="493"/>
      <c r="R435" s="493"/>
      <c r="S435" s="493"/>
      <c r="T435" s="493"/>
    </row>
    <row r="436" spans="4:20">
      <c r="D436" s="493"/>
      <c r="E436" s="748"/>
      <c r="G436" s="493"/>
      <c r="I436" s="748"/>
      <c r="K436" s="493"/>
      <c r="L436" s="748"/>
      <c r="M436" s="493"/>
      <c r="N436" s="493"/>
      <c r="O436" s="493"/>
      <c r="P436" s="493"/>
      <c r="Q436" s="493"/>
      <c r="R436" s="493"/>
      <c r="S436" s="493"/>
      <c r="T436" s="493"/>
    </row>
    <row r="437" spans="4:20">
      <c r="D437" s="493"/>
      <c r="E437" s="748"/>
      <c r="G437" s="493"/>
      <c r="I437" s="748"/>
      <c r="K437" s="493"/>
      <c r="L437" s="748"/>
      <c r="M437" s="493"/>
      <c r="N437" s="493"/>
      <c r="O437" s="493"/>
      <c r="P437" s="493"/>
      <c r="Q437" s="493"/>
      <c r="R437" s="493"/>
      <c r="S437" s="493"/>
      <c r="T437" s="493"/>
    </row>
    <row r="438" spans="4:20">
      <c r="D438" s="493"/>
      <c r="E438" s="748"/>
      <c r="G438" s="493"/>
      <c r="I438" s="748"/>
      <c r="K438" s="493"/>
      <c r="L438" s="748"/>
      <c r="M438" s="493"/>
      <c r="N438" s="493"/>
      <c r="O438" s="493"/>
      <c r="P438" s="493"/>
      <c r="Q438" s="493"/>
      <c r="R438" s="493"/>
      <c r="S438" s="493"/>
      <c r="T438" s="493"/>
    </row>
    <row r="439" spans="4:20">
      <c r="D439" s="493"/>
      <c r="E439" s="748"/>
      <c r="G439" s="493"/>
      <c r="I439" s="748"/>
      <c r="K439" s="493"/>
      <c r="L439" s="748"/>
      <c r="M439" s="493"/>
      <c r="N439" s="493"/>
      <c r="O439" s="493"/>
      <c r="P439" s="493"/>
      <c r="Q439" s="493"/>
      <c r="R439" s="493"/>
      <c r="S439" s="493"/>
      <c r="T439" s="493"/>
    </row>
    <row r="440" spans="4:20">
      <c r="D440" s="493"/>
      <c r="E440" s="748"/>
      <c r="G440" s="493"/>
      <c r="I440" s="748"/>
      <c r="K440" s="493"/>
      <c r="L440" s="748"/>
      <c r="M440" s="493"/>
      <c r="N440" s="493"/>
      <c r="O440" s="493"/>
      <c r="P440" s="493"/>
      <c r="Q440" s="493"/>
      <c r="R440" s="493"/>
      <c r="S440" s="493"/>
      <c r="T440" s="493"/>
    </row>
    <row r="441" spans="4:20">
      <c r="D441" s="493"/>
      <c r="E441" s="748"/>
      <c r="G441" s="493"/>
      <c r="I441" s="748"/>
      <c r="K441" s="493"/>
      <c r="L441" s="748"/>
      <c r="M441" s="493"/>
      <c r="N441" s="493"/>
      <c r="O441" s="493"/>
      <c r="P441" s="493"/>
      <c r="Q441" s="493"/>
      <c r="R441" s="493"/>
      <c r="S441" s="493"/>
      <c r="T441" s="493"/>
    </row>
    <row r="442" spans="4:20">
      <c r="D442" s="493"/>
      <c r="E442" s="748"/>
      <c r="G442" s="493"/>
      <c r="I442" s="748"/>
      <c r="K442" s="493"/>
      <c r="L442" s="748"/>
      <c r="M442" s="493"/>
      <c r="N442" s="493"/>
      <c r="O442" s="493"/>
      <c r="P442" s="493"/>
      <c r="Q442" s="493"/>
      <c r="R442" s="493"/>
      <c r="S442" s="493"/>
      <c r="T442" s="493"/>
    </row>
    <row r="443" spans="4:20">
      <c r="D443" s="493"/>
      <c r="E443" s="748"/>
      <c r="G443" s="493"/>
      <c r="I443" s="748"/>
      <c r="K443" s="493"/>
      <c r="L443" s="748"/>
      <c r="M443" s="493"/>
      <c r="N443" s="493"/>
      <c r="O443" s="493"/>
      <c r="P443" s="493"/>
      <c r="Q443" s="493"/>
      <c r="R443" s="493"/>
      <c r="S443" s="493"/>
      <c r="T443" s="493"/>
    </row>
    <row r="444" spans="4:20">
      <c r="D444" s="493"/>
      <c r="E444" s="748"/>
      <c r="G444" s="493"/>
      <c r="I444" s="748"/>
      <c r="K444" s="493"/>
      <c r="L444" s="748"/>
      <c r="M444" s="493"/>
      <c r="N444" s="493"/>
      <c r="O444" s="493"/>
      <c r="P444" s="493"/>
      <c r="Q444" s="493"/>
      <c r="R444" s="493"/>
      <c r="S444" s="493"/>
      <c r="T444" s="493"/>
    </row>
    <row r="445" spans="4:20">
      <c r="D445" s="493"/>
      <c r="E445" s="748"/>
      <c r="G445" s="493"/>
      <c r="I445" s="748"/>
      <c r="K445" s="493"/>
      <c r="L445" s="748"/>
      <c r="M445" s="493"/>
      <c r="N445" s="493"/>
      <c r="O445" s="493"/>
      <c r="P445" s="493"/>
      <c r="Q445" s="493"/>
      <c r="R445" s="493"/>
      <c r="S445" s="493"/>
      <c r="T445" s="493"/>
    </row>
    <row r="446" spans="4:20">
      <c r="D446" s="493"/>
      <c r="E446" s="748"/>
      <c r="G446" s="493"/>
      <c r="I446" s="748"/>
      <c r="K446" s="493"/>
      <c r="L446" s="748"/>
      <c r="M446" s="493"/>
      <c r="N446" s="493"/>
      <c r="O446" s="493"/>
      <c r="P446" s="493"/>
      <c r="Q446" s="493"/>
      <c r="R446" s="493"/>
      <c r="S446" s="493"/>
      <c r="T446" s="493"/>
    </row>
    <row r="447" spans="4:20">
      <c r="D447" s="493"/>
      <c r="E447" s="748"/>
      <c r="G447" s="493"/>
      <c r="I447" s="748"/>
      <c r="K447" s="493"/>
      <c r="L447" s="748"/>
      <c r="M447" s="493"/>
      <c r="N447" s="493"/>
      <c r="O447" s="493"/>
      <c r="P447" s="493"/>
      <c r="Q447" s="493"/>
      <c r="R447" s="493"/>
      <c r="S447" s="493"/>
      <c r="T447" s="493"/>
    </row>
    <row r="448" spans="4:20">
      <c r="D448" s="493"/>
      <c r="E448" s="748"/>
      <c r="G448" s="493"/>
      <c r="I448" s="748"/>
      <c r="K448" s="493"/>
      <c r="L448" s="748"/>
      <c r="M448" s="493"/>
      <c r="N448" s="493"/>
      <c r="O448" s="493"/>
      <c r="P448" s="493"/>
      <c r="Q448" s="493"/>
      <c r="R448" s="493"/>
      <c r="S448" s="493"/>
      <c r="T448" s="493"/>
    </row>
    <row r="449" spans="4:20">
      <c r="D449" s="493"/>
      <c r="E449" s="748"/>
      <c r="G449" s="493"/>
      <c r="I449" s="748"/>
      <c r="K449" s="493"/>
      <c r="L449" s="748"/>
      <c r="M449" s="493"/>
      <c r="N449" s="493"/>
      <c r="O449" s="493"/>
      <c r="P449" s="493"/>
      <c r="Q449" s="493"/>
      <c r="R449" s="493"/>
      <c r="S449" s="493"/>
      <c r="T449" s="493"/>
    </row>
    <row r="450" spans="4:20">
      <c r="D450" s="493"/>
      <c r="E450" s="748"/>
      <c r="G450" s="493"/>
      <c r="I450" s="748"/>
      <c r="K450" s="493"/>
      <c r="L450" s="748"/>
      <c r="M450" s="493"/>
      <c r="N450" s="493"/>
      <c r="O450" s="493"/>
      <c r="P450" s="493"/>
      <c r="Q450" s="493"/>
      <c r="R450" s="493"/>
      <c r="S450" s="493"/>
      <c r="T450" s="493"/>
    </row>
    <row r="451" spans="4:20">
      <c r="D451" s="493"/>
      <c r="E451" s="748"/>
      <c r="G451" s="493"/>
      <c r="I451" s="748"/>
      <c r="K451" s="493"/>
      <c r="L451" s="748"/>
      <c r="M451" s="493"/>
      <c r="N451" s="493"/>
      <c r="O451" s="493"/>
      <c r="P451" s="493"/>
      <c r="Q451" s="493"/>
      <c r="R451" s="493"/>
      <c r="S451" s="493"/>
      <c r="T451" s="493"/>
    </row>
    <row r="452" spans="4:20">
      <c r="D452" s="493"/>
      <c r="E452" s="748"/>
      <c r="G452" s="493"/>
      <c r="I452" s="748"/>
      <c r="K452" s="493"/>
      <c r="L452" s="748"/>
      <c r="M452" s="493"/>
      <c r="N452" s="493"/>
      <c r="O452" s="493"/>
      <c r="P452" s="493"/>
      <c r="Q452" s="493"/>
      <c r="R452" s="493"/>
      <c r="S452" s="493"/>
      <c r="T452" s="493"/>
    </row>
    <row r="453" spans="4:20">
      <c r="D453" s="493"/>
      <c r="E453" s="748"/>
      <c r="G453" s="493"/>
      <c r="I453" s="748"/>
      <c r="K453" s="493"/>
      <c r="L453" s="748"/>
      <c r="M453" s="493"/>
      <c r="N453" s="493"/>
      <c r="O453" s="493"/>
      <c r="P453" s="493"/>
      <c r="Q453" s="493"/>
      <c r="R453" s="493"/>
      <c r="S453" s="493"/>
      <c r="T453" s="493"/>
    </row>
    <row r="454" spans="4:20">
      <c r="D454" s="493"/>
      <c r="E454" s="748"/>
      <c r="G454" s="493"/>
      <c r="I454" s="748"/>
      <c r="K454" s="493"/>
      <c r="L454" s="748"/>
      <c r="M454" s="493"/>
      <c r="N454" s="493"/>
      <c r="O454" s="493"/>
      <c r="P454" s="493"/>
      <c r="Q454" s="493"/>
      <c r="R454" s="493"/>
      <c r="S454" s="493"/>
      <c r="T454" s="493"/>
    </row>
    <row r="455" spans="4:20">
      <c r="D455" s="493"/>
      <c r="E455" s="748"/>
      <c r="G455" s="493"/>
      <c r="I455" s="748"/>
      <c r="K455" s="493"/>
      <c r="L455" s="748"/>
      <c r="M455" s="493"/>
      <c r="N455" s="493"/>
      <c r="O455" s="493"/>
      <c r="P455" s="493"/>
      <c r="Q455" s="493"/>
      <c r="R455" s="493"/>
      <c r="S455" s="493"/>
      <c r="T455" s="493"/>
    </row>
    <row r="456" spans="4:20">
      <c r="D456" s="493"/>
      <c r="E456" s="748"/>
      <c r="G456" s="493"/>
      <c r="I456" s="748"/>
      <c r="K456" s="493"/>
      <c r="L456" s="748"/>
      <c r="M456" s="493"/>
      <c r="N456" s="493"/>
      <c r="O456" s="493"/>
      <c r="P456" s="493"/>
      <c r="Q456" s="493"/>
      <c r="R456" s="493"/>
      <c r="S456" s="493"/>
      <c r="T456" s="493"/>
    </row>
    <row r="457" spans="4:20">
      <c r="D457" s="493"/>
      <c r="E457" s="748"/>
      <c r="G457" s="493"/>
      <c r="I457" s="748"/>
      <c r="K457" s="493"/>
      <c r="L457" s="748"/>
      <c r="M457" s="493"/>
      <c r="N457" s="493"/>
      <c r="O457" s="493"/>
      <c r="P457" s="493"/>
      <c r="Q457" s="493"/>
      <c r="R457" s="493"/>
      <c r="S457" s="493"/>
      <c r="T457" s="493"/>
    </row>
    <row r="458" spans="4:20">
      <c r="D458" s="493"/>
      <c r="E458" s="748"/>
      <c r="G458" s="493"/>
      <c r="I458" s="748"/>
      <c r="K458" s="493"/>
      <c r="L458" s="748"/>
      <c r="M458" s="493"/>
      <c r="N458" s="493"/>
      <c r="O458" s="493"/>
      <c r="P458" s="493"/>
      <c r="Q458" s="493"/>
      <c r="R458" s="493"/>
      <c r="S458" s="493"/>
      <c r="T458" s="493"/>
    </row>
    <row r="459" spans="4:20">
      <c r="D459" s="493"/>
      <c r="E459" s="748"/>
      <c r="G459" s="493"/>
      <c r="I459" s="748"/>
      <c r="K459" s="493"/>
      <c r="L459" s="748"/>
      <c r="M459" s="493"/>
      <c r="N459" s="493"/>
      <c r="O459" s="493"/>
      <c r="P459" s="493"/>
      <c r="Q459" s="493"/>
      <c r="R459" s="493"/>
      <c r="S459" s="493"/>
      <c r="T459" s="493"/>
    </row>
    <row r="460" spans="4:20">
      <c r="D460" s="493"/>
      <c r="E460" s="748"/>
      <c r="G460" s="493"/>
      <c r="I460" s="748"/>
      <c r="K460" s="493"/>
      <c r="L460" s="748"/>
      <c r="M460" s="493"/>
      <c r="N460" s="493"/>
      <c r="O460" s="493"/>
      <c r="P460" s="493"/>
      <c r="Q460" s="493"/>
      <c r="R460" s="493"/>
      <c r="S460" s="493"/>
      <c r="T460" s="493"/>
    </row>
    <row r="461" spans="4:20">
      <c r="D461" s="493"/>
      <c r="E461" s="748"/>
      <c r="G461" s="493"/>
      <c r="I461" s="748"/>
      <c r="K461" s="493"/>
      <c r="L461" s="748"/>
      <c r="M461" s="493"/>
      <c r="N461" s="493"/>
      <c r="O461" s="493"/>
      <c r="P461" s="493"/>
      <c r="Q461" s="493"/>
      <c r="R461" s="493"/>
      <c r="S461" s="493"/>
      <c r="T461" s="493"/>
    </row>
    <row r="462" spans="4:20">
      <c r="D462" s="493"/>
      <c r="E462" s="748"/>
      <c r="G462" s="493"/>
      <c r="I462" s="748"/>
      <c r="K462" s="493"/>
      <c r="L462" s="748"/>
      <c r="M462" s="493"/>
      <c r="N462" s="493"/>
      <c r="O462" s="493"/>
      <c r="P462" s="493"/>
      <c r="Q462" s="493"/>
      <c r="R462" s="493"/>
      <c r="S462" s="493"/>
      <c r="T462" s="493"/>
    </row>
    <row r="463" spans="4:20">
      <c r="D463" s="493"/>
      <c r="E463" s="748"/>
      <c r="G463" s="493"/>
      <c r="I463" s="748"/>
      <c r="K463" s="493"/>
      <c r="L463" s="748"/>
      <c r="M463" s="493"/>
      <c r="N463" s="493"/>
      <c r="O463" s="493"/>
      <c r="P463" s="493"/>
      <c r="Q463" s="493"/>
      <c r="R463" s="493"/>
      <c r="S463" s="493"/>
      <c r="T463" s="493"/>
    </row>
    <row r="464" spans="4:20">
      <c r="D464" s="493"/>
      <c r="E464" s="748"/>
      <c r="G464" s="493"/>
      <c r="I464" s="748"/>
      <c r="K464" s="493"/>
      <c r="L464" s="748"/>
      <c r="M464" s="493"/>
      <c r="N464" s="493"/>
      <c r="O464" s="493"/>
      <c r="P464" s="493"/>
      <c r="Q464" s="493"/>
      <c r="R464" s="493"/>
      <c r="S464" s="493"/>
      <c r="T464" s="493"/>
    </row>
    <row r="465" spans="4:20">
      <c r="D465" s="493"/>
      <c r="E465" s="748"/>
      <c r="G465" s="493"/>
      <c r="I465" s="748"/>
      <c r="K465" s="493"/>
      <c r="L465" s="748"/>
      <c r="M465" s="493"/>
      <c r="N465" s="493"/>
      <c r="O465" s="493"/>
      <c r="P465" s="493"/>
      <c r="Q465" s="493"/>
      <c r="R465" s="493"/>
      <c r="S465" s="493"/>
      <c r="T465" s="493"/>
    </row>
    <row r="466" spans="4:20">
      <c r="D466" s="493"/>
      <c r="E466" s="748"/>
      <c r="G466" s="493"/>
      <c r="I466" s="748"/>
      <c r="K466" s="493"/>
      <c r="L466" s="748"/>
      <c r="M466" s="493"/>
      <c r="N466" s="493"/>
      <c r="O466" s="493"/>
      <c r="P466" s="493"/>
      <c r="Q466" s="493"/>
      <c r="R466" s="493"/>
      <c r="S466" s="493"/>
      <c r="T466" s="493"/>
    </row>
    <row r="467" spans="4:20">
      <c r="D467" s="493"/>
      <c r="E467" s="748"/>
      <c r="G467" s="493"/>
      <c r="I467" s="748"/>
      <c r="K467" s="493"/>
      <c r="L467" s="748"/>
      <c r="M467" s="493"/>
      <c r="N467" s="493"/>
      <c r="O467" s="493"/>
      <c r="P467" s="493"/>
      <c r="Q467" s="493"/>
      <c r="R467" s="493"/>
      <c r="S467" s="493"/>
      <c r="T467" s="493"/>
    </row>
    <row r="468" spans="4:20">
      <c r="D468" s="493"/>
      <c r="E468" s="748"/>
      <c r="G468" s="493"/>
      <c r="I468" s="748"/>
      <c r="K468" s="493"/>
      <c r="L468" s="748"/>
      <c r="M468" s="493"/>
      <c r="N468" s="493"/>
      <c r="O468" s="493"/>
      <c r="P468" s="493"/>
      <c r="Q468" s="493"/>
      <c r="R468" s="493"/>
      <c r="S468" s="493"/>
      <c r="T468" s="493"/>
    </row>
    <row r="469" spans="4:20">
      <c r="D469" s="493"/>
      <c r="E469" s="748"/>
      <c r="G469" s="493"/>
      <c r="I469" s="748"/>
      <c r="K469" s="493"/>
      <c r="L469" s="748"/>
      <c r="M469" s="493"/>
      <c r="N469" s="493"/>
      <c r="O469" s="493"/>
      <c r="P469" s="493"/>
      <c r="Q469" s="493"/>
      <c r="R469" s="493"/>
      <c r="S469" s="493"/>
      <c r="T469" s="493"/>
    </row>
    <row r="470" spans="4:20">
      <c r="D470" s="493"/>
      <c r="E470" s="748"/>
      <c r="G470" s="493"/>
      <c r="I470" s="748"/>
      <c r="K470" s="493"/>
      <c r="L470" s="748"/>
      <c r="M470" s="493"/>
      <c r="N470" s="493"/>
      <c r="O470" s="493"/>
      <c r="P470" s="493"/>
      <c r="Q470" s="493"/>
      <c r="R470" s="493"/>
      <c r="S470" s="493"/>
      <c r="T470" s="493"/>
    </row>
    <row r="471" spans="4:20">
      <c r="D471" s="493"/>
      <c r="E471" s="748"/>
      <c r="G471" s="493"/>
      <c r="I471" s="748"/>
      <c r="K471" s="493"/>
      <c r="L471" s="748"/>
      <c r="M471" s="493"/>
      <c r="N471" s="493"/>
      <c r="O471" s="493"/>
      <c r="P471" s="493"/>
      <c r="Q471" s="493"/>
      <c r="R471" s="493"/>
      <c r="S471" s="493"/>
      <c r="T471" s="493"/>
    </row>
    <row r="472" spans="4:20">
      <c r="D472" s="493"/>
      <c r="E472" s="748"/>
      <c r="G472" s="493"/>
      <c r="I472" s="748"/>
      <c r="K472" s="493"/>
      <c r="L472" s="748"/>
      <c r="M472" s="493"/>
      <c r="N472" s="493"/>
      <c r="O472" s="493"/>
      <c r="P472" s="493"/>
      <c r="Q472" s="493"/>
      <c r="R472" s="493"/>
      <c r="S472" s="493"/>
      <c r="T472" s="493"/>
    </row>
    <row r="473" spans="4:20">
      <c r="D473" s="493"/>
      <c r="E473" s="748"/>
      <c r="G473" s="493"/>
      <c r="I473" s="748"/>
      <c r="K473" s="493"/>
      <c r="L473" s="748"/>
      <c r="M473" s="493"/>
      <c r="N473" s="493"/>
      <c r="O473" s="493"/>
      <c r="P473" s="493"/>
      <c r="Q473" s="493"/>
      <c r="R473" s="493"/>
      <c r="S473" s="493"/>
      <c r="T473" s="493"/>
    </row>
    <row r="474" spans="4:20">
      <c r="D474" s="493"/>
      <c r="E474" s="748"/>
      <c r="G474" s="493"/>
      <c r="I474" s="748"/>
      <c r="K474" s="493"/>
      <c r="L474" s="748"/>
      <c r="M474" s="493"/>
      <c r="N474" s="493"/>
      <c r="O474" s="493"/>
      <c r="P474" s="493"/>
      <c r="Q474" s="493"/>
      <c r="R474" s="493"/>
      <c r="S474" s="493"/>
      <c r="T474" s="493"/>
    </row>
    <row r="475" spans="4:20">
      <c r="D475" s="493"/>
      <c r="E475" s="748"/>
      <c r="G475" s="493"/>
      <c r="I475" s="748"/>
      <c r="K475" s="493"/>
      <c r="L475" s="748"/>
      <c r="M475" s="493"/>
      <c r="N475" s="493"/>
      <c r="O475" s="493"/>
      <c r="P475" s="493"/>
      <c r="Q475" s="493"/>
      <c r="R475" s="493"/>
      <c r="S475" s="493"/>
      <c r="T475" s="493"/>
    </row>
    <row r="476" spans="4:20">
      <c r="D476" s="493"/>
      <c r="E476" s="748"/>
      <c r="G476" s="493"/>
      <c r="I476" s="748"/>
      <c r="K476" s="493"/>
      <c r="L476" s="748"/>
      <c r="M476" s="493"/>
      <c r="N476" s="493"/>
      <c r="O476" s="493"/>
      <c r="P476" s="493"/>
      <c r="Q476" s="493"/>
      <c r="R476" s="493"/>
      <c r="S476" s="493"/>
      <c r="T476" s="493"/>
    </row>
    <row r="477" spans="4:20">
      <c r="D477" s="493"/>
      <c r="E477" s="748"/>
      <c r="G477" s="493"/>
      <c r="I477" s="748"/>
      <c r="K477" s="493"/>
      <c r="L477" s="748"/>
      <c r="M477" s="493"/>
      <c r="N477" s="493"/>
      <c r="O477" s="493"/>
      <c r="P477" s="493"/>
      <c r="Q477" s="493"/>
      <c r="R477" s="493"/>
      <c r="S477" s="493"/>
      <c r="T477" s="493"/>
    </row>
    <row r="478" spans="4:20">
      <c r="D478" s="493"/>
      <c r="E478" s="748"/>
      <c r="G478" s="493"/>
      <c r="I478" s="748"/>
      <c r="K478" s="493"/>
      <c r="L478" s="748"/>
      <c r="M478" s="493"/>
      <c r="N478" s="493"/>
      <c r="O478" s="493"/>
      <c r="P478" s="493"/>
      <c r="Q478" s="493"/>
      <c r="R478" s="493"/>
      <c r="S478" s="493"/>
      <c r="T478" s="493"/>
    </row>
    <row r="479" spans="4:20">
      <c r="D479" s="493"/>
      <c r="E479" s="748"/>
      <c r="G479" s="493"/>
      <c r="I479" s="748"/>
      <c r="K479" s="493"/>
      <c r="L479" s="748"/>
      <c r="M479" s="493"/>
      <c r="N479" s="493"/>
      <c r="O479" s="493"/>
      <c r="P479" s="493"/>
      <c r="Q479" s="493"/>
      <c r="R479" s="493"/>
      <c r="S479" s="493"/>
      <c r="T479" s="493"/>
    </row>
    <row r="480" spans="4:20">
      <c r="D480" s="493"/>
      <c r="E480" s="748"/>
      <c r="G480" s="493"/>
      <c r="I480" s="748"/>
      <c r="K480" s="493"/>
      <c r="L480" s="748"/>
      <c r="M480" s="493"/>
      <c r="N480" s="493"/>
      <c r="O480" s="493"/>
      <c r="P480" s="493"/>
      <c r="Q480" s="493"/>
      <c r="R480" s="493"/>
      <c r="S480" s="493"/>
      <c r="T480" s="493"/>
    </row>
    <row r="481" spans="4:20">
      <c r="D481" s="493"/>
      <c r="E481" s="748"/>
      <c r="G481" s="493"/>
      <c r="I481" s="748"/>
      <c r="K481" s="493"/>
      <c r="L481" s="748"/>
      <c r="M481" s="493"/>
      <c r="N481" s="493"/>
      <c r="O481" s="493"/>
      <c r="P481" s="493"/>
      <c r="Q481" s="493"/>
      <c r="R481" s="493"/>
      <c r="S481" s="493"/>
      <c r="T481" s="493"/>
    </row>
    <row r="482" spans="4:20">
      <c r="D482" s="493"/>
      <c r="E482" s="748"/>
      <c r="G482" s="493"/>
      <c r="I482" s="748"/>
      <c r="K482" s="493"/>
      <c r="L482" s="748"/>
      <c r="M482" s="493"/>
      <c r="N482" s="493"/>
      <c r="O482" s="493"/>
      <c r="P482" s="493"/>
      <c r="Q482" s="493"/>
      <c r="R482" s="493"/>
      <c r="S482" s="493"/>
      <c r="T482" s="493"/>
    </row>
    <row r="483" spans="4:20">
      <c r="D483" s="493"/>
      <c r="E483" s="748"/>
      <c r="G483" s="493"/>
      <c r="I483" s="748"/>
      <c r="K483" s="493"/>
      <c r="L483" s="748"/>
      <c r="M483" s="493"/>
      <c r="N483" s="493"/>
      <c r="O483" s="493"/>
      <c r="P483" s="493"/>
      <c r="Q483" s="493"/>
      <c r="R483" s="493"/>
      <c r="S483" s="493"/>
      <c r="T483" s="493"/>
    </row>
    <row r="484" spans="4:20">
      <c r="D484" s="493"/>
      <c r="E484" s="748"/>
      <c r="G484" s="493"/>
      <c r="I484" s="748"/>
      <c r="K484" s="493"/>
      <c r="L484" s="748"/>
      <c r="M484" s="493"/>
      <c r="N484" s="493"/>
      <c r="O484" s="493"/>
      <c r="P484" s="493"/>
      <c r="Q484" s="493"/>
      <c r="R484" s="493"/>
      <c r="S484" s="493"/>
      <c r="T484" s="493"/>
    </row>
    <row r="485" spans="4:20">
      <c r="D485" s="493"/>
      <c r="E485" s="748"/>
      <c r="G485" s="493"/>
      <c r="I485" s="748"/>
      <c r="K485" s="493"/>
      <c r="L485" s="748"/>
      <c r="M485" s="493"/>
      <c r="N485" s="493"/>
      <c r="O485" s="493"/>
      <c r="P485" s="493"/>
      <c r="Q485" s="493"/>
      <c r="R485" s="493"/>
      <c r="S485" s="493"/>
      <c r="T485" s="493"/>
    </row>
    <row r="486" spans="4:20">
      <c r="D486" s="493"/>
      <c r="E486" s="748"/>
      <c r="G486" s="493"/>
      <c r="I486" s="748"/>
      <c r="K486" s="493"/>
      <c r="L486" s="748"/>
      <c r="M486" s="493"/>
      <c r="N486" s="493"/>
      <c r="O486" s="493"/>
      <c r="P486" s="493"/>
      <c r="Q486" s="493"/>
      <c r="R486" s="493"/>
      <c r="S486" s="493"/>
      <c r="T486" s="493"/>
    </row>
    <row r="487" spans="4:20">
      <c r="D487" s="493"/>
      <c r="E487" s="748"/>
      <c r="G487" s="493"/>
      <c r="I487" s="748"/>
      <c r="K487" s="493"/>
      <c r="L487" s="748"/>
      <c r="M487" s="493"/>
      <c r="N487" s="493"/>
      <c r="O487" s="493"/>
      <c r="P487" s="493"/>
      <c r="Q487" s="493"/>
      <c r="R487" s="493"/>
      <c r="S487" s="493"/>
      <c r="T487" s="493"/>
    </row>
    <row r="488" spans="4:20">
      <c r="D488" s="493"/>
      <c r="E488" s="748"/>
      <c r="G488" s="493"/>
      <c r="I488" s="748"/>
      <c r="K488" s="493"/>
      <c r="L488" s="748"/>
      <c r="M488" s="493"/>
      <c r="N488" s="493"/>
      <c r="O488" s="493"/>
      <c r="P488" s="493"/>
      <c r="Q488" s="493"/>
      <c r="R488" s="493"/>
      <c r="S488" s="493"/>
      <c r="T488" s="493"/>
    </row>
    <row r="489" spans="4:20">
      <c r="D489" s="493"/>
      <c r="E489" s="748"/>
      <c r="G489" s="493"/>
      <c r="I489" s="748"/>
      <c r="K489" s="493"/>
      <c r="L489" s="748"/>
      <c r="M489" s="493"/>
      <c r="N489" s="493"/>
      <c r="O489" s="493"/>
      <c r="P489" s="493"/>
      <c r="Q489" s="493"/>
      <c r="R489" s="493"/>
      <c r="S489" s="493"/>
      <c r="T489" s="493"/>
    </row>
    <row r="490" spans="4:20">
      <c r="D490" s="493"/>
      <c r="E490" s="748"/>
      <c r="G490" s="493"/>
      <c r="I490" s="748"/>
      <c r="K490" s="493"/>
      <c r="L490" s="748"/>
      <c r="M490" s="493"/>
      <c r="N490" s="493"/>
      <c r="O490" s="493"/>
      <c r="P490" s="493"/>
      <c r="Q490" s="493"/>
      <c r="R490" s="493"/>
      <c r="S490" s="493"/>
      <c r="T490" s="493"/>
    </row>
    <row r="491" spans="4:20">
      <c r="D491" s="493"/>
      <c r="E491" s="748"/>
      <c r="G491" s="493"/>
      <c r="I491" s="748"/>
      <c r="K491" s="493"/>
      <c r="L491" s="748"/>
      <c r="M491" s="493"/>
      <c r="N491" s="493"/>
      <c r="O491" s="493"/>
      <c r="P491" s="493"/>
      <c r="Q491" s="493"/>
      <c r="R491" s="493"/>
      <c r="S491" s="493"/>
      <c r="T491" s="493"/>
    </row>
    <row r="492" spans="4:20">
      <c r="D492" s="493"/>
      <c r="E492" s="748"/>
      <c r="G492" s="493"/>
      <c r="I492" s="748"/>
      <c r="K492" s="493"/>
      <c r="L492" s="748"/>
      <c r="M492" s="493"/>
      <c r="N492" s="493"/>
      <c r="O492" s="493"/>
      <c r="P492" s="493"/>
      <c r="Q492" s="493"/>
      <c r="R492" s="493"/>
      <c r="S492" s="493"/>
      <c r="T492" s="493"/>
    </row>
    <row r="493" spans="4:20">
      <c r="D493" s="493"/>
      <c r="E493" s="748"/>
      <c r="G493" s="493"/>
      <c r="I493" s="748"/>
      <c r="K493" s="493"/>
      <c r="L493" s="748"/>
      <c r="M493" s="493"/>
      <c r="N493" s="493"/>
      <c r="O493" s="493"/>
      <c r="P493" s="493"/>
      <c r="Q493" s="493"/>
      <c r="R493" s="493"/>
      <c r="S493" s="493"/>
      <c r="T493" s="493"/>
    </row>
    <row r="494" spans="4:20">
      <c r="D494" s="493"/>
      <c r="E494" s="748"/>
      <c r="G494" s="493"/>
      <c r="I494" s="748"/>
      <c r="K494" s="493"/>
      <c r="L494" s="748"/>
      <c r="M494" s="493"/>
      <c r="N494" s="493"/>
      <c r="O494" s="493"/>
      <c r="P494" s="493"/>
      <c r="Q494" s="493"/>
      <c r="R494" s="493"/>
      <c r="S494" s="493"/>
      <c r="T494" s="493"/>
    </row>
    <row r="495" spans="4:20">
      <c r="D495" s="493"/>
      <c r="E495" s="748"/>
      <c r="G495" s="493"/>
      <c r="I495" s="748"/>
      <c r="K495" s="493"/>
      <c r="L495" s="748"/>
      <c r="M495" s="493"/>
      <c r="N495" s="493"/>
      <c r="O495" s="493"/>
      <c r="P495" s="493"/>
      <c r="Q495" s="493"/>
      <c r="R495" s="493"/>
      <c r="S495" s="493"/>
      <c r="T495" s="493"/>
    </row>
    <row r="496" spans="4:20">
      <c r="D496" s="493"/>
      <c r="E496" s="748"/>
      <c r="G496" s="493"/>
      <c r="I496" s="748"/>
      <c r="K496" s="493"/>
      <c r="L496" s="748"/>
      <c r="M496" s="493"/>
      <c r="N496" s="493"/>
      <c r="O496" s="493"/>
      <c r="P496" s="493"/>
      <c r="Q496" s="493"/>
      <c r="R496" s="493"/>
      <c r="S496" s="493"/>
      <c r="T496" s="493"/>
    </row>
    <row r="497" spans="4:20">
      <c r="D497" s="493"/>
      <c r="E497" s="748"/>
      <c r="G497" s="493"/>
      <c r="I497" s="748"/>
      <c r="K497" s="493"/>
      <c r="L497" s="748"/>
      <c r="M497" s="493"/>
      <c r="N497" s="493"/>
      <c r="O497" s="493"/>
      <c r="P497" s="493"/>
      <c r="Q497" s="493"/>
      <c r="R497" s="493"/>
      <c r="S497" s="493"/>
      <c r="T497" s="493"/>
    </row>
    <row r="498" spans="4:20">
      <c r="D498" s="493"/>
      <c r="E498" s="748"/>
      <c r="G498" s="493"/>
      <c r="I498" s="748"/>
      <c r="K498" s="493"/>
      <c r="L498" s="748"/>
      <c r="M498" s="493"/>
      <c r="N498" s="493"/>
      <c r="O498" s="493"/>
      <c r="P498" s="493"/>
      <c r="Q498" s="493"/>
      <c r="R498" s="493"/>
      <c r="S498" s="493"/>
      <c r="T498" s="493"/>
    </row>
    <row r="499" spans="4:20">
      <c r="D499" s="493"/>
      <c r="E499" s="748"/>
      <c r="G499" s="493"/>
      <c r="I499" s="748"/>
      <c r="K499" s="493"/>
      <c r="L499" s="748"/>
      <c r="M499" s="493"/>
      <c r="N499" s="493"/>
      <c r="O499" s="493"/>
      <c r="P499" s="493"/>
      <c r="Q499" s="493"/>
      <c r="R499" s="493"/>
      <c r="S499" s="493"/>
      <c r="T499" s="493"/>
    </row>
    <row r="500" spans="4:20">
      <c r="D500" s="493"/>
      <c r="E500" s="748"/>
      <c r="G500" s="493"/>
      <c r="I500" s="748"/>
      <c r="K500" s="493"/>
      <c r="L500" s="748"/>
      <c r="M500" s="493"/>
      <c r="N500" s="493"/>
      <c r="O500" s="493"/>
      <c r="P500" s="493"/>
      <c r="Q500" s="493"/>
      <c r="R500" s="493"/>
      <c r="S500" s="493"/>
      <c r="T500" s="493"/>
    </row>
    <row r="501" spans="4:20">
      <c r="D501" s="493"/>
      <c r="E501" s="748"/>
      <c r="G501" s="493"/>
      <c r="I501" s="748"/>
      <c r="K501" s="493"/>
      <c r="L501" s="748"/>
      <c r="M501" s="493"/>
      <c r="N501" s="493"/>
      <c r="O501" s="493"/>
      <c r="P501" s="493"/>
      <c r="Q501" s="493"/>
      <c r="R501" s="493"/>
      <c r="S501" s="493"/>
      <c r="T501" s="493"/>
    </row>
    <row r="502" spans="4:20">
      <c r="D502" s="493"/>
      <c r="E502" s="748"/>
      <c r="G502" s="493"/>
      <c r="I502" s="748"/>
      <c r="K502" s="493"/>
      <c r="L502" s="748"/>
      <c r="M502" s="493"/>
      <c r="N502" s="493"/>
      <c r="O502" s="493"/>
      <c r="P502" s="493"/>
      <c r="Q502" s="493"/>
      <c r="R502" s="493"/>
      <c r="S502" s="493"/>
      <c r="T502" s="493"/>
    </row>
    <row r="503" spans="4:20">
      <c r="D503" s="493"/>
      <c r="E503" s="748"/>
      <c r="G503" s="493"/>
      <c r="I503" s="748"/>
      <c r="K503" s="493"/>
      <c r="L503" s="748"/>
      <c r="M503" s="493"/>
      <c r="N503" s="493"/>
      <c r="O503" s="493"/>
      <c r="P503" s="493"/>
      <c r="Q503" s="493"/>
      <c r="R503" s="493"/>
      <c r="S503" s="493"/>
      <c r="T503" s="493"/>
    </row>
    <row r="504" spans="4:20">
      <c r="D504" s="493"/>
      <c r="E504" s="748"/>
      <c r="G504" s="493"/>
      <c r="I504" s="748"/>
      <c r="K504" s="493"/>
      <c r="L504" s="748"/>
      <c r="M504" s="493"/>
      <c r="N504" s="493"/>
      <c r="O504" s="493"/>
      <c r="P504" s="493"/>
      <c r="Q504" s="493"/>
      <c r="R504" s="493"/>
      <c r="S504" s="493"/>
      <c r="T504" s="493"/>
    </row>
    <row r="505" spans="4:20">
      <c r="D505" s="493"/>
      <c r="E505" s="748"/>
      <c r="G505" s="493"/>
      <c r="I505" s="748"/>
      <c r="K505" s="493"/>
      <c r="L505" s="748"/>
      <c r="M505" s="493"/>
      <c r="N505" s="493"/>
      <c r="O505" s="493"/>
      <c r="P505" s="493"/>
      <c r="Q505" s="493"/>
      <c r="R505" s="493"/>
      <c r="S505" s="493"/>
      <c r="T505" s="493"/>
    </row>
    <row r="506" spans="4:20">
      <c r="D506" s="493"/>
      <c r="E506" s="748"/>
      <c r="G506" s="493"/>
      <c r="I506" s="748"/>
      <c r="K506" s="493"/>
      <c r="L506" s="748"/>
      <c r="M506" s="493"/>
      <c r="N506" s="493"/>
      <c r="O506" s="493"/>
      <c r="P506" s="493"/>
      <c r="Q506" s="493"/>
      <c r="R506" s="493"/>
      <c r="S506" s="493"/>
      <c r="T506" s="493"/>
    </row>
    <row r="507" spans="4:20">
      <c r="D507" s="493"/>
      <c r="E507" s="748"/>
      <c r="G507" s="493"/>
      <c r="I507" s="748"/>
      <c r="K507" s="493"/>
      <c r="L507" s="748"/>
      <c r="M507" s="493"/>
      <c r="N507" s="493"/>
      <c r="O507" s="493"/>
      <c r="P507" s="493"/>
      <c r="Q507" s="493"/>
      <c r="R507" s="493"/>
      <c r="S507" s="493"/>
      <c r="T507" s="493"/>
    </row>
    <row r="508" spans="4:20">
      <c r="D508" s="493"/>
      <c r="E508" s="748"/>
      <c r="G508" s="493"/>
      <c r="I508" s="748"/>
      <c r="K508" s="493"/>
      <c r="L508" s="748"/>
      <c r="M508" s="493"/>
      <c r="N508" s="493"/>
      <c r="O508" s="493"/>
      <c r="P508" s="493"/>
      <c r="Q508" s="493"/>
      <c r="R508" s="493"/>
      <c r="S508" s="493"/>
      <c r="T508" s="493"/>
    </row>
    <row r="509" spans="4:20">
      <c r="D509" s="493"/>
      <c r="E509" s="748"/>
      <c r="G509" s="493"/>
      <c r="I509" s="748"/>
      <c r="K509" s="493"/>
      <c r="L509" s="748"/>
      <c r="M509" s="493"/>
      <c r="N509" s="493"/>
      <c r="O509" s="493"/>
      <c r="P509" s="493"/>
      <c r="Q509" s="493"/>
      <c r="R509" s="493"/>
      <c r="S509" s="493"/>
      <c r="T509" s="493"/>
    </row>
    <row r="510" spans="4:20">
      <c r="D510" s="493"/>
      <c r="E510" s="748"/>
      <c r="G510" s="493"/>
      <c r="I510" s="748"/>
      <c r="K510" s="493"/>
      <c r="L510" s="748"/>
      <c r="M510" s="493"/>
      <c r="N510" s="493"/>
      <c r="O510" s="493"/>
      <c r="P510" s="493"/>
      <c r="Q510" s="493"/>
      <c r="R510" s="493"/>
      <c r="S510" s="493"/>
      <c r="T510" s="493"/>
    </row>
    <row r="511" spans="4:20">
      <c r="D511" s="493"/>
      <c r="E511" s="748"/>
      <c r="G511" s="493"/>
      <c r="I511" s="748"/>
      <c r="K511" s="493"/>
      <c r="L511" s="748"/>
      <c r="M511" s="493"/>
      <c r="N511" s="493"/>
      <c r="O511" s="493"/>
      <c r="P511" s="493"/>
      <c r="Q511" s="493"/>
      <c r="R511" s="493"/>
      <c r="S511" s="493"/>
      <c r="T511" s="493"/>
    </row>
    <row r="512" spans="4:20">
      <c r="D512" s="493"/>
      <c r="E512" s="748"/>
      <c r="G512" s="493"/>
      <c r="I512" s="748"/>
      <c r="K512" s="493"/>
      <c r="L512" s="748"/>
      <c r="M512" s="493"/>
      <c r="N512" s="493"/>
      <c r="O512" s="493"/>
      <c r="P512" s="493"/>
      <c r="Q512" s="493"/>
      <c r="R512" s="493"/>
      <c r="S512" s="493"/>
      <c r="T512" s="493"/>
    </row>
    <row r="513" spans="4:20">
      <c r="D513" s="493"/>
      <c r="E513" s="748"/>
      <c r="G513" s="493"/>
      <c r="I513" s="748"/>
      <c r="K513" s="493"/>
      <c r="L513" s="748"/>
      <c r="M513" s="493"/>
      <c r="N513" s="493"/>
      <c r="O513" s="493"/>
      <c r="P513" s="493"/>
      <c r="Q513" s="493"/>
      <c r="R513" s="493"/>
      <c r="S513" s="493"/>
      <c r="T513" s="493"/>
    </row>
    <row r="514" spans="4:20">
      <c r="D514" s="493"/>
      <c r="E514" s="748"/>
      <c r="G514" s="493"/>
      <c r="I514" s="748"/>
      <c r="K514" s="493"/>
      <c r="L514" s="748"/>
      <c r="M514" s="493"/>
      <c r="N514" s="493"/>
      <c r="O514" s="493"/>
      <c r="P514" s="493"/>
      <c r="Q514" s="493"/>
      <c r="R514" s="493"/>
      <c r="S514" s="493"/>
      <c r="T514" s="493"/>
    </row>
    <row r="515" spans="4:20">
      <c r="D515" s="493"/>
      <c r="E515" s="748"/>
      <c r="G515" s="493"/>
      <c r="I515" s="748"/>
      <c r="K515" s="493"/>
      <c r="L515" s="748"/>
      <c r="M515" s="493"/>
      <c r="N515" s="493"/>
      <c r="O515" s="493"/>
      <c r="P515" s="493"/>
      <c r="Q515" s="493"/>
      <c r="R515" s="493"/>
      <c r="S515" s="493"/>
      <c r="T515" s="493"/>
    </row>
    <row r="516" spans="4:20">
      <c r="D516" s="493"/>
      <c r="E516" s="748"/>
      <c r="G516" s="493"/>
      <c r="I516" s="748"/>
      <c r="K516" s="493"/>
      <c r="L516" s="748"/>
      <c r="M516" s="493"/>
      <c r="N516" s="493"/>
      <c r="O516" s="493"/>
      <c r="P516" s="493"/>
      <c r="Q516" s="493"/>
      <c r="R516" s="493"/>
      <c r="S516" s="493"/>
      <c r="T516" s="493"/>
    </row>
    <row r="517" spans="4:20">
      <c r="D517" s="493"/>
      <c r="E517" s="748"/>
      <c r="G517" s="493"/>
      <c r="I517" s="748"/>
      <c r="K517" s="493"/>
      <c r="L517" s="748"/>
      <c r="M517" s="493"/>
      <c r="N517" s="493"/>
      <c r="O517" s="493"/>
      <c r="P517" s="493"/>
      <c r="Q517" s="493"/>
      <c r="R517" s="493"/>
      <c r="S517" s="493"/>
      <c r="T517" s="493"/>
    </row>
    <row r="518" spans="4:20">
      <c r="D518" s="493"/>
      <c r="E518" s="748"/>
      <c r="G518" s="493"/>
      <c r="I518" s="748"/>
      <c r="K518" s="493"/>
      <c r="L518" s="748"/>
      <c r="M518" s="493"/>
      <c r="N518" s="493"/>
      <c r="O518" s="493"/>
      <c r="P518" s="493"/>
      <c r="Q518" s="493"/>
      <c r="R518" s="493"/>
      <c r="S518" s="493"/>
      <c r="T518" s="493"/>
    </row>
    <row r="519" spans="4:20">
      <c r="D519" s="493"/>
      <c r="E519" s="748"/>
      <c r="G519" s="493"/>
      <c r="I519" s="748"/>
      <c r="K519" s="493"/>
      <c r="L519" s="748"/>
      <c r="M519" s="493"/>
      <c r="N519" s="493"/>
      <c r="O519" s="493"/>
      <c r="P519" s="493"/>
      <c r="Q519" s="493"/>
      <c r="R519" s="493"/>
      <c r="S519" s="493"/>
      <c r="T519" s="493"/>
    </row>
    <row r="520" spans="4:20">
      <c r="D520" s="493"/>
      <c r="E520" s="748"/>
      <c r="G520" s="493"/>
      <c r="I520" s="748"/>
      <c r="K520" s="493"/>
      <c r="L520" s="748"/>
      <c r="M520" s="493"/>
      <c r="N520" s="493"/>
      <c r="O520" s="493"/>
      <c r="P520" s="493"/>
      <c r="Q520" s="493"/>
      <c r="R520" s="493"/>
      <c r="S520" s="493"/>
      <c r="T520" s="493"/>
    </row>
    <row r="521" spans="4:20">
      <c r="D521" s="493"/>
      <c r="E521" s="748"/>
      <c r="G521" s="493"/>
      <c r="I521" s="748"/>
      <c r="K521" s="493"/>
      <c r="L521" s="748"/>
      <c r="M521" s="493"/>
      <c r="N521" s="493"/>
      <c r="O521" s="493"/>
      <c r="P521" s="493"/>
      <c r="Q521" s="493"/>
      <c r="R521" s="493"/>
      <c r="S521" s="493"/>
      <c r="T521" s="493"/>
    </row>
    <row r="522" spans="4:20">
      <c r="D522" s="493"/>
      <c r="E522" s="748"/>
      <c r="G522" s="493"/>
      <c r="I522" s="748"/>
      <c r="K522" s="493"/>
      <c r="L522" s="748"/>
      <c r="M522" s="493"/>
      <c r="N522" s="493"/>
      <c r="O522" s="493"/>
      <c r="P522" s="493"/>
      <c r="Q522" s="493"/>
      <c r="R522" s="493"/>
      <c r="S522" s="493"/>
      <c r="T522" s="493"/>
    </row>
    <row r="523" spans="4:20">
      <c r="D523" s="493"/>
      <c r="E523" s="748"/>
      <c r="G523" s="493"/>
      <c r="I523" s="748"/>
      <c r="K523" s="493"/>
      <c r="L523" s="748"/>
      <c r="M523" s="493"/>
      <c r="N523" s="493"/>
      <c r="O523" s="493"/>
      <c r="P523" s="493"/>
      <c r="Q523" s="493"/>
      <c r="R523" s="493"/>
      <c r="S523" s="493"/>
      <c r="T523" s="493"/>
    </row>
    <row r="524" spans="4:20">
      <c r="D524" s="493"/>
      <c r="E524" s="748"/>
      <c r="G524" s="493"/>
      <c r="I524" s="748"/>
      <c r="K524" s="493"/>
      <c r="L524" s="748"/>
      <c r="M524" s="493"/>
      <c r="N524" s="493"/>
      <c r="O524" s="493"/>
      <c r="P524" s="493"/>
      <c r="Q524" s="493"/>
      <c r="R524" s="493"/>
      <c r="S524" s="493"/>
      <c r="T524" s="493"/>
    </row>
    <row r="525" spans="4:20">
      <c r="D525" s="493"/>
      <c r="E525" s="748"/>
      <c r="G525" s="493"/>
      <c r="I525" s="748"/>
      <c r="K525" s="493"/>
      <c r="L525" s="748"/>
      <c r="M525" s="493"/>
      <c r="N525" s="493"/>
      <c r="O525" s="493"/>
      <c r="P525" s="493"/>
      <c r="Q525" s="493"/>
      <c r="R525" s="493"/>
      <c r="S525" s="493"/>
      <c r="T525" s="493"/>
    </row>
    <row r="526" spans="4:20">
      <c r="D526" s="493"/>
      <c r="E526" s="748"/>
      <c r="G526" s="493"/>
      <c r="I526" s="748"/>
      <c r="K526" s="493"/>
      <c r="L526" s="748"/>
      <c r="M526" s="493"/>
      <c r="N526" s="493"/>
      <c r="O526" s="493"/>
      <c r="P526" s="493"/>
      <c r="Q526" s="493"/>
      <c r="R526" s="493"/>
      <c r="S526" s="493"/>
      <c r="T526" s="493"/>
    </row>
    <row r="527" spans="4:20">
      <c r="D527" s="493"/>
      <c r="E527" s="748"/>
      <c r="G527" s="493"/>
      <c r="I527" s="748"/>
      <c r="K527" s="493"/>
      <c r="L527" s="748"/>
      <c r="M527" s="493"/>
      <c r="N527" s="493"/>
      <c r="O527" s="493"/>
      <c r="P527" s="493"/>
      <c r="Q527" s="493"/>
      <c r="R527" s="493"/>
      <c r="S527" s="493"/>
      <c r="T527" s="493"/>
    </row>
    <row r="528" spans="4:20">
      <c r="D528" s="493"/>
      <c r="E528" s="748"/>
      <c r="G528" s="493"/>
      <c r="I528" s="748"/>
      <c r="K528" s="493"/>
      <c r="L528" s="748"/>
      <c r="M528" s="493"/>
      <c r="N528" s="493"/>
      <c r="O528" s="493"/>
      <c r="P528" s="493"/>
      <c r="Q528" s="493"/>
      <c r="R528" s="493"/>
      <c r="S528" s="493"/>
      <c r="T528" s="493"/>
    </row>
    <row r="529" spans="4:20">
      <c r="D529" s="493"/>
      <c r="E529" s="748"/>
      <c r="G529" s="493"/>
      <c r="I529" s="748"/>
      <c r="K529" s="493"/>
      <c r="L529" s="748"/>
      <c r="M529" s="493"/>
      <c r="N529" s="493"/>
      <c r="O529" s="493"/>
      <c r="P529" s="493"/>
      <c r="Q529" s="493"/>
      <c r="R529" s="493"/>
      <c r="S529" s="493"/>
      <c r="T529" s="493"/>
    </row>
    <row r="530" spans="4:20">
      <c r="D530" s="493"/>
      <c r="E530" s="748"/>
      <c r="G530" s="493"/>
      <c r="I530" s="748"/>
      <c r="K530" s="493"/>
      <c r="L530" s="748"/>
      <c r="M530" s="493"/>
      <c r="N530" s="493"/>
      <c r="O530" s="493"/>
      <c r="P530" s="493"/>
      <c r="Q530" s="493"/>
      <c r="R530" s="493"/>
      <c r="S530" s="493"/>
      <c r="T530" s="493"/>
    </row>
    <row r="531" spans="4:20">
      <c r="D531" s="493"/>
      <c r="E531" s="748"/>
      <c r="G531" s="493"/>
      <c r="I531" s="748"/>
      <c r="K531" s="493"/>
      <c r="L531" s="748"/>
      <c r="M531" s="493"/>
      <c r="N531" s="493"/>
      <c r="O531" s="493"/>
      <c r="P531" s="493"/>
      <c r="Q531" s="493"/>
      <c r="R531" s="493"/>
      <c r="S531" s="493"/>
      <c r="T531" s="493"/>
    </row>
    <row r="532" spans="4:20">
      <c r="D532" s="493"/>
      <c r="E532" s="748"/>
      <c r="G532" s="493"/>
      <c r="I532" s="748"/>
      <c r="K532" s="493"/>
      <c r="L532" s="748"/>
      <c r="M532" s="493"/>
      <c r="N532" s="493"/>
      <c r="O532" s="493"/>
      <c r="P532" s="493"/>
      <c r="Q532" s="493"/>
      <c r="R532" s="493"/>
      <c r="S532" s="493"/>
      <c r="T532" s="493"/>
    </row>
    <row r="533" spans="4:20">
      <c r="D533" s="493"/>
      <c r="E533" s="748"/>
      <c r="G533" s="493"/>
      <c r="I533" s="748"/>
      <c r="K533" s="493"/>
      <c r="L533" s="748"/>
      <c r="M533" s="493"/>
      <c r="N533" s="493"/>
      <c r="O533" s="493"/>
      <c r="P533" s="493"/>
      <c r="Q533" s="493"/>
      <c r="R533" s="493"/>
      <c r="S533" s="493"/>
      <c r="T533" s="493"/>
    </row>
    <row r="534" spans="4:20">
      <c r="D534" s="493"/>
      <c r="E534" s="748"/>
      <c r="G534" s="493"/>
      <c r="I534" s="748"/>
      <c r="K534" s="493"/>
      <c r="L534" s="748"/>
      <c r="M534" s="493"/>
      <c r="N534" s="493"/>
      <c r="O534" s="493"/>
      <c r="P534" s="493"/>
      <c r="Q534" s="493"/>
      <c r="R534" s="493"/>
      <c r="S534" s="493"/>
      <c r="T534" s="493"/>
    </row>
    <row r="535" spans="4:20">
      <c r="D535" s="493"/>
      <c r="E535" s="748"/>
      <c r="G535" s="493"/>
      <c r="I535" s="748"/>
      <c r="K535" s="493"/>
      <c r="L535" s="748"/>
      <c r="M535" s="493"/>
      <c r="N535" s="493"/>
      <c r="O535" s="493"/>
      <c r="P535" s="493"/>
      <c r="Q535" s="493"/>
      <c r="R535" s="493"/>
      <c r="S535" s="493"/>
      <c r="T535" s="493"/>
    </row>
    <row r="536" spans="4:20">
      <c r="D536" s="493"/>
      <c r="E536" s="748"/>
      <c r="G536" s="493"/>
      <c r="I536" s="748"/>
      <c r="K536" s="493"/>
      <c r="L536" s="748"/>
      <c r="M536" s="493"/>
      <c r="N536" s="493"/>
      <c r="O536" s="493"/>
      <c r="P536" s="493"/>
      <c r="Q536" s="493"/>
      <c r="R536" s="493"/>
      <c r="S536" s="493"/>
      <c r="T536" s="493"/>
    </row>
    <row r="537" spans="4:20">
      <c r="D537" s="493"/>
      <c r="E537" s="748"/>
      <c r="G537" s="493"/>
      <c r="I537" s="748"/>
      <c r="K537" s="493"/>
      <c r="L537" s="748"/>
      <c r="M537" s="493"/>
      <c r="N537" s="493"/>
      <c r="O537" s="493"/>
      <c r="P537" s="493"/>
      <c r="Q537" s="493"/>
      <c r="R537" s="493"/>
      <c r="S537" s="493"/>
      <c r="T537" s="493"/>
    </row>
    <row r="538" spans="4:20">
      <c r="D538" s="493"/>
      <c r="E538" s="748"/>
      <c r="G538" s="493"/>
      <c r="I538" s="748"/>
      <c r="K538" s="493"/>
      <c r="L538" s="748"/>
      <c r="M538" s="493"/>
      <c r="N538" s="493"/>
      <c r="O538" s="493"/>
      <c r="P538" s="493"/>
      <c r="Q538" s="493"/>
      <c r="R538" s="493"/>
      <c r="S538" s="493"/>
      <c r="T538" s="493"/>
    </row>
    <row r="539" spans="4:20">
      <c r="D539" s="493"/>
      <c r="E539" s="748"/>
      <c r="G539" s="493"/>
      <c r="I539" s="748"/>
      <c r="K539" s="493"/>
      <c r="L539" s="748"/>
      <c r="M539" s="493"/>
      <c r="N539" s="493"/>
      <c r="O539" s="493"/>
      <c r="P539" s="493"/>
      <c r="Q539" s="493"/>
      <c r="R539" s="493"/>
      <c r="S539" s="493"/>
      <c r="T539" s="493"/>
    </row>
    <row r="540" spans="4:20">
      <c r="D540" s="493"/>
      <c r="E540" s="748"/>
      <c r="G540" s="493"/>
      <c r="I540" s="748"/>
      <c r="K540" s="493"/>
      <c r="L540" s="748"/>
      <c r="M540" s="493"/>
      <c r="N540" s="493"/>
      <c r="O540" s="493"/>
      <c r="P540" s="493"/>
      <c r="Q540" s="493"/>
      <c r="R540" s="493"/>
      <c r="S540" s="493"/>
      <c r="T540" s="493"/>
    </row>
    <row r="541" spans="4:20">
      <c r="D541" s="493"/>
      <c r="E541" s="748"/>
      <c r="G541" s="493"/>
      <c r="I541" s="748"/>
      <c r="K541" s="493"/>
      <c r="L541" s="748"/>
      <c r="M541" s="493"/>
      <c r="N541" s="493"/>
      <c r="O541" s="493"/>
      <c r="P541" s="493"/>
      <c r="Q541" s="493"/>
      <c r="R541" s="493"/>
      <c r="S541" s="493"/>
      <c r="T541" s="493"/>
    </row>
    <row r="542" spans="4:20">
      <c r="D542" s="493"/>
      <c r="E542" s="748"/>
      <c r="G542" s="493"/>
      <c r="I542" s="748"/>
      <c r="K542" s="493"/>
      <c r="L542" s="748"/>
      <c r="M542" s="493"/>
      <c r="N542" s="493"/>
      <c r="O542" s="493"/>
      <c r="P542" s="493"/>
      <c r="Q542" s="493"/>
      <c r="R542" s="493"/>
      <c r="S542" s="493"/>
      <c r="T542" s="493"/>
    </row>
    <row r="543" spans="4:20">
      <c r="D543" s="493"/>
      <c r="E543" s="748"/>
      <c r="G543" s="493"/>
      <c r="I543" s="748"/>
      <c r="K543" s="493"/>
      <c r="L543" s="748"/>
      <c r="M543" s="493"/>
      <c r="N543" s="493"/>
      <c r="O543" s="493"/>
      <c r="P543" s="493"/>
      <c r="Q543" s="493"/>
      <c r="R543" s="493"/>
      <c r="S543" s="493"/>
      <c r="T543" s="493"/>
    </row>
    <row r="544" spans="4:20">
      <c r="D544" s="493"/>
      <c r="E544" s="748"/>
      <c r="G544" s="493"/>
      <c r="I544" s="748"/>
      <c r="K544" s="493"/>
      <c r="L544" s="748"/>
      <c r="M544" s="493"/>
      <c r="N544" s="493"/>
      <c r="O544" s="493"/>
      <c r="P544" s="493"/>
      <c r="Q544" s="493"/>
      <c r="R544" s="493"/>
      <c r="S544" s="493"/>
      <c r="T544" s="493"/>
    </row>
    <row r="545" spans="4:20">
      <c r="D545" s="493"/>
      <c r="E545" s="748"/>
      <c r="G545" s="493"/>
      <c r="I545" s="748"/>
      <c r="K545" s="493"/>
      <c r="L545" s="748"/>
      <c r="M545" s="493"/>
      <c r="N545" s="493"/>
      <c r="O545" s="493"/>
      <c r="P545" s="493"/>
      <c r="Q545" s="493"/>
      <c r="R545" s="493"/>
      <c r="S545" s="493"/>
      <c r="T545" s="493"/>
    </row>
    <row r="546" spans="4:20">
      <c r="D546" s="493"/>
      <c r="E546" s="748"/>
      <c r="G546" s="493"/>
      <c r="I546" s="748"/>
      <c r="K546" s="493"/>
      <c r="L546" s="748"/>
      <c r="M546" s="493"/>
      <c r="N546" s="493"/>
      <c r="O546" s="493"/>
      <c r="P546" s="493"/>
      <c r="Q546" s="493"/>
      <c r="R546" s="493"/>
      <c r="S546" s="493"/>
      <c r="T546" s="493"/>
    </row>
    <row r="547" spans="4:20">
      <c r="D547" s="493"/>
      <c r="E547" s="748"/>
      <c r="G547" s="493"/>
      <c r="I547" s="748"/>
      <c r="K547" s="493"/>
      <c r="L547" s="748"/>
      <c r="M547" s="493"/>
      <c r="N547" s="493"/>
      <c r="O547" s="493"/>
      <c r="P547" s="493"/>
      <c r="Q547" s="493"/>
      <c r="R547" s="493"/>
      <c r="S547" s="493"/>
      <c r="T547" s="493"/>
    </row>
    <row r="548" spans="4:20">
      <c r="D548" s="493"/>
      <c r="E548" s="748"/>
      <c r="G548" s="493"/>
      <c r="I548" s="748"/>
      <c r="K548" s="493"/>
      <c r="L548" s="748"/>
      <c r="M548" s="493"/>
      <c r="N548" s="493"/>
      <c r="O548" s="493"/>
      <c r="P548" s="493"/>
      <c r="Q548" s="493"/>
      <c r="R548" s="493"/>
      <c r="S548" s="493"/>
      <c r="T548" s="493"/>
    </row>
    <row r="549" spans="4:20">
      <c r="D549" s="493"/>
      <c r="E549" s="748"/>
      <c r="G549" s="493"/>
      <c r="I549" s="748"/>
      <c r="K549" s="493"/>
      <c r="L549" s="748"/>
      <c r="M549" s="493"/>
      <c r="N549" s="493"/>
      <c r="O549" s="493"/>
      <c r="P549" s="493"/>
      <c r="Q549" s="493"/>
      <c r="R549" s="493"/>
      <c r="S549" s="493"/>
      <c r="T549" s="493"/>
    </row>
    <row r="550" spans="4:20">
      <c r="D550" s="493"/>
      <c r="E550" s="748"/>
      <c r="G550" s="493"/>
      <c r="I550" s="748"/>
      <c r="K550" s="493"/>
      <c r="L550" s="748"/>
      <c r="M550" s="493"/>
      <c r="N550" s="493"/>
      <c r="O550" s="493"/>
      <c r="P550" s="493"/>
      <c r="Q550" s="493"/>
      <c r="R550" s="493"/>
      <c r="S550" s="493"/>
      <c r="T550" s="493"/>
    </row>
    <row r="551" spans="4:20">
      <c r="D551" s="493"/>
      <c r="E551" s="748"/>
      <c r="G551" s="493"/>
      <c r="I551" s="748"/>
      <c r="K551" s="493"/>
      <c r="L551" s="748"/>
      <c r="M551" s="493"/>
      <c r="N551" s="493"/>
      <c r="O551" s="493"/>
      <c r="P551" s="493"/>
      <c r="Q551" s="493"/>
      <c r="R551" s="493"/>
      <c r="S551" s="493"/>
      <c r="T551" s="493"/>
    </row>
    <row r="552" spans="4:20">
      <c r="D552" s="493"/>
      <c r="E552" s="748"/>
      <c r="G552" s="493"/>
      <c r="I552" s="748"/>
      <c r="K552" s="493"/>
      <c r="L552" s="748"/>
      <c r="M552" s="493"/>
      <c r="N552" s="493"/>
      <c r="O552" s="493"/>
      <c r="P552" s="493"/>
      <c r="Q552" s="493"/>
      <c r="R552" s="493"/>
      <c r="S552" s="493"/>
      <c r="T552" s="493"/>
    </row>
    <row r="553" spans="4:20">
      <c r="D553" s="493"/>
      <c r="E553" s="748"/>
      <c r="G553" s="493"/>
      <c r="I553" s="748"/>
      <c r="K553" s="493"/>
      <c r="L553" s="748"/>
      <c r="M553" s="493"/>
      <c r="N553" s="493"/>
      <c r="O553" s="493"/>
      <c r="P553" s="493"/>
      <c r="Q553" s="493"/>
      <c r="R553" s="493"/>
      <c r="S553" s="493"/>
      <c r="T553" s="493"/>
    </row>
    <row r="554" spans="4:20">
      <c r="D554" s="493"/>
      <c r="E554" s="748"/>
      <c r="G554" s="493"/>
      <c r="I554" s="748"/>
      <c r="K554" s="493"/>
      <c r="L554" s="748"/>
      <c r="M554" s="493"/>
      <c r="N554" s="493"/>
      <c r="O554" s="493"/>
      <c r="P554" s="493"/>
      <c r="Q554" s="493"/>
      <c r="R554" s="493"/>
      <c r="S554" s="493"/>
      <c r="T554" s="493"/>
    </row>
    <row r="555" spans="4:20">
      <c r="D555" s="493"/>
      <c r="E555" s="748"/>
      <c r="G555" s="493"/>
      <c r="I555" s="748"/>
      <c r="K555" s="493"/>
      <c r="L555" s="748"/>
      <c r="M555" s="493"/>
      <c r="N555" s="493"/>
      <c r="O555" s="493"/>
      <c r="P555" s="493"/>
      <c r="Q555" s="493"/>
      <c r="R555" s="493"/>
      <c r="S555" s="493"/>
      <c r="T555" s="493"/>
    </row>
    <row r="556" spans="4:20">
      <c r="D556" s="493"/>
      <c r="E556" s="748"/>
      <c r="G556" s="493"/>
      <c r="I556" s="748"/>
      <c r="K556" s="493"/>
      <c r="L556" s="748"/>
      <c r="M556" s="493"/>
      <c r="N556" s="493"/>
      <c r="O556" s="493"/>
      <c r="P556" s="493"/>
      <c r="Q556" s="493"/>
      <c r="R556" s="493"/>
      <c r="S556" s="493"/>
      <c r="T556" s="493"/>
    </row>
    <row r="557" spans="4:20">
      <c r="D557" s="493"/>
      <c r="E557" s="748"/>
      <c r="G557" s="493"/>
      <c r="I557" s="748"/>
      <c r="K557" s="493"/>
      <c r="L557" s="748"/>
      <c r="M557" s="493"/>
      <c r="N557" s="493"/>
      <c r="O557" s="493"/>
      <c r="P557" s="493"/>
      <c r="Q557" s="493"/>
      <c r="R557" s="493"/>
      <c r="S557" s="493"/>
      <c r="T557" s="493"/>
    </row>
    <row r="558" spans="4:20">
      <c r="D558" s="493"/>
      <c r="E558" s="748"/>
      <c r="G558" s="493"/>
      <c r="I558" s="748"/>
      <c r="K558" s="493"/>
      <c r="L558" s="748"/>
      <c r="M558" s="493"/>
      <c r="N558" s="493"/>
      <c r="O558" s="493"/>
      <c r="P558" s="493"/>
      <c r="Q558" s="493"/>
      <c r="R558" s="493"/>
      <c r="S558" s="493"/>
      <c r="T558" s="493"/>
    </row>
    <row r="559" spans="4:20">
      <c r="D559" s="493"/>
      <c r="E559" s="748"/>
      <c r="G559" s="493"/>
      <c r="I559" s="748"/>
      <c r="K559" s="493"/>
      <c r="L559" s="748"/>
      <c r="M559" s="493"/>
      <c r="N559" s="493"/>
      <c r="O559" s="493"/>
      <c r="P559" s="493"/>
      <c r="Q559" s="493"/>
      <c r="R559" s="493"/>
      <c r="S559" s="493"/>
      <c r="T559" s="493"/>
    </row>
    <row r="560" spans="4:20">
      <c r="D560" s="493"/>
      <c r="E560" s="748"/>
      <c r="G560" s="493"/>
      <c r="I560" s="748"/>
      <c r="K560" s="493"/>
      <c r="L560" s="748"/>
      <c r="M560" s="493"/>
      <c r="N560" s="493"/>
      <c r="O560" s="493"/>
      <c r="P560" s="493"/>
      <c r="Q560" s="493"/>
      <c r="R560" s="493"/>
      <c r="S560" s="493"/>
      <c r="T560" s="493"/>
    </row>
    <row r="561" spans="4:20">
      <c r="D561" s="493"/>
      <c r="E561" s="748"/>
      <c r="G561" s="493"/>
      <c r="I561" s="748"/>
      <c r="K561" s="493"/>
      <c r="L561" s="748"/>
      <c r="M561" s="493"/>
      <c r="N561" s="493"/>
      <c r="O561" s="493"/>
      <c r="P561" s="493"/>
      <c r="Q561" s="493"/>
      <c r="R561" s="493"/>
      <c r="S561" s="493"/>
      <c r="T561" s="493"/>
    </row>
    <row r="562" spans="4:20">
      <c r="D562" s="493"/>
      <c r="E562" s="748"/>
      <c r="G562" s="493"/>
      <c r="I562" s="748"/>
      <c r="K562" s="493"/>
      <c r="L562" s="748"/>
      <c r="M562" s="493"/>
      <c r="N562" s="493"/>
      <c r="O562" s="493"/>
      <c r="P562" s="493"/>
      <c r="Q562" s="493"/>
      <c r="R562" s="493"/>
      <c r="S562" s="493"/>
      <c r="T562" s="493"/>
    </row>
    <row r="563" spans="4:20">
      <c r="D563" s="493"/>
      <c r="E563" s="748"/>
      <c r="G563" s="493"/>
      <c r="I563" s="748"/>
      <c r="K563" s="493"/>
      <c r="L563" s="748"/>
      <c r="M563" s="493"/>
      <c r="N563" s="493"/>
      <c r="O563" s="493"/>
      <c r="P563" s="493"/>
      <c r="Q563" s="493"/>
      <c r="R563" s="493"/>
      <c r="S563" s="493"/>
      <c r="T563" s="493"/>
    </row>
    <row r="564" spans="4:20">
      <c r="D564" s="493"/>
      <c r="E564" s="748"/>
      <c r="G564" s="493"/>
      <c r="I564" s="748"/>
      <c r="K564" s="493"/>
      <c r="L564" s="748"/>
      <c r="M564" s="493"/>
      <c r="N564" s="493"/>
      <c r="O564" s="493"/>
      <c r="P564" s="493"/>
      <c r="Q564" s="493"/>
      <c r="R564" s="493"/>
      <c r="S564" s="493"/>
      <c r="T564" s="493"/>
    </row>
    <row r="565" spans="4:20">
      <c r="D565" s="493"/>
      <c r="E565" s="748"/>
      <c r="G565" s="493"/>
      <c r="I565" s="748"/>
      <c r="K565" s="493"/>
      <c r="L565" s="748"/>
      <c r="M565" s="493"/>
      <c r="N565" s="493"/>
      <c r="O565" s="493"/>
      <c r="P565" s="493"/>
      <c r="Q565" s="493"/>
      <c r="R565" s="493"/>
      <c r="S565" s="493"/>
      <c r="T565" s="493"/>
    </row>
    <row r="566" spans="4:20">
      <c r="D566" s="493"/>
      <c r="E566" s="748"/>
      <c r="G566" s="493"/>
      <c r="I566" s="748"/>
      <c r="K566" s="493"/>
      <c r="L566" s="748"/>
      <c r="M566" s="493"/>
      <c r="N566" s="493"/>
      <c r="O566" s="493"/>
      <c r="P566" s="493"/>
      <c r="Q566" s="493"/>
      <c r="R566" s="493"/>
      <c r="S566" s="493"/>
      <c r="T566" s="493"/>
    </row>
    <row r="567" spans="4:20">
      <c r="D567" s="493"/>
      <c r="E567" s="748"/>
      <c r="G567" s="493"/>
      <c r="I567" s="748"/>
      <c r="K567" s="493"/>
      <c r="L567" s="748"/>
      <c r="M567" s="493"/>
      <c r="N567" s="493"/>
      <c r="O567" s="493"/>
      <c r="P567" s="493"/>
      <c r="Q567" s="493"/>
      <c r="R567" s="493"/>
      <c r="S567" s="493"/>
      <c r="T567" s="493"/>
    </row>
    <row r="568" spans="4:20">
      <c r="D568" s="493"/>
      <c r="E568" s="748"/>
      <c r="G568" s="493"/>
      <c r="I568" s="748"/>
      <c r="K568" s="493"/>
      <c r="L568" s="748"/>
      <c r="M568" s="493"/>
      <c r="N568" s="493"/>
      <c r="O568" s="493"/>
      <c r="P568" s="493"/>
      <c r="Q568" s="493"/>
      <c r="R568" s="493"/>
      <c r="S568" s="493"/>
      <c r="T568" s="493"/>
    </row>
    <row r="569" spans="4:20">
      <c r="D569" s="493"/>
      <c r="E569" s="748"/>
      <c r="G569" s="493"/>
      <c r="I569" s="748"/>
      <c r="K569" s="493"/>
      <c r="L569" s="748"/>
      <c r="M569" s="493"/>
      <c r="N569" s="493"/>
      <c r="O569" s="493"/>
      <c r="P569" s="493"/>
      <c r="Q569" s="493"/>
      <c r="R569" s="493"/>
      <c r="S569" s="493"/>
      <c r="T569" s="493"/>
    </row>
    <row r="570" spans="4:20">
      <c r="D570" s="493"/>
      <c r="E570" s="748"/>
      <c r="G570" s="493"/>
      <c r="I570" s="748"/>
      <c r="K570" s="493"/>
      <c r="L570" s="748"/>
      <c r="M570" s="493"/>
      <c r="N570" s="493"/>
      <c r="O570" s="493"/>
      <c r="P570" s="493"/>
      <c r="Q570" s="493"/>
      <c r="R570" s="493"/>
      <c r="S570" s="493"/>
      <c r="T570" s="493"/>
    </row>
    <row r="571" spans="4:20">
      <c r="D571" s="493"/>
      <c r="E571" s="748"/>
      <c r="G571" s="493"/>
      <c r="I571" s="748"/>
      <c r="K571" s="493"/>
      <c r="L571" s="748"/>
      <c r="M571" s="493"/>
      <c r="N571" s="493"/>
      <c r="O571" s="493"/>
      <c r="P571" s="493"/>
      <c r="Q571" s="493"/>
      <c r="R571" s="493"/>
      <c r="S571" s="493"/>
      <c r="T571" s="493"/>
    </row>
    <row r="572" spans="4:20">
      <c r="D572" s="493"/>
      <c r="E572" s="748"/>
      <c r="G572" s="493"/>
      <c r="I572" s="748"/>
      <c r="K572" s="493"/>
      <c r="L572" s="748"/>
      <c r="M572" s="493"/>
      <c r="N572" s="493"/>
      <c r="O572" s="493"/>
      <c r="P572" s="493"/>
      <c r="Q572" s="493"/>
      <c r="R572" s="493"/>
      <c r="S572" s="493"/>
      <c r="T572" s="493"/>
    </row>
    <row r="573" spans="4:20">
      <c r="D573" s="493"/>
      <c r="E573" s="748"/>
      <c r="G573" s="493"/>
      <c r="I573" s="748"/>
      <c r="K573" s="493"/>
      <c r="L573" s="748"/>
      <c r="M573" s="493"/>
      <c r="N573" s="493"/>
      <c r="O573" s="493"/>
      <c r="P573" s="493"/>
      <c r="Q573" s="493"/>
      <c r="R573" s="493"/>
      <c r="S573" s="493"/>
      <c r="T573" s="493"/>
    </row>
    <row r="574" spans="4:20">
      <c r="D574" s="493"/>
      <c r="E574" s="748"/>
      <c r="G574" s="493"/>
      <c r="I574" s="748"/>
      <c r="K574" s="493"/>
      <c r="L574" s="748"/>
      <c r="M574" s="493"/>
      <c r="N574" s="493"/>
      <c r="O574" s="493"/>
      <c r="P574" s="493"/>
      <c r="Q574" s="493"/>
      <c r="R574" s="493"/>
      <c r="S574" s="493"/>
      <c r="T574" s="493"/>
    </row>
    <row r="575" spans="4:20">
      <c r="D575" s="493"/>
      <c r="E575" s="748"/>
      <c r="G575" s="493"/>
      <c r="I575" s="748"/>
      <c r="K575" s="493"/>
      <c r="L575" s="748"/>
      <c r="M575" s="493"/>
      <c r="N575" s="493"/>
      <c r="O575" s="493"/>
      <c r="P575" s="493"/>
      <c r="Q575" s="493"/>
      <c r="R575" s="493"/>
      <c r="S575" s="493"/>
      <c r="T575" s="493"/>
    </row>
    <row r="576" spans="4:20">
      <c r="D576" s="493"/>
      <c r="E576" s="748"/>
      <c r="G576" s="493"/>
      <c r="I576" s="748"/>
      <c r="K576" s="493"/>
      <c r="L576" s="748"/>
      <c r="M576" s="493"/>
      <c r="N576" s="493"/>
      <c r="O576" s="493"/>
      <c r="P576" s="493"/>
      <c r="Q576" s="493"/>
      <c r="R576" s="493"/>
      <c r="S576" s="493"/>
      <c r="T576" s="493"/>
    </row>
    <row r="577" spans="4:20">
      <c r="D577" s="493"/>
      <c r="E577" s="748"/>
      <c r="G577" s="493"/>
      <c r="I577" s="748"/>
      <c r="K577" s="493"/>
      <c r="L577" s="748"/>
      <c r="M577" s="493"/>
      <c r="N577" s="493"/>
      <c r="O577" s="493"/>
      <c r="P577" s="493"/>
      <c r="Q577" s="493"/>
      <c r="R577" s="493"/>
      <c r="S577" s="493"/>
      <c r="T577" s="493"/>
    </row>
    <row r="578" spans="4:20">
      <c r="D578" s="493"/>
      <c r="E578" s="748"/>
      <c r="G578" s="493"/>
      <c r="I578" s="748"/>
      <c r="K578" s="493"/>
      <c r="L578" s="748"/>
      <c r="M578" s="493"/>
      <c r="N578" s="493"/>
      <c r="O578" s="493"/>
      <c r="P578" s="493"/>
      <c r="Q578" s="493"/>
      <c r="R578" s="493"/>
      <c r="S578" s="493"/>
      <c r="T578" s="493"/>
    </row>
    <row r="579" spans="4:20">
      <c r="D579" s="493"/>
      <c r="E579" s="748"/>
      <c r="G579" s="493"/>
      <c r="I579" s="748"/>
      <c r="K579" s="493"/>
      <c r="L579" s="748"/>
      <c r="M579" s="493"/>
      <c r="N579" s="493"/>
      <c r="O579" s="493"/>
      <c r="P579" s="493"/>
      <c r="Q579" s="493"/>
      <c r="R579" s="493"/>
      <c r="S579" s="493"/>
      <c r="T579" s="493"/>
    </row>
    <row r="580" spans="4:20">
      <c r="D580" s="493"/>
      <c r="E580" s="748"/>
      <c r="G580" s="493"/>
      <c r="I580" s="748"/>
      <c r="K580" s="493"/>
      <c r="L580" s="748"/>
      <c r="M580" s="493"/>
      <c r="N580" s="493"/>
      <c r="O580" s="493"/>
      <c r="P580" s="493"/>
      <c r="Q580" s="493"/>
      <c r="R580" s="493"/>
      <c r="S580" s="493"/>
      <c r="T580" s="493"/>
    </row>
    <row r="581" spans="4:20">
      <c r="D581" s="493"/>
      <c r="E581" s="748"/>
      <c r="G581" s="493"/>
      <c r="I581" s="748"/>
      <c r="K581" s="493"/>
      <c r="L581" s="748"/>
      <c r="M581" s="493"/>
      <c r="N581" s="493"/>
      <c r="O581" s="493"/>
      <c r="P581" s="493"/>
      <c r="Q581" s="493"/>
      <c r="R581" s="493"/>
      <c r="S581" s="493"/>
      <c r="T581" s="493"/>
    </row>
    <row r="582" spans="4:20">
      <c r="D582" s="493"/>
      <c r="E582" s="748"/>
      <c r="G582" s="493"/>
      <c r="I582" s="748"/>
      <c r="K582" s="493"/>
      <c r="L582" s="748"/>
      <c r="M582" s="493"/>
      <c r="N582" s="493"/>
      <c r="O582" s="493"/>
      <c r="P582" s="493"/>
      <c r="Q582" s="493"/>
      <c r="R582" s="493"/>
      <c r="S582" s="493"/>
      <c r="T582" s="493"/>
    </row>
    <row r="583" spans="4:20">
      <c r="D583" s="493"/>
      <c r="E583" s="748"/>
      <c r="G583" s="493"/>
      <c r="I583" s="748"/>
      <c r="K583" s="493"/>
      <c r="L583" s="748"/>
      <c r="M583" s="493"/>
      <c r="N583" s="493"/>
      <c r="O583" s="493"/>
      <c r="P583" s="493"/>
      <c r="Q583" s="493"/>
      <c r="R583" s="493"/>
      <c r="S583" s="493"/>
      <c r="T583" s="493"/>
    </row>
    <row r="584" spans="4:20">
      <c r="D584" s="493"/>
      <c r="E584" s="748"/>
      <c r="G584" s="493"/>
      <c r="I584" s="748"/>
      <c r="K584" s="493"/>
      <c r="L584" s="748"/>
      <c r="M584" s="493"/>
      <c r="N584" s="493"/>
      <c r="O584" s="493"/>
      <c r="P584" s="493"/>
      <c r="Q584" s="493"/>
      <c r="R584" s="493"/>
      <c r="S584" s="493"/>
      <c r="T584" s="493"/>
    </row>
    <row r="585" spans="4:20">
      <c r="D585" s="493"/>
      <c r="E585" s="748"/>
      <c r="G585" s="493"/>
      <c r="I585" s="748"/>
      <c r="K585" s="493"/>
      <c r="L585" s="748"/>
      <c r="M585" s="493"/>
      <c r="N585" s="493"/>
      <c r="O585" s="493"/>
      <c r="P585" s="493"/>
      <c r="Q585" s="493"/>
      <c r="R585" s="493"/>
      <c r="S585" s="493"/>
      <c r="T585" s="493"/>
    </row>
    <row r="586" spans="4:20">
      <c r="D586" s="493"/>
      <c r="E586" s="748"/>
      <c r="G586" s="493"/>
      <c r="I586" s="748"/>
      <c r="K586" s="493"/>
      <c r="L586" s="748"/>
      <c r="M586" s="493"/>
      <c r="N586" s="493"/>
      <c r="O586" s="493"/>
      <c r="P586" s="493"/>
      <c r="Q586" s="493"/>
      <c r="R586" s="493"/>
      <c r="S586" s="493"/>
      <c r="T586" s="493"/>
    </row>
    <row r="587" spans="4:20">
      <c r="D587" s="493"/>
      <c r="E587" s="748"/>
      <c r="G587" s="493"/>
      <c r="I587" s="748"/>
      <c r="K587" s="493"/>
      <c r="L587" s="748"/>
      <c r="M587" s="493"/>
      <c r="N587" s="493"/>
      <c r="O587" s="493"/>
      <c r="P587" s="493"/>
      <c r="Q587" s="493"/>
      <c r="R587" s="493"/>
      <c r="S587" s="493"/>
      <c r="T587" s="493"/>
    </row>
    <row r="588" spans="4:20">
      <c r="D588" s="493"/>
      <c r="E588" s="748"/>
      <c r="G588" s="493"/>
      <c r="I588" s="748"/>
      <c r="K588" s="493"/>
      <c r="L588" s="748"/>
      <c r="M588" s="493"/>
      <c r="N588" s="493"/>
      <c r="O588" s="493"/>
      <c r="P588" s="493"/>
      <c r="Q588" s="493"/>
      <c r="R588" s="493"/>
      <c r="S588" s="493"/>
      <c r="T588" s="493"/>
    </row>
    <row r="589" spans="4:20">
      <c r="D589" s="493"/>
      <c r="E589" s="748"/>
      <c r="G589" s="493"/>
      <c r="I589" s="748"/>
      <c r="K589" s="493"/>
      <c r="L589" s="748"/>
      <c r="M589" s="493"/>
      <c r="N589" s="493"/>
      <c r="O589" s="493"/>
      <c r="P589" s="493"/>
      <c r="Q589" s="493"/>
      <c r="R589" s="493"/>
      <c r="S589" s="493"/>
      <c r="T589" s="493"/>
    </row>
    <row r="590" spans="4:20">
      <c r="D590" s="493"/>
      <c r="E590" s="748"/>
      <c r="G590" s="493"/>
      <c r="I590" s="748"/>
      <c r="K590" s="493"/>
      <c r="L590" s="748"/>
      <c r="M590" s="493"/>
      <c r="N590" s="493"/>
      <c r="O590" s="493"/>
      <c r="P590" s="493"/>
      <c r="Q590" s="493"/>
      <c r="R590" s="493"/>
      <c r="S590" s="493"/>
      <c r="T590" s="493"/>
    </row>
    <row r="591" spans="4:20">
      <c r="D591" s="493"/>
      <c r="E591" s="748"/>
      <c r="G591" s="493"/>
      <c r="I591" s="748"/>
      <c r="K591" s="493"/>
      <c r="L591" s="748"/>
      <c r="M591" s="493"/>
      <c r="N591" s="493"/>
      <c r="O591" s="493"/>
      <c r="P591" s="493"/>
      <c r="Q591" s="493"/>
      <c r="R591" s="493"/>
      <c r="S591" s="493"/>
      <c r="T591" s="493"/>
    </row>
    <row r="592" spans="4:20">
      <c r="D592" s="493"/>
      <c r="E592" s="748"/>
      <c r="G592" s="493"/>
      <c r="I592" s="748"/>
      <c r="K592" s="493"/>
      <c r="L592" s="748"/>
      <c r="M592" s="493"/>
      <c r="N592" s="493"/>
      <c r="O592" s="493"/>
      <c r="P592" s="493"/>
      <c r="Q592" s="493"/>
      <c r="R592" s="493"/>
      <c r="S592" s="493"/>
      <c r="T592" s="493"/>
    </row>
    <row r="593" spans="4:20">
      <c r="D593" s="493"/>
      <c r="E593" s="748"/>
      <c r="G593" s="493"/>
      <c r="I593" s="748"/>
      <c r="K593" s="493"/>
      <c r="L593" s="748"/>
      <c r="M593" s="493"/>
      <c r="N593" s="493"/>
      <c r="O593" s="493"/>
      <c r="P593" s="493"/>
      <c r="Q593" s="493"/>
      <c r="R593" s="493"/>
      <c r="S593" s="493"/>
      <c r="T593" s="493"/>
    </row>
    <row r="594" spans="4:20">
      <c r="D594" s="493"/>
      <c r="E594" s="748"/>
      <c r="G594" s="493"/>
      <c r="I594" s="748"/>
      <c r="K594" s="493"/>
      <c r="L594" s="748"/>
      <c r="M594" s="493"/>
      <c r="N594" s="493"/>
      <c r="O594" s="493"/>
      <c r="P594" s="493"/>
      <c r="Q594" s="493"/>
      <c r="R594" s="493"/>
      <c r="S594" s="493"/>
      <c r="T594" s="493"/>
    </row>
    <row r="595" spans="4:20">
      <c r="D595" s="493"/>
      <c r="E595" s="748"/>
      <c r="G595" s="493"/>
      <c r="I595" s="748"/>
      <c r="K595" s="493"/>
      <c r="L595" s="748"/>
      <c r="M595" s="493"/>
      <c r="N595" s="493"/>
      <c r="O595" s="493"/>
      <c r="P595" s="493"/>
      <c r="Q595" s="493"/>
      <c r="R595" s="493"/>
      <c r="S595" s="493"/>
      <c r="T595" s="493"/>
    </row>
    <row r="596" spans="4:20">
      <c r="D596" s="493"/>
      <c r="E596" s="748"/>
      <c r="G596" s="493"/>
      <c r="I596" s="748"/>
      <c r="K596" s="493"/>
      <c r="L596" s="748"/>
      <c r="M596" s="493"/>
      <c r="N596" s="493"/>
      <c r="O596" s="493"/>
      <c r="P596" s="493"/>
      <c r="Q596" s="493"/>
      <c r="R596" s="493"/>
      <c r="S596" s="493"/>
      <c r="T596" s="493"/>
    </row>
    <row r="597" spans="4:20">
      <c r="D597" s="493"/>
      <c r="E597" s="748"/>
      <c r="G597" s="493"/>
      <c r="I597" s="748"/>
      <c r="K597" s="493"/>
      <c r="L597" s="748"/>
      <c r="M597" s="493"/>
      <c r="N597" s="493"/>
      <c r="O597" s="493"/>
      <c r="P597" s="493"/>
      <c r="Q597" s="493"/>
      <c r="R597" s="493"/>
      <c r="S597" s="493"/>
      <c r="T597" s="493"/>
    </row>
    <row r="598" spans="4:20">
      <c r="D598" s="493"/>
      <c r="E598" s="748"/>
      <c r="G598" s="493"/>
      <c r="I598" s="748"/>
      <c r="K598" s="493"/>
      <c r="L598" s="748"/>
      <c r="M598" s="493"/>
      <c r="N598" s="493"/>
      <c r="O598" s="493"/>
      <c r="P598" s="493"/>
      <c r="Q598" s="493"/>
      <c r="R598" s="493"/>
      <c r="S598" s="493"/>
      <c r="T598" s="493"/>
    </row>
    <row r="599" spans="4:20">
      <c r="D599" s="493"/>
      <c r="E599" s="748"/>
      <c r="G599" s="493"/>
      <c r="I599" s="748"/>
      <c r="K599" s="493"/>
      <c r="L599" s="748"/>
      <c r="M599" s="493"/>
      <c r="N599" s="493"/>
      <c r="O599" s="493"/>
      <c r="P599" s="493"/>
      <c r="Q599" s="493"/>
      <c r="R599" s="493"/>
      <c r="S599" s="493"/>
      <c r="T599" s="493"/>
    </row>
    <row r="600" spans="4:20">
      <c r="D600" s="493"/>
      <c r="E600" s="748"/>
      <c r="G600" s="493"/>
      <c r="I600" s="748"/>
      <c r="K600" s="493"/>
      <c r="L600" s="748"/>
      <c r="M600" s="493"/>
      <c r="N600" s="493"/>
      <c r="O600" s="493"/>
      <c r="P600" s="493"/>
      <c r="Q600" s="493"/>
      <c r="R600" s="493"/>
      <c r="S600" s="493"/>
      <c r="T600" s="493"/>
    </row>
    <row r="601" spans="4:20">
      <c r="D601" s="493"/>
      <c r="E601" s="748"/>
      <c r="G601" s="493"/>
      <c r="I601" s="748"/>
      <c r="K601" s="493"/>
      <c r="L601" s="748"/>
      <c r="M601" s="493"/>
      <c r="N601" s="493"/>
      <c r="O601" s="493"/>
      <c r="P601" s="493"/>
      <c r="Q601" s="493"/>
      <c r="R601" s="493"/>
      <c r="S601" s="493"/>
      <c r="T601" s="493"/>
    </row>
    <row r="602" spans="4:20">
      <c r="D602" s="493"/>
      <c r="E602" s="748"/>
      <c r="G602" s="493"/>
      <c r="I602" s="748"/>
      <c r="K602" s="493"/>
      <c r="L602" s="748"/>
      <c r="M602" s="493"/>
      <c r="N602" s="493"/>
      <c r="O602" s="493"/>
      <c r="P602" s="493"/>
      <c r="Q602" s="493"/>
      <c r="R602" s="493"/>
      <c r="S602" s="493"/>
      <c r="T602" s="493"/>
    </row>
    <row r="603" spans="4:20">
      <c r="D603" s="493"/>
      <c r="E603" s="748"/>
      <c r="G603" s="493"/>
      <c r="I603" s="748"/>
      <c r="K603" s="493"/>
      <c r="L603" s="748"/>
      <c r="M603" s="493"/>
      <c r="N603" s="493"/>
      <c r="O603" s="493"/>
      <c r="P603" s="493"/>
      <c r="Q603" s="493"/>
      <c r="R603" s="493"/>
      <c r="S603" s="493"/>
      <c r="T603" s="493"/>
    </row>
    <row r="604" spans="4:20">
      <c r="D604" s="493"/>
      <c r="E604" s="748"/>
      <c r="G604" s="493"/>
      <c r="I604" s="748"/>
      <c r="K604" s="493"/>
      <c r="L604" s="748"/>
      <c r="M604" s="493"/>
      <c r="N604" s="493"/>
      <c r="O604" s="493"/>
      <c r="P604" s="493"/>
      <c r="Q604" s="493"/>
      <c r="R604" s="493"/>
      <c r="S604" s="493"/>
      <c r="T604" s="493"/>
    </row>
    <row r="605" spans="4:20">
      <c r="D605" s="493"/>
      <c r="E605" s="748"/>
      <c r="G605" s="493"/>
      <c r="I605" s="748"/>
      <c r="K605" s="493"/>
      <c r="L605" s="748"/>
      <c r="M605" s="493"/>
      <c r="N605" s="493"/>
      <c r="O605" s="493"/>
      <c r="P605" s="493"/>
      <c r="Q605" s="493"/>
      <c r="R605" s="493"/>
      <c r="S605" s="493"/>
      <c r="T605" s="493"/>
    </row>
    <row r="606" spans="4:20">
      <c r="D606" s="493"/>
      <c r="E606" s="748"/>
      <c r="G606" s="493"/>
      <c r="I606" s="748"/>
      <c r="K606" s="493"/>
      <c r="L606" s="748"/>
      <c r="M606" s="493"/>
      <c r="N606" s="493"/>
      <c r="O606" s="493"/>
      <c r="P606" s="493"/>
      <c r="Q606" s="493"/>
      <c r="R606" s="493"/>
      <c r="S606" s="493"/>
      <c r="T606" s="493"/>
    </row>
    <row r="607" spans="4:20">
      <c r="D607" s="493"/>
      <c r="E607" s="748"/>
      <c r="G607" s="493"/>
      <c r="I607" s="748"/>
      <c r="K607" s="493"/>
      <c r="L607" s="748"/>
      <c r="M607" s="493"/>
      <c r="N607" s="493"/>
      <c r="O607" s="493"/>
      <c r="P607" s="493"/>
      <c r="Q607" s="493"/>
      <c r="R607" s="493"/>
      <c r="S607" s="493"/>
      <c r="T607" s="493"/>
    </row>
    <row r="608" spans="4:20">
      <c r="D608" s="493"/>
      <c r="E608" s="748"/>
      <c r="G608" s="493"/>
      <c r="I608" s="748"/>
      <c r="K608" s="493"/>
      <c r="L608" s="748"/>
      <c r="M608" s="493"/>
      <c r="N608" s="493"/>
      <c r="O608" s="493"/>
      <c r="P608" s="493"/>
      <c r="Q608" s="493"/>
      <c r="R608" s="493"/>
      <c r="S608" s="493"/>
      <c r="T608" s="493"/>
    </row>
    <row r="609" spans="4:20">
      <c r="D609" s="493"/>
      <c r="E609" s="748"/>
      <c r="G609" s="493"/>
      <c r="I609" s="748"/>
      <c r="K609" s="493"/>
      <c r="L609" s="748"/>
      <c r="M609" s="493"/>
      <c r="N609" s="493"/>
      <c r="O609" s="493"/>
      <c r="P609" s="493"/>
      <c r="Q609" s="493"/>
      <c r="R609" s="493"/>
      <c r="S609" s="493"/>
      <c r="T609" s="493"/>
    </row>
    <row r="610" spans="4:20">
      <c r="D610" s="493"/>
      <c r="E610" s="748"/>
      <c r="G610" s="493"/>
      <c r="I610" s="748"/>
      <c r="K610" s="493"/>
      <c r="L610" s="748"/>
      <c r="M610" s="493"/>
      <c r="N610" s="493"/>
      <c r="O610" s="493"/>
      <c r="P610" s="493"/>
      <c r="Q610" s="493"/>
      <c r="R610" s="493"/>
      <c r="S610" s="493"/>
      <c r="T610" s="493"/>
    </row>
    <row r="611" spans="4:20">
      <c r="D611" s="493"/>
      <c r="E611" s="748"/>
      <c r="G611" s="493"/>
      <c r="I611" s="748"/>
      <c r="K611" s="493"/>
      <c r="L611" s="748"/>
      <c r="M611" s="493"/>
      <c r="N611" s="493"/>
      <c r="O611" s="493"/>
      <c r="P611" s="493"/>
      <c r="Q611" s="493"/>
      <c r="R611" s="493"/>
      <c r="S611" s="493"/>
      <c r="T611" s="493"/>
    </row>
    <row r="612" spans="4:20">
      <c r="D612" s="493"/>
      <c r="E612" s="748"/>
      <c r="G612" s="493"/>
      <c r="I612" s="748"/>
      <c r="K612" s="493"/>
      <c r="L612" s="748"/>
      <c r="M612" s="493"/>
      <c r="N612" s="493"/>
      <c r="O612" s="493"/>
      <c r="P612" s="493"/>
      <c r="Q612" s="493"/>
      <c r="R612" s="493"/>
      <c r="S612" s="493"/>
      <c r="T612" s="493"/>
    </row>
    <row r="613" spans="4:20">
      <c r="D613" s="493"/>
      <c r="E613" s="748"/>
      <c r="G613" s="493"/>
      <c r="I613" s="748"/>
      <c r="K613" s="493"/>
      <c r="L613" s="748"/>
      <c r="M613" s="493"/>
      <c r="N613" s="493"/>
      <c r="O613" s="493"/>
      <c r="P613" s="493"/>
      <c r="Q613" s="493"/>
      <c r="R613" s="493"/>
      <c r="S613" s="493"/>
      <c r="T613" s="493"/>
    </row>
    <row r="614" spans="4:20">
      <c r="D614" s="493"/>
      <c r="E614" s="748"/>
      <c r="G614" s="493"/>
      <c r="I614" s="748"/>
      <c r="K614" s="493"/>
      <c r="L614" s="748"/>
      <c r="M614" s="493"/>
      <c r="N614" s="493"/>
      <c r="O614" s="493"/>
      <c r="P614" s="493"/>
      <c r="Q614" s="493"/>
      <c r="R614" s="493"/>
      <c r="S614" s="493"/>
      <c r="T614" s="493"/>
    </row>
    <row r="615" spans="4:20">
      <c r="D615" s="493"/>
      <c r="E615" s="748"/>
      <c r="G615" s="493"/>
      <c r="I615" s="748"/>
      <c r="K615" s="493"/>
      <c r="L615" s="748"/>
      <c r="M615" s="493"/>
      <c r="N615" s="493"/>
      <c r="O615" s="493"/>
      <c r="P615" s="493"/>
      <c r="Q615" s="493"/>
      <c r="R615" s="493"/>
      <c r="S615" s="493"/>
      <c r="T615" s="493"/>
    </row>
    <row r="616" spans="4:20">
      <c r="D616" s="493"/>
      <c r="E616" s="748"/>
      <c r="G616" s="493"/>
      <c r="I616" s="748"/>
      <c r="K616" s="493"/>
      <c r="L616" s="748"/>
      <c r="M616" s="493"/>
      <c r="N616" s="493"/>
      <c r="O616" s="493"/>
      <c r="P616" s="493"/>
      <c r="Q616" s="493"/>
      <c r="R616" s="493"/>
      <c r="S616" s="493"/>
      <c r="T616" s="493"/>
    </row>
    <row r="617" spans="4:20">
      <c r="D617" s="493"/>
      <c r="E617" s="748"/>
      <c r="G617" s="493"/>
      <c r="I617" s="748"/>
      <c r="K617" s="493"/>
      <c r="L617" s="748"/>
      <c r="M617" s="493"/>
      <c r="N617" s="493"/>
      <c r="O617" s="493"/>
      <c r="P617" s="493"/>
      <c r="Q617" s="493"/>
      <c r="R617" s="493"/>
      <c r="S617" s="493"/>
      <c r="T617" s="493"/>
    </row>
    <row r="618" spans="4:20">
      <c r="D618" s="493"/>
      <c r="E618" s="748"/>
      <c r="G618" s="493"/>
      <c r="I618" s="748"/>
      <c r="K618" s="493"/>
      <c r="L618" s="748"/>
      <c r="M618" s="493"/>
      <c r="N618" s="493"/>
      <c r="O618" s="493"/>
      <c r="P618" s="493"/>
      <c r="Q618" s="493"/>
      <c r="R618" s="493"/>
      <c r="S618" s="493"/>
      <c r="T618" s="493"/>
    </row>
    <row r="619" spans="4:20">
      <c r="D619" s="493"/>
      <c r="E619" s="748"/>
      <c r="G619" s="493"/>
      <c r="I619" s="748"/>
      <c r="K619" s="493"/>
      <c r="L619" s="748"/>
      <c r="M619" s="493"/>
      <c r="N619" s="493"/>
      <c r="O619" s="493"/>
      <c r="P619" s="493"/>
      <c r="Q619" s="493"/>
      <c r="R619" s="493"/>
      <c r="S619" s="493"/>
      <c r="T619" s="493"/>
    </row>
    <row r="620" spans="4:20">
      <c r="D620" s="493"/>
      <c r="E620" s="748"/>
      <c r="G620" s="493"/>
      <c r="I620" s="748"/>
      <c r="K620" s="493"/>
      <c r="L620" s="748"/>
      <c r="M620" s="493"/>
      <c r="N620" s="493"/>
      <c r="O620" s="493"/>
      <c r="P620" s="493"/>
      <c r="Q620" s="493"/>
      <c r="R620" s="493"/>
      <c r="S620" s="493"/>
      <c r="T620" s="493"/>
    </row>
    <row r="621" spans="4:20">
      <c r="D621" s="493"/>
      <c r="E621" s="748"/>
      <c r="G621" s="493"/>
      <c r="I621" s="748"/>
      <c r="K621" s="493"/>
      <c r="L621" s="748"/>
      <c r="M621" s="493"/>
      <c r="N621" s="493"/>
      <c r="O621" s="493"/>
      <c r="P621" s="493"/>
      <c r="Q621" s="493"/>
      <c r="R621" s="493"/>
      <c r="S621" s="493"/>
      <c r="T621" s="493"/>
    </row>
    <row r="622" spans="4:20">
      <c r="D622" s="493"/>
      <c r="E622" s="748"/>
      <c r="G622" s="493"/>
      <c r="I622" s="748"/>
      <c r="K622" s="493"/>
      <c r="L622" s="748"/>
      <c r="M622" s="493"/>
      <c r="N622" s="493"/>
      <c r="O622" s="493"/>
      <c r="P622" s="493"/>
      <c r="Q622" s="493"/>
      <c r="R622" s="493"/>
      <c r="S622" s="493"/>
      <c r="T622" s="493"/>
    </row>
    <row r="623" spans="4:20">
      <c r="D623" s="493"/>
      <c r="E623" s="748"/>
      <c r="G623" s="493"/>
      <c r="I623" s="748"/>
      <c r="K623" s="493"/>
      <c r="L623" s="748"/>
      <c r="M623" s="493"/>
      <c r="N623" s="493"/>
      <c r="O623" s="493"/>
      <c r="P623" s="493"/>
      <c r="Q623" s="493"/>
      <c r="R623" s="493"/>
      <c r="S623" s="493"/>
      <c r="T623" s="493"/>
    </row>
    <row r="624" spans="4:20">
      <c r="D624" s="493"/>
      <c r="E624" s="748"/>
      <c r="G624" s="493"/>
      <c r="I624" s="748"/>
      <c r="K624" s="493"/>
      <c r="L624" s="748"/>
      <c r="M624" s="493"/>
      <c r="N624" s="493"/>
      <c r="O624" s="493"/>
      <c r="P624" s="493"/>
      <c r="Q624" s="493"/>
      <c r="R624" s="493"/>
      <c r="S624" s="493"/>
      <c r="T624" s="493"/>
    </row>
    <row r="625" spans="4:20">
      <c r="D625" s="493"/>
      <c r="E625" s="748"/>
      <c r="G625" s="493"/>
      <c r="I625" s="748"/>
      <c r="K625" s="493"/>
      <c r="L625" s="748"/>
      <c r="M625" s="493"/>
      <c r="N625" s="493"/>
      <c r="O625" s="493"/>
      <c r="P625" s="493"/>
      <c r="Q625" s="493"/>
      <c r="R625" s="493"/>
      <c r="S625" s="493"/>
      <c r="T625" s="493"/>
    </row>
    <row r="626" spans="4:20">
      <c r="D626" s="493"/>
      <c r="E626" s="748"/>
      <c r="G626" s="493"/>
      <c r="I626" s="748"/>
      <c r="K626" s="493"/>
      <c r="L626" s="748"/>
      <c r="M626" s="493"/>
      <c r="N626" s="493"/>
      <c r="O626" s="493"/>
      <c r="P626" s="493"/>
      <c r="Q626" s="493"/>
      <c r="R626" s="493"/>
      <c r="S626" s="493"/>
      <c r="T626" s="493"/>
    </row>
    <row r="627" spans="4:20">
      <c r="D627" s="493"/>
      <c r="E627" s="748"/>
      <c r="G627" s="493"/>
      <c r="I627" s="748"/>
      <c r="K627" s="493"/>
      <c r="L627" s="748"/>
      <c r="M627" s="493"/>
      <c r="N627" s="493"/>
      <c r="O627" s="493"/>
      <c r="P627" s="493"/>
      <c r="Q627" s="493"/>
      <c r="R627" s="493"/>
      <c r="S627" s="493"/>
      <c r="T627" s="493"/>
    </row>
    <row r="628" spans="4:20">
      <c r="D628" s="493"/>
      <c r="E628" s="748"/>
      <c r="G628" s="493"/>
      <c r="I628" s="748"/>
      <c r="K628" s="493"/>
      <c r="L628" s="748"/>
      <c r="M628" s="493"/>
      <c r="N628" s="493"/>
      <c r="O628" s="493"/>
      <c r="P628" s="493"/>
      <c r="Q628" s="493"/>
      <c r="R628" s="493"/>
      <c r="S628" s="493"/>
      <c r="T628" s="493"/>
    </row>
    <row r="629" spans="4:20">
      <c r="D629" s="493"/>
      <c r="E629" s="748"/>
      <c r="G629" s="493"/>
      <c r="I629" s="748"/>
      <c r="K629" s="493"/>
      <c r="L629" s="748"/>
      <c r="M629" s="493"/>
      <c r="N629" s="493"/>
      <c r="O629" s="493"/>
      <c r="P629" s="493"/>
      <c r="Q629" s="493"/>
      <c r="R629" s="493"/>
      <c r="S629" s="493"/>
      <c r="T629" s="493"/>
    </row>
    <row r="630" spans="4:20">
      <c r="D630" s="493"/>
      <c r="E630" s="748"/>
      <c r="G630" s="493"/>
      <c r="I630" s="748"/>
      <c r="K630" s="493"/>
      <c r="L630" s="748"/>
      <c r="M630" s="493"/>
      <c r="N630" s="493"/>
      <c r="O630" s="493"/>
      <c r="P630" s="493"/>
      <c r="Q630" s="493"/>
      <c r="R630" s="493"/>
      <c r="S630" s="493"/>
      <c r="T630" s="493"/>
    </row>
    <row r="631" spans="4:20">
      <c r="D631" s="493"/>
      <c r="E631" s="748"/>
      <c r="G631" s="493"/>
      <c r="I631" s="748"/>
      <c r="K631" s="493"/>
      <c r="L631" s="748"/>
      <c r="M631" s="493"/>
      <c r="N631" s="493"/>
      <c r="O631" s="493"/>
      <c r="P631" s="493"/>
      <c r="Q631" s="493"/>
      <c r="R631" s="493"/>
      <c r="S631" s="493"/>
      <c r="T631" s="493"/>
    </row>
    <row r="632" spans="4:20">
      <c r="D632" s="493"/>
      <c r="E632" s="748"/>
      <c r="G632" s="493"/>
      <c r="I632" s="748"/>
      <c r="K632" s="493"/>
      <c r="L632" s="748"/>
      <c r="M632" s="493"/>
      <c r="N632" s="493"/>
      <c r="O632" s="493"/>
      <c r="P632" s="493"/>
      <c r="Q632" s="493"/>
      <c r="R632" s="493"/>
      <c r="S632" s="493"/>
      <c r="T632" s="493"/>
    </row>
    <row r="633" spans="4:20">
      <c r="D633" s="493"/>
      <c r="E633" s="748"/>
      <c r="G633" s="493"/>
      <c r="I633" s="748"/>
      <c r="K633" s="493"/>
      <c r="L633" s="748"/>
      <c r="M633" s="493"/>
      <c r="N633" s="493"/>
      <c r="O633" s="493"/>
      <c r="P633" s="493"/>
      <c r="Q633" s="493"/>
      <c r="R633" s="493"/>
      <c r="S633" s="493"/>
      <c r="T633" s="493"/>
    </row>
    <row r="634" spans="4:20">
      <c r="D634" s="493"/>
      <c r="E634" s="748"/>
      <c r="G634" s="493"/>
      <c r="I634" s="748"/>
      <c r="K634" s="493"/>
      <c r="L634" s="748"/>
      <c r="M634" s="493"/>
      <c r="N634" s="493"/>
      <c r="O634" s="493"/>
      <c r="P634" s="493"/>
      <c r="Q634" s="493"/>
      <c r="R634" s="493"/>
      <c r="S634" s="493"/>
      <c r="T634" s="493"/>
    </row>
    <row r="635" spans="4:20">
      <c r="D635" s="493"/>
      <c r="E635" s="748"/>
      <c r="G635" s="493"/>
      <c r="I635" s="748"/>
      <c r="K635" s="493"/>
      <c r="L635" s="748"/>
      <c r="M635" s="493"/>
      <c r="N635" s="493"/>
      <c r="O635" s="493"/>
      <c r="P635" s="493"/>
      <c r="Q635" s="493"/>
      <c r="R635" s="493"/>
      <c r="S635" s="493"/>
      <c r="T635" s="493"/>
    </row>
    <row r="636" spans="4:20">
      <c r="D636" s="493"/>
      <c r="E636" s="748"/>
      <c r="G636" s="493"/>
      <c r="I636" s="748"/>
      <c r="K636" s="493"/>
      <c r="L636" s="748"/>
      <c r="M636" s="493"/>
      <c r="N636" s="493"/>
      <c r="O636" s="493"/>
      <c r="P636" s="493"/>
      <c r="Q636" s="493"/>
      <c r="R636" s="493"/>
      <c r="S636" s="493"/>
      <c r="T636" s="493"/>
    </row>
    <row r="637" spans="4:20">
      <c r="D637" s="493"/>
      <c r="E637" s="748"/>
      <c r="G637" s="493"/>
      <c r="I637" s="748"/>
      <c r="K637" s="493"/>
      <c r="L637" s="748"/>
      <c r="M637" s="493"/>
      <c r="N637" s="493"/>
      <c r="O637" s="493"/>
      <c r="P637" s="493"/>
      <c r="Q637" s="493"/>
      <c r="R637" s="493"/>
      <c r="S637" s="493"/>
      <c r="T637" s="493"/>
    </row>
    <row r="638" spans="4:20">
      <c r="D638" s="493"/>
      <c r="E638" s="748"/>
      <c r="G638" s="493"/>
      <c r="I638" s="748"/>
      <c r="K638" s="493"/>
      <c r="L638" s="748"/>
      <c r="M638" s="493"/>
      <c r="N638" s="493"/>
      <c r="O638" s="493"/>
      <c r="P638" s="493"/>
      <c r="Q638" s="493"/>
      <c r="R638" s="493"/>
      <c r="S638" s="493"/>
      <c r="T638" s="493"/>
    </row>
    <row r="639" spans="4:20">
      <c r="D639" s="493"/>
      <c r="E639" s="748"/>
      <c r="G639" s="493"/>
      <c r="I639" s="748"/>
      <c r="K639" s="493"/>
      <c r="L639" s="748"/>
      <c r="M639" s="493"/>
      <c r="N639" s="493"/>
      <c r="O639" s="493"/>
      <c r="P639" s="493"/>
      <c r="Q639" s="493"/>
      <c r="R639" s="493"/>
      <c r="S639" s="493"/>
      <c r="T639" s="493"/>
    </row>
    <row r="640" spans="4:20">
      <c r="D640" s="493"/>
      <c r="E640" s="748"/>
      <c r="G640" s="493"/>
      <c r="I640" s="748"/>
      <c r="K640" s="493"/>
      <c r="L640" s="748"/>
      <c r="M640" s="493"/>
      <c r="N640" s="493"/>
      <c r="O640" s="493"/>
      <c r="P640" s="493"/>
      <c r="Q640" s="493"/>
      <c r="R640" s="493"/>
      <c r="S640" s="493"/>
      <c r="T640" s="493"/>
    </row>
    <row r="641" spans="4:20">
      <c r="D641" s="493"/>
      <c r="E641" s="748"/>
      <c r="G641" s="493"/>
      <c r="I641" s="748"/>
      <c r="K641" s="493"/>
      <c r="L641" s="748"/>
      <c r="M641" s="493"/>
      <c r="N641" s="493"/>
      <c r="O641" s="493"/>
      <c r="P641" s="493"/>
      <c r="Q641" s="493"/>
      <c r="R641" s="493"/>
      <c r="S641" s="493"/>
      <c r="T641" s="493"/>
    </row>
    <row r="642" spans="4:20">
      <c r="D642" s="493"/>
      <c r="E642" s="748"/>
      <c r="G642" s="493"/>
      <c r="I642" s="748"/>
      <c r="K642" s="493"/>
      <c r="L642" s="748"/>
      <c r="M642" s="493"/>
      <c r="N642" s="493"/>
      <c r="O642" s="493"/>
      <c r="P642" s="493"/>
      <c r="Q642" s="493"/>
      <c r="R642" s="493"/>
      <c r="S642" s="493"/>
      <c r="T642" s="493"/>
    </row>
    <row r="643" spans="4:20">
      <c r="D643" s="493"/>
      <c r="E643" s="748"/>
      <c r="G643" s="493"/>
      <c r="I643" s="748"/>
      <c r="K643" s="493"/>
      <c r="L643" s="748"/>
      <c r="M643" s="493"/>
      <c r="N643" s="493"/>
      <c r="O643" s="493"/>
      <c r="P643" s="493"/>
      <c r="Q643" s="493"/>
      <c r="R643" s="493"/>
      <c r="S643" s="493"/>
      <c r="T643" s="493"/>
    </row>
    <row r="644" spans="4:20">
      <c r="D644" s="493"/>
      <c r="E644" s="748"/>
      <c r="G644" s="493"/>
      <c r="I644" s="748"/>
      <c r="K644" s="493"/>
      <c r="L644" s="748"/>
      <c r="M644" s="493"/>
      <c r="N644" s="493"/>
      <c r="O644" s="493"/>
      <c r="P644" s="493"/>
      <c r="Q644" s="493"/>
      <c r="R644" s="493"/>
      <c r="S644" s="493"/>
      <c r="T644" s="493"/>
    </row>
    <row r="645" spans="4:20">
      <c r="D645" s="493"/>
      <c r="E645" s="748"/>
      <c r="G645" s="493"/>
      <c r="I645" s="748"/>
      <c r="K645" s="493"/>
      <c r="L645" s="748"/>
      <c r="M645" s="493"/>
      <c r="N645" s="493"/>
      <c r="O645" s="493"/>
      <c r="P645" s="493"/>
      <c r="Q645" s="493"/>
      <c r="R645" s="493"/>
      <c r="S645" s="493"/>
      <c r="T645" s="493"/>
    </row>
    <row r="646" spans="4:20">
      <c r="D646" s="493"/>
      <c r="E646" s="748"/>
      <c r="G646" s="493"/>
      <c r="I646" s="748"/>
      <c r="K646" s="493"/>
      <c r="L646" s="748"/>
      <c r="M646" s="493"/>
      <c r="N646" s="493"/>
      <c r="O646" s="493"/>
      <c r="P646" s="493"/>
      <c r="Q646" s="493"/>
      <c r="R646" s="493"/>
      <c r="S646" s="493"/>
      <c r="T646" s="493"/>
    </row>
    <row r="647" spans="4:20">
      <c r="D647" s="493"/>
      <c r="E647" s="748"/>
      <c r="G647" s="493"/>
      <c r="I647" s="748"/>
      <c r="K647" s="493"/>
      <c r="L647" s="748"/>
      <c r="M647" s="493"/>
      <c r="N647" s="493"/>
      <c r="O647" s="493"/>
      <c r="P647" s="493"/>
      <c r="Q647" s="493"/>
      <c r="R647" s="493"/>
      <c r="S647" s="493"/>
      <c r="T647" s="493"/>
    </row>
    <row r="648" spans="4:20">
      <c r="D648" s="493"/>
      <c r="E648" s="748"/>
      <c r="G648" s="493"/>
      <c r="I648" s="748"/>
      <c r="K648" s="493"/>
      <c r="L648" s="748"/>
      <c r="M648" s="493"/>
      <c r="N648" s="493"/>
      <c r="O648" s="493"/>
      <c r="P648" s="493"/>
      <c r="Q648" s="493"/>
      <c r="R648" s="493"/>
      <c r="S648" s="493"/>
      <c r="T648" s="493"/>
    </row>
    <row r="649" spans="4:20">
      <c r="D649" s="493"/>
      <c r="E649" s="748"/>
      <c r="G649" s="493"/>
      <c r="I649" s="748"/>
      <c r="K649" s="493"/>
      <c r="L649" s="748"/>
      <c r="M649" s="493"/>
      <c r="N649" s="493"/>
      <c r="O649" s="493"/>
      <c r="P649" s="493"/>
      <c r="Q649" s="493"/>
      <c r="R649" s="493"/>
      <c r="S649" s="493"/>
      <c r="T649" s="493"/>
    </row>
    <row r="650" spans="4:20">
      <c r="D650" s="493"/>
      <c r="E650" s="748"/>
      <c r="G650" s="493"/>
      <c r="I650" s="748"/>
      <c r="K650" s="493"/>
      <c r="L650" s="748"/>
      <c r="M650" s="493"/>
      <c r="N650" s="493"/>
      <c r="O650" s="493"/>
      <c r="P650" s="493"/>
      <c r="Q650" s="493"/>
      <c r="R650" s="493"/>
      <c r="S650" s="493"/>
      <c r="T650" s="493"/>
    </row>
    <row r="651" spans="4:20">
      <c r="D651" s="493"/>
      <c r="E651" s="748"/>
      <c r="G651" s="493"/>
      <c r="I651" s="748"/>
      <c r="K651" s="493"/>
      <c r="L651" s="748"/>
      <c r="M651" s="493"/>
      <c r="N651" s="493"/>
      <c r="O651" s="493"/>
      <c r="P651" s="493"/>
      <c r="Q651" s="493"/>
      <c r="R651" s="493"/>
      <c r="S651" s="493"/>
      <c r="T651" s="493"/>
    </row>
    <row r="652" spans="4:20">
      <c r="D652" s="493"/>
      <c r="E652" s="748"/>
      <c r="G652" s="493"/>
      <c r="I652" s="748"/>
      <c r="K652" s="493"/>
      <c r="L652" s="748"/>
      <c r="M652" s="493"/>
      <c r="N652" s="493"/>
      <c r="O652" s="493"/>
      <c r="P652" s="493"/>
      <c r="Q652" s="493"/>
      <c r="R652" s="493"/>
      <c r="S652" s="493"/>
      <c r="T652" s="493"/>
    </row>
    <row r="653" spans="4:20">
      <c r="D653" s="493"/>
      <c r="E653" s="748"/>
      <c r="G653" s="493"/>
      <c r="I653" s="748"/>
      <c r="K653" s="493"/>
      <c r="L653" s="748"/>
      <c r="M653" s="493"/>
      <c r="N653" s="493"/>
      <c r="O653" s="493"/>
      <c r="P653" s="493"/>
      <c r="Q653" s="493"/>
      <c r="R653" s="493"/>
      <c r="S653" s="493"/>
      <c r="T653" s="493"/>
    </row>
    <row r="654" spans="4:20">
      <c r="D654" s="493"/>
      <c r="E654" s="748"/>
      <c r="G654" s="493"/>
      <c r="I654" s="748"/>
      <c r="K654" s="493"/>
      <c r="L654" s="748"/>
      <c r="M654" s="493"/>
      <c r="N654" s="493"/>
      <c r="O654" s="493"/>
      <c r="P654" s="493"/>
      <c r="Q654" s="493"/>
      <c r="R654" s="493"/>
      <c r="S654" s="493"/>
      <c r="T654" s="493"/>
    </row>
    <row r="655" spans="4:20">
      <c r="D655" s="493"/>
      <c r="E655" s="748"/>
      <c r="G655" s="493"/>
      <c r="I655" s="748"/>
      <c r="K655" s="493"/>
      <c r="L655" s="748"/>
      <c r="M655" s="493"/>
      <c r="N655" s="493"/>
      <c r="O655" s="493"/>
      <c r="P655" s="493"/>
      <c r="Q655" s="493"/>
      <c r="R655" s="493"/>
      <c r="S655" s="493"/>
      <c r="T655" s="493"/>
    </row>
    <row r="656" spans="4:20">
      <c r="D656" s="493"/>
      <c r="E656" s="748"/>
      <c r="G656" s="493"/>
      <c r="I656" s="748"/>
      <c r="K656" s="493"/>
      <c r="L656" s="748"/>
      <c r="M656" s="493"/>
      <c r="N656" s="493"/>
      <c r="O656" s="493"/>
      <c r="P656" s="493"/>
      <c r="Q656" s="493"/>
      <c r="R656" s="493"/>
      <c r="S656" s="493"/>
      <c r="T656" s="493"/>
    </row>
    <row r="657" spans="4:20">
      <c r="D657" s="493"/>
      <c r="E657" s="748"/>
      <c r="G657" s="493"/>
      <c r="I657" s="748"/>
      <c r="K657" s="493"/>
      <c r="L657" s="748"/>
      <c r="M657" s="493"/>
      <c r="N657" s="493"/>
      <c r="O657" s="493"/>
      <c r="P657" s="493"/>
      <c r="Q657" s="493"/>
      <c r="R657" s="493"/>
      <c r="S657" s="493"/>
      <c r="T657" s="493"/>
    </row>
    <row r="658" spans="4:20">
      <c r="D658" s="493"/>
      <c r="E658" s="748"/>
      <c r="G658" s="493"/>
      <c r="I658" s="748"/>
      <c r="K658" s="493"/>
      <c r="L658" s="748"/>
      <c r="M658" s="493"/>
      <c r="N658" s="493"/>
      <c r="O658" s="493"/>
      <c r="P658" s="493"/>
      <c r="Q658" s="493"/>
      <c r="R658" s="493"/>
      <c r="S658" s="493"/>
      <c r="T658" s="493"/>
    </row>
  </sheetData>
  <mergeCells count="39">
    <mergeCell ref="J122:K122"/>
    <mergeCell ref="J123:K123"/>
    <mergeCell ref="J117:K117"/>
    <mergeCell ref="J118:K118"/>
    <mergeCell ref="J119:K119"/>
    <mergeCell ref="J120:K120"/>
    <mergeCell ref="J121:K121"/>
    <mergeCell ref="E123:F123"/>
    <mergeCell ref="N113:O113"/>
    <mergeCell ref="N114:O114"/>
    <mergeCell ref="N115:O115"/>
    <mergeCell ref="N116:O116"/>
    <mergeCell ref="N117:O117"/>
    <mergeCell ref="N118:O118"/>
    <mergeCell ref="N119:O119"/>
    <mergeCell ref="N120:O120"/>
    <mergeCell ref="N121:O121"/>
    <mergeCell ref="N122:O122"/>
    <mergeCell ref="N123:O123"/>
    <mergeCell ref="J113:K113"/>
    <mergeCell ref="J114:K114"/>
    <mergeCell ref="J115:K115"/>
    <mergeCell ref="J116:K116"/>
    <mergeCell ref="E118:F118"/>
    <mergeCell ref="E119:F119"/>
    <mergeCell ref="E120:F120"/>
    <mergeCell ref="E121:F121"/>
    <mergeCell ref="E122:F122"/>
    <mergeCell ref="E113:F113"/>
    <mergeCell ref="E114:F114"/>
    <mergeCell ref="E115:F115"/>
    <mergeCell ref="E116:F116"/>
    <mergeCell ref="E117:F117"/>
    <mergeCell ref="U1:X1"/>
    <mergeCell ref="D1:E1"/>
    <mergeCell ref="K1:L1"/>
    <mergeCell ref="G1:H1"/>
    <mergeCell ref="M1:O1"/>
    <mergeCell ref="P1:R1"/>
  </mergeCells>
  <conditionalFormatting sqref="D78">
    <cfRule type="dataBar" priority="1">
      <dataBar>
        <cfvo type="formula" val="0"/>
        <cfvo type="formula" val="1000000"/>
        <color theme="6" tint="0.79998168889431442"/>
      </dataBar>
      <extLst>
        <ext xmlns:x14="http://schemas.microsoft.com/office/spreadsheetml/2009/9/main" uri="{B025F937-C7B1-47D3-B67F-A62EFF666E3E}">
          <x14:id>{9640EB97-7E93-4B62-AA12-7DBAB93FAD72}</x14:id>
        </ext>
      </extLst>
    </cfRule>
  </conditionalFormatting>
  <dataValidations count="1">
    <dataValidation type="list" allowBlank="1" showInputMessage="1" showErrorMessage="1" sqref="Z3:Z104" xr:uid="{00000000-0002-0000-0200-000000000000}">
      <formula1>$A$113:$A$121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42" r:id="rId4" name="Check Box 6">
              <controlPr defaultSize="0" autoFill="0" autoLine="0" autoPict="0">
                <anchor moveWithCells="1">
                  <from>
                    <xdr:col>15</xdr:col>
                    <xdr:colOff>45720</xdr:colOff>
                    <xdr:row>112</xdr:row>
                    <xdr:rowOff>22860</xdr:rowOff>
                  </from>
                  <to>
                    <xdr:col>15</xdr:col>
                    <xdr:colOff>274320</xdr:colOff>
                    <xdr:row>112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5" name="Check Box 21">
              <controlPr defaultSize="0" autoFill="0" autoLine="0" autoPict="0">
                <anchor moveWithCells="1">
                  <from>
                    <xdr:col>15</xdr:col>
                    <xdr:colOff>45720</xdr:colOff>
                    <xdr:row>113</xdr:row>
                    <xdr:rowOff>22860</xdr:rowOff>
                  </from>
                  <to>
                    <xdr:col>15</xdr:col>
                    <xdr:colOff>274320</xdr:colOff>
                    <xdr:row>113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6" name="Check Box 22">
              <controlPr defaultSize="0" autoFill="0" autoLine="0" autoPict="0">
                <anchor moveWithCells="1">
                  <from>
                    <xdr:col>15</xdr:col>
                    <xdr:colOff>45720</xdr:colOff>
                    <xdr:row>114</xdr:row>
                    <xdr:rowOff>22860</xdr:rowOff>
                  </from>
                  <to>
                    <xdr:col>15</xdr:col>
                    <xdr:colOff>274320</xdr:colOff>
                    <xdr:row>114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7" name="Check Box 23">
              <controlPr defaultSize="0" autoFill="0" autoLine="0" autoPict="0">
                <anchor moveWithCells="1">
                  <from>
                    <xdr:col>15</xdr:col>
                    <xdr:colOff>45720</xdr:colOff>
                    <xdr:row>115</xdr:row>
                    <xdr:rowOff>22860</xdr:rowOff>
                  </from>
                  <to>
                    <xdr:col>15</xdr:col>
                    <xdr:colOff>274320</xdr:colOff>
                    <xdr:row>115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8" name="Check Box 24">
              <controlPr defaultSize="0" autoFill="0" autoLine="0" autoPict="0">
                <anchor moveWithCells="1">
                  <from>
                    <xdr:col>15</xdr:col>
                    <xdr:colOff>45720</xdr:colOff>
                    <xdr:row>116</xdr:row>
                    <xdr:rowOff>22860</xdr:rowOff>
                  </from>
                  <to>
                    <xdr:col>15</xdr:col>
                    <xdr:colOff>274320</xdr:colOff>
                    <xdr:row>116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9" name="Check Box 25">
              <controlPr defaultSize="0" autoFill="0" autoLine="0" autoPict="0">
                <anchor moveWithCells="1">
                  <from>
                    <xdr:col>15</xdr:col>
                    <xdr:colOff>45720</xdr:colOff>
                    <xdr:row>117</xdr:row>
                    <xdr:rowOff>22860</xdr:rowOff>
                  </from>
                  <to>
                    <xdr:col>15</xdr:col>
                    <xdr:colOff>274320</xdr:colOff>
                    <xdr:row>117</xdr:row>
                    <xdr:rowOff>175260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40EB97-7E93-4B62-AA12-7DBAB93FAD72}">
            <x14:dataBar minLength="0" maxLength="100" gradient="0">
              <x14:cfvo type="formula">
                <xm:f>0</xm:f>
              </x14:cfvo>
              <x14:cfvo type="formula">
                <xm:f>1000000</xm:f>
              </x14:cfvo>
              <x14:negativeFillColor rgb="FFFF0000"/>
              <x14:axisColor rgb="FF000000"/>
            </x14:dataBar>
          </x14:cfRule>
          <xm:sqref>D78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CntrlAssembly!$A$4:$A$100</xm:f>
          </x14:formula1>
          <xm:sqref>M3:M104</xm:sqref>
        </x14:dataValidation>
        <x14:dataValidation type="list" allowBlank="1" showInputMessage="1" showErrorMessage="1" xr:uid="{00000000-0002-0000-0200-000002000000}">
          <x14:formula1>
            <xm:f>Assemblies!$B$4:$B$100</xm:f>
          </x14:formula1>
          <xm:sqref>B3:B104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V58"/>
  <sheetViews>
    <sheetView showZeros="0" workbookViewId="0">
      <selection activeCell="C18" sqref="C18"/>
    </sheetView>
  </sheetViews>
  <sheetFormatPr defaultRowHeight="12.6"/>
  <cols>
    <col min="1" max="1" width="4.44140625" customWidth="1"/>
    <col min="2" max="2" width="18" bestFit="1" customWidth="1"/>
    <col min="3" max="3" width="8.33203125" customWidth="1"/>
    <col min="5" max="5" width="11" customWidth="1"/>
    <col min="6" max="6" width="7.44140625" bestFit="1" customWidth="1"/>
    <col min="7" max="7" width="11.88671875" customWidth="1"/>
    <col min="10" max="10" width="21.109375" bestFit="1" customWidth="1"/>
    <col min="16" max="16" width="9.33203125" customWidth="1"/>
    <col min="17" max="17" width="18.109375" hidden="1" customWidth="1"/>
    <col min="18" max="22" width="9.109375" hidden="1" customWidth="1"/>
  </cols>
  <sheetData>
    <row r="1" spans="1:15" ht="22.8">
      <c r="A1" s="853" t="s">
        <v>520</v>
      </c>
      <c r="B1" s="853"/>
      <c r="C1" s="853"/>
      <c r="D1" s="853"/>
      <c r="E1" s="853"/>
      <c r="F1" s="853"/>
      <c r="G1" s="853"/>
      <c r="I1" s="853" t="s">
        <v>540</v>
      </c>
      <c r="J1" s="853"/>
      <c r="K1" s="853"/>
      <c r="L1" s="853"/>
      <c r="M1" s="853"/>
      <c r="N1" s="853"/>
      <c r="O1" s="853"/>
    </row>
    <row r="2" spans="1:15">
      <c r="A2" t="s">
        <v>526</v>
      </c>
      <c r="G2" s="511">
        <v>43114</v>
      </c>
      <c r="I2" t="s">
        <v>526</v>
      </c>
      <c r="O2" s="306"/>
    </row>
    <row r="3" spans="1:15" ht="13.2" thickBot="1">
      <c r="B3" s="301" t="s">
        <v>531</v>
      </c>
      <c r="C3" s="303" t="s">
        <v>527</v>
      </c>
      <c r="D3" s="303" t="s">
        <v>530</v>
      </c>
      <c r="E3" s="303" t="s">
        <v>523</v>
      </c>
      <c r="F3" s="303" t="s">
        <v>188</v>
      </c>
      <c r="G3" s="303" t="s">
        <v>203</v>
      </c>
      <c r="J3" s="301" t="s">
        <v>533</v>
      </c>
      <c r="K3" s="303" t="s">
        <v>34</v>
      </c>
      <c r="L3" s="303" t="s">
        <v>541</v>
      </c>
      <c r="M3" s="303" t="s">
        <v>188</v>
      </c>
      <c r="N3" s="303"/>
      <c r="O3" s="303"/>
    </row>
    <row r="4" spans="1:15">
      <c r="B4" t="s">
        <v>524</v>
      </c>
      <c r="C4" s="262"/>
      <c r="D4" s="509">
        <f>IF(MainForm!AA113=TRUE,R30,0)+IF(MainForm!AA114=TRUE,GeneralConditions!S30,0)+IF(MainForm!AA115=TRUE,GeneralConditions!T30,0)+IF(MainForm!AA116=TRUE,GeneralConditions!U30,0)+IF(MainForm!AA117=TRUE,GeneralConditions!V30,0)</f>
        <v>27.153125000000003</v>
      </c>
      <c r="E4" s="308"/>
      <c r="F4" s="509">
        <f t="shared" ref="F4:F11" si="0">D4+E4</f>
        <v>27.153125000000003</v>
      </c>
      <c r="G4" s="304"/>
      <c r="J4" t="s">
        <v>543</v>
      </c>
      <c r="K4" s="512"/>
      <c r="L4" s="514">
        <v>8</v>
      </c>
      <c r="M4" s="658">
        <f>L4*K4</f>
        <v>0</v>
      </c>
      <c r="N4" s="854"/>
      <c r="O4" s="801"/>
    </row>
    <row r="5" spans="1:15">
      <c r="B5" t="s">
        <v>521</v>
      </c>
      <c r="C5" s="262"/>
      <c r="D5" s="509">
        <f>IF(MainForm!AA113=TRUE,R31,0)+IF(MainForm!AA114=TRUE,GeneralConditions!S31,0)+IF(MainForm!AA115=TRUE,GeneralConditions!T31,0)+IF(MainForm!AA116=TRUE,GeneralConditions!U31,0)+IF(MainForm!AA117=TRUE,GeneralConditions!V31,0)</f>
        <v>42.875</v>
      </c>
      <c r="E5" s="308"/>
      <c r="F5" s="509">
        <f t="shared" si="0"/>
        <v>42.875</v>
      </c>
      <c r="G5" s="304"/>
      <c r="J5" t="s">
        <v>544</v>
      </c>
      <c r="K5" s="512"/>
      <c r="L5" s="514">
        <v>4</v>
      </c>
      <c r="M5" s="658">
        <f t="shared" ref="M5:M20" si="1">L5*K5</f>
        <v>0</v>
      </c>
      <c r="N5" s="854"/>
      <c r="O5" s="801"/>
    </row>
    <row r="6" spans="1:15">
      <c r="B6" t="s">
        <v>522</v>
      </c>
      <c r="C6" s="262"/>
      <c r="D6" s="509">
        <f>IF(MainForm!AA113=TRUE,R32,0)+IF(MainForm!AA114=TRUE,GeneralConditions!S32,0)+IF(MainForm!AA115=TRUE,GeneralConditions!T32,0)+IF(MainForm!AA116=TRUE,GeneralConditions!U32,0)+IF(MainForm!AA117=TRUE,GeneralConditions!V32,0)</f>
        <v>63.237500000000004</v>
      </c>
      <c r="E6" s="308"/>
      <c r="F6" s="509">
        <f t="shared" si="0"/>
        <v>63.237500000000004</v>
      </c>
      <c r="G6" s="304"/>
      <c r="J6" t="s">
        <v>545</v>
      </c>
      <c r="K6" s="512"/>
      <c r="L6" s="515">
        <v>0.2</v>
      </c>
      <c r="M6" s="658">
        <f t="shared" si="1"/>
        <v>0</v>
      </c>
      <c r="N6" s="854" t="s">
        <v>557</v>
      </c>
      <c r="O6" s="801"/>
    </row>
    <row r="7" spans="1:15">
      <c r="B7" t="s">
        <v>406</v>
      </c>
      <c r="C7" s="262"/>
      <c r="D7" s="509">
        <f>IF(MainForm!AA113=TRUE,R33,0)+IF(MainForm!AA114=TRUE,GeneralConditions!S33,0)+IF(MainForm!AA115=TRUE,GeneralConditions!T33,0)+IF(MainForm!AA116=TRUE,GeneralConditions!U33,0)+IF(MainForm!AA117=TRUE,GeneralConditions!V33,0)</f>
        <v>6.2874999999999996</v>
      </c>
      <c r="E7" s="308"/>
      <c r="F7" s="509">
        <f t="shared" si="0"/>
        <v>6.2874999999999996</v>
      </c>
      <c r="G7" s="304"/>
      <c r="J7" t="s">
        <v>546</v>
      </c>
      <c r="K7" s="512"/>
      <c r="L7" s="514">
        <v>8</v>
      </c>
      <c r="M7" s="658">
        <f t="shared" si="1"/>
        <v>0</v>
      </c>
      <c r="N7" s="854" t="s">
        <v>558</v>
      </c>
      <c r="O7" s="801"/>
    </row>
    <row r="8" spans="1:15">
      <c r="B8" t="s">
        <v>525</v>
      </c>
      <c r="C8" s="262"/>
      <c r="D8" s="509">
        <f>IF(MainForm!AA113=TRUE,R34,0)+IF(MainForm!AA114=TRUE,GeneralConditions!S34,0)+IF(MainForm!AA115=TRUE,GeneralConditions!T34,0)+IF(MainForm!AA116=TRUE,GeneralConditions!U34,0)+IF(MainForm!AA117=TRUE,GeneralConditions!V34,0)</f>
        <v>19.9375</v>
      </c>
      <c r="E8" s="308"/>
      <c r="F8" s="509">
        <f t="shared" si="0"/>
        <v>19.9375</v>
      </c>
      <c r="G8" s="304"/>
      <c r="J8" t="s">
        <v>547</v>
      </c>
      <c r="K8" s="512"/>
      <c r="L8" s="514">
        <v>16</v>
      </c>
      <c r="M8" s="658">
        <f t="shared" si="1"/>
        <v>0</v>
      </c>
      <c r="N8" s="854" t="s">
        <v>559</v>
      </c>
      <c r="O8" s="801"/>
    </row>
    <row r="9" spans="1:15">
      <c r="B9" t="s">
        <v>210</v>
      </c>
      <c r="C9" s="512"/>
      <c r="D9" s="509">
        <f>IF(MainForm!AA113=TRUE,R28,0)+IF(MainForm!AA114=TRUE,GeneralConditions!S28,0)+IF(MainForm!AA115=TRUE,GeneralConditions!T28,0)+IF(MainForm!AA116=TRUE,GeneralConditions!U28,0)+IF(MainForm!AA117=TRUE,GeneralConditions!V28,0)</f>
        <v>0</v>
      </c>
      <c r="E9" s="308"/>
      <c r="F9" s="509">
        <f t="shared" si="0"/>
        <v>0</v>
      </c>
      <c r="G9" s="310"/>
      <c r="H9" s="309"/>
      <c r="J9" s="309" t="s">
        <v>548</v>
      </c>
      <c r="K9" s="512"/>
      <c r="L9" s="514">
        <v>8</v>
      </c>
      <c r="M9" s="658">
        <f t="shared" si="1"/>
        <v>0</v>
      </c>
      <c r="N9" s="854" t="s">
        <v>558</v>
      </c>
      <c r="O9" s="801"/>
    </row>
    <row r="10" spans="1:15">
      <c r="B10" s="309" t="s">
        <v>563</v>
      </c>
      <c r="C10" s="262"/>
      <c r="D10" s="509">
        <f>(IF(MainForm!AA113=TRUE,(SUMIF(MainForm!Z3:Z104,MainForm!A113,MainForm!Y3:Y104)),0)+IF(MainForm!AA114=TRUE,(SUMIF(MainForm!Z3:Z104,MainForm!A114,MainForm!Y3:Y104)),0)+IF(MainForm!AA115=TRUE,(SUMIF(MainForm!Z3:Z104,MainForm!A115,MainForm!Y3:Y104)),0)+IF(MainForm!AA116=TRUE,(SUMIF(MainForm!Z3:Z104,MainForm!A116,MainForm!Y3:Y104)),0)+IF(MainForm!AA117=TRUE,(SUMIF(MainForm!Z3:Z104,MainForm!A117,MainForm!Y3:Y104)),0))/8</f>
        <v>0</v>
      </c>
      <c r="E10" s="308"/>
      <c r="F10" s="509">
        <f t="shared" si="0"/>
        <v>0</v>
      </c>
      <c r="G10" s="304"/>
      <c r="J10" s="309" t="s">
        <v>549</v>
      </c>
      <c r="K10" s="512"/>
      <c r="L10" s="515">
        <v>0.2</v>
      </c>
      <c r="M10" s="658">
        <f t="shared" si="1"/>
        <v>0</v>
      </c>
      <c r="N10" s="854" t="s">
        <v>560</v>
      </c>
      <c r="O10" s="801"/>
    </row>
    <row r="11" spans="1:15">
      <c r="B11" s="309" t="s">
        <v>564</v>
      </c>
      <c r="C11" s="262"/>
      <c r="D11" s="509"/>
      <c r="E11" s="308"/>
      <c r="F11" s="509">
        <f t="shared" si="0"/>
        <v>0</v>
      </c>
      <c r="G11" s="304"/>
      <c r="J11" s="309" t="s">
        <v>204</v>
      </c>
      <c r="K11" s="512"/>
      <c r="L11" s="515">
        <v>0.2</v>
      </c>
      <c r="M11" s="658">
        <f t="shared" si="1"/>
        <v>0</v>
      </c>
      <c r="N11" s="854" t="s">
        <v>557</v>
      </c>
      <c r="O11" s="801"/>
    </row>
    <row r="12" spans="1:15">
      <c r="B12" s="309" t="s">
        <v>681</v>
      </c>
      <c r="C12" s="262"/>
      <c r="D12" s="509">
        <f>IF(MainForm!AA113=TRUE,GeneralConditions!R29,0)+IF(MainForm!AA114=TRUE,GeneralConditions!S29,0)+IF(MainForm!AA115=TRUE,GeneralConditions!T29,0)+IF(MainForm!AA116=TRUE,GeneralConditions!U29,0)+IF(MainForm!AA117=TRUE,GeneralConditions!V29,0)</f>
        <v>0</v>
      </c>
      <c r="E12" s="308"/>
      <c r="F12" s="509">
        <f>E12+D12</f>
        <v>0</v>
      </c>
      <c r="G12" s="304"/>
      <c r="J12" s="309" t="s">
        <v>550</v>
      </c>
      <c r="K12" s="512"/>
      <c r="L12" s="514">
        <v>4</v>
      </c>
      <c r="M12" s="658">
        <f t="shared" si="1"/>
        <v>0</v>
      </c>
      <c r="N12" s="854"/>
      <c r="O12" s="801"/>
    </row>
    <row r="13" spans="1:15">
      <c r="B13" s="309"/>
      <c r="C13" s="262"/>
      <c r="D13" s="509"/>
      <c r="E13" s="308"/>
      <c r="F13" s="509"/>
      <c r="G13" s="304"/>
      <c r="J13" s="309" t="s">
        <v>551</v>
      </c>
      <c r="K13" s="512"/>
      <c r="L13" s="514">
        <v>8</v>
      </c>
      <c r="M13" s="658">
        <f t="shared" si="1"/>
        <v>0</v>
      </c>
      <c r="N13" s="854"/>
      <c r="O13" s="801"/>
    </row>
    <row r="14" spans="1:15">
      <c r="A14" s="853" t="s">
        <v>539</v>
      </c>
      <c r="B14" s="853"/>
      <c r="C14" s="853"/>
      <c r="D14" s="853"/>
      <c r="E14" s="853"/>
      <c r="F14" s="853"/>
      <c r="G14" s="853"/>
      <c r="J14" s="309" t="s">
        <v>552</v>
      </c>
      <c r="K14" s="512"/>
      <c r="L14" s="514">
        <v>8</v>
      </c>
      <c r="M14" s="658">
        <f t="shared" si="1"/>
        <v>0</v>
      </c>
      <c r="N14" s="854"/>
      <c r="O14" s="801"/>
    </row>
    <row r="15" spans="1:15">
      <c r="A15" s="853"/>
      <c r="B15" s="853"/>
      <c r="C15" s="853"/>
      <c r="D15" s="853"/>
      <c r="E15" s="853"/>
      <c r="F15" s="853"/>
      <c r="G15" s="853"/>
      <c r="J15" s="302" t="s">
        <v>553</v>
      </c>
      <c r="K15" s="512"/>
      <c r="L15" s="514">
        <v>8</v>
      </c>
      <c r="M15" s="658">
        <f t="shared" si="1"/>
        <v>0</v>
      </c>
      <c r="N15" s="854"/>
      <c r="O15" s="801"/>
    </row>
    <row r="16" spans="1:15">
      <c r="A16" t="s">
        <v>526</v>
      </c>
      <c r="G16" s="306"/>
      <c r="J16" s="302" t="s">
        <v>554</v>
      </c>
      <c r="K16" s="512"/>
      <c r="L16" s="514">
        <v>4</v>
      </c>
      <c r="M16" s="658">
        <f t="shared" si="1"/>
        <v>0</v>
      </c>
      <c r="N16" s="854" t="s">
        <v>561</v>
      </c>
      <c r="O16" s="801"/>
    </row>
    <row r="17" spans="2:22" ht="13.2" thickBot="1">
      <c r="B17" s="301" t="s">
        <v>533</v>
      </c>
      <c r="C17" s="303" t="str">
        <f>MainForm!$A$113</f>
        <v>Base</v>
      </c>
      <c r="D17" s="303" t="str">
        <f>MainForm!$A$114</f>
        <v>Alt-1</v>
      </c>
      <c r="E17" s="303" t="str">
        <f>MainForm!$A$115</f>
        <v>Alt-2</v>
      </c>
      <c r="F17" s="303" t="str">
        <f>MainForm!$A$116</f>
        <v>Alt-3</v>
      </c>
      <c r="G17" s="303" t="str">
        <f>MainForm!$A$117</f>
        <v>Alt-4</v>
      </c>
      <c r="J17" s="302" t="s">
        <v>270</v>
      </c>
      <c r="K17" s="512"/>
      <c r="L17" s="514">
        <v>6</v>
      </c>
      <c r="M17" s="658">
        <f t="shared" si="1"/>
        <v>0</v>
      </c>
      <c r="N17" s="854" t="s">
        <v>561</v>
      </c>
      <c r="O17" s="801"/>
      <c r="Q17" t="s">
        <v>687</v>
      </c>
    </row>
    <row r="18" spans="2:22">
      <c r="B18" t="s">
        <v>198</v>
      </c>
      <c r="C18" s="733"/>
      <c r="D18" s="734"/>
      <c r="E18" s="735"/>
      <c r="F18" s="734"/>
      <c r="G18" s="736"/>
      <c r="J18" s="302" t="s">
        <v>555</v>
      </c>
      <c r="K18" s="512"/>
      <c r="L18" s="514">
        <v>3</v>
      </c>
      <c r="M18" s="658">
        <f t="shared" si="1"/>
        <v>0</v>
      </c>
      <c r="N18" s="854" t="s">
        <v>561</v>
      </c>
      <c r="O18" s="801"/>
      <c r="Q18" t="s">
        <v>685</v>
      </c>
    </row>
    <row r="19" spans="2:22">
      <c r="B19" t="s">
        <v>361</v>
      </c>
      <c r="C19" s="733"/>
      <c r="D19" s="734"/>
      <c r="E19" s="735"/>
      <c r="F19" s="734"/>
      <c r="G19" s="736"/>
      <c r="J19" s="302" t="s">
        <v>556</v>
      </c>
      <c r="K19" s="512"/>
      <c r="L19" s="514">
        <v>2</v>
      </c>
      <c r="M19" s="658">
        <f t="shared" si="1"/>
        <v>0</v>
      </c>
      <c r="N19" s="854" t="s">
        <v>562</v>
      </c>
      <c r="O19" s="801"/>
      <c r="Q19" t="s">
        <v>686</v>
      </c>
    </row>
    <row r="20" spans="2:22">
      <c r="B20" t="s">
        <v>220</v>
      </c>
      <c r="C20" s="733"/>
      <c r="D20" s="734"/>
      <c r="E20" s="735"/>
      <c r="F20" s="734"/>
      <c r="G20" s="736"/>
      <c r="J20" s="302" t="s">
        <v>594</v>
      </c>
      <c r="K20" s="512"/>
      <c r="L20" s="514">
        <v>0.25</v>
      </c>
      <c r="M20" s="658">
        <f t="shared" si="1"/>
        <v>0</v>
      </c>
      <c r="N20" s="854" t="s">
        <v>595</v>
      </c>
      <c r="O20" s="801"/>
    </row>
    <row r="21" spans="2:22">
      <c r="B21" t="s">
        <v>221</v>
      </c>
      <c r="C21" s="733"/>
      <c r="D21" s="734"/>
      <c r="E21" s="735"/>
      <c r="F21" s="734"/>
      <c r="G21" s="736"/>
      <c r="J21" s="302"/>
      <c r="K21" s="512"/>
      <c r="L21" s="517"/>
      <c r="M21" s="510"/>
      <c r="N21" s="854"/>
      <c r="O21" s="801"/>
    </row>
    <row r="22" spans="2:22">
      <c r="B22" t="s">
        <v>362</v>
      </c>
      <c r="C22" s="733"/>
      <c r="D22" s="734"/>
      <c r="E22" s="735"/>
      <c r="F22" s="734"/>
      <c r="G22" s="736"/>
      <c r="J22" s="516" t="s">
        <v>188</v>
      </c>
      <c r="M22" s="513">
        <f>SUM(M4:M21)</f>
        <v>0</v>
      </c>
    </row>
    <row r="23" spans="2:22">
      <c r="B23" s="309" t="s">
        <v>534</v>
      </c>
      <c r="C23" s="733"/>
      <c r="D23" s="734"/>
      <c r="E23" s="735"/>
      <c r="F23" s="734"/>
      <c r="G23" s="737"/>
      <c r="J23" s="2"/>
    </row>
    <row r="24" spans="2:22">
      <c r="B24" s="309" t="s">
        <v>66</v>
      </c>
      <c r="C24" s="733"/>
      <c r="D24" s="734"/>
      <c r="E24" s="735"/>
      <c r="F24" s="734"/>
      <c r="G24" s="736"/>
      <c r="J24" s="853" t="s">
        <v>215</v>
      </c>
      <c r="K24" s="853"/>
      <c r="L24" s="853"/>
      <c r="M24" s="853"/>
      <c r="N24" s="853"/>
      <c r="O24" s="853"/>
      <c r="Q24" s="853" t="s">
        <v>682</v>
      </c>
      <c r="R24" s="853"/>
      <c r="S24" s="853"/>
      <c r="T24" s="853"/>
      <c r="U24" s="853"/>
      <c r="V24" s="853"/>
    </row>
    <row r="25" spans="2:22" ht="12.75" customHeight="1">
      <c r="B25" s="705" t="s">
        <v>363</v>
      </c>
      <c r="C25" s="733"/>
      <c r="D25" s="734"/>
      <c r="E25" s="735"/>
      <c r="F25" s="734"/>
      <c r="G25" s="736"/>
      <c r="H25" s="740"/>
      <c r="J25" s="853"/>
      <c r="K25" s="853"/>
      <c r="L25" s="853"/>
      <c r="M25" s="853"/>
      <c r="N25" s="853"/>
      <c r="O25" s="853"/>
      <c r="P25" s="703"/>
      <c r="Q25" s="853"/>
      <c r="R25" s="853"/>
      <c r="S25" s="853"/>
      <c r="T25" s="853"/>
      <c r="U25" s="853"/>
      <c r="V25" s="853"/>
    </row>
    <row r="26" spans="2:22" ht="12.75" customHeight="1">
      <c r="B26" s="704" t="s">
        <v>535</v>
      </c>
      <c r="C26" s="733"/>
      <c r="D26" s="734"/>
      <c r="E26" s="735"/>
      <c r="F26" s="734"/>
      <c r="G26" s="736"/>
      <c r="H26" s="740"/>
      <c r="I26" s="702"/>
      <c r="P26" s="703"/>
      <c r="Q26" s="703"/>
      <c r="R26" s="703"/>
      <c r="S26" s="703"/>
      <c r="T26" s="703"/>
      <c r="U26" s="703"/>
      <c r="V26" s="703"/>
    </row>
    <row r="27" spans="2:22" ht="12.75" customHeight="1">
      <c r="B27" s="705" t="s">
        <v>536</v>
      </c>
      <c r="C27" s="733"/>
      <c r="D27" s="734"/>
      <c r="E27" s="735"/>
      <c r="F27" s="738"/>
      <c r="G27" s="736"/>
      <c r="H27" s="740"/>
      <c r="I27" s="702"/>
      <c r="J27" s="711" t="s">
        <v>683</v>
      </c>
      <c r="K27" s="711" t="s">
        <v>450</v>
      </c>
      <c r="L27" s="711" t="s">
        <v>506</v>
      </c>
      <c r="M27" s="711" t="s">
        <v>507</v>
      </c>
      <c r="N27" s="711" t="s">
        <v>508</v>
      </c>
      <c r="O27" s="711" t="s">
        <v>509</v>
      </c>
      <c r="Q27" s="706" t="s">
        <v>531</v>
      </c>
      <c r="R27" s="706" t="str">
        <f>MainForm!$A$113</f>
        <v>Base</v>
      </c>
      <c r="S27" s="706" t="str">
        <f>MainForm!$A$114</f>
        <v>Alt-1</v>
      </c>
      <c r="T27" s="706" t="str">
        <f>MainForm!$A$115</f>
        <v>Alt-2</v>
      </c>
      <c r="U27" s="706" t="str">
        <f>MainForm!$A$116</f>
        <v>Alt-3</v>
      </c>
      <c r="V27" s="706" t="str">
        <f>MainForm!$A$117</f>
        <v>Alt-4</v>
      </c>
    </row>
    <row r="28" spans="2:22">
      <c r="B28" s="309" t="s">
        <v>365</v>
      </c>
      <c r="C28" s="733"/>
      <c r="D28" s="734"/>
      <c r="E28" s="735"/>
      <c r="F28" s="738"/>
      <c r="G28" s="736"/>
      <c r="I28" s="277"/>
      <c r="J28" s="707" t="s">
        <v>684</v>
      </c>
      <c r="K28" s="707"/>
      <c r="L28" s="707"/>
      <c r="M28" s="707"/>
      <c r="N28" s="707"/>
      <c r="O28" s="707"/>
      <c r="Q28" s="707" t="s">
        <v>678</v>
      </c>
      <c r="R28" s="709">
        <f>K$39</f>
        <v>0</v>
      </c>
      <c r="S28" s="709">
        <f>L$39</f>
        <v>0</v>
      </c>
      <c r="T28" s="709">
        <f>M$39</f>
        <v>0</v>
      </c>
      <c r="U28" s="709">
        <f>N$39</f>
        <v>0</v>
      </c>
      <c r="V28" s="709">
        <f>O$39</f>
        <v>0</v>
      </c>
    </row>
    <row r="29" spans="2:22">
      <c r="B29" s="302" t="s">
        <v>366</v>
      </c>
      <c r="C29" s="733"/>
      <c r="D29" s="734"/>
      <c r="E29" s="735"/>
      <c r="F29" s="738"/>
      <c r="G29" s="736"/>
      <c r="I29" s="277"/>
      <c r="J29" s="304" t="s">
        <v>694</v>
      </c>
      <c r="K29" s="304"/>
      <c r="L29" s="304"/>
      <c r="M29" s="304"/>
      <c r="N29" s="304"/>
      <c r="O29" s="304"/>
      <c r="Q29" s="707" t="s">
        <v>679</v>
      </c>
      <c r="R29" s="707"/>
      <c r="S29" s="707"/>
      <c r="T29" s="707"/>
      <c r="U29" s="707"/>
      <c r="V29" s="707"/>
    </row>
    <row r="30" spans="2:22">
      <c r="B30" s="302" t="s">
        <v>537</v>
      </c>
      <c r="C30" s="733"/>
      <c r="D30" s="734"/>
      <c r="E30" s="735"/>
      <c r="F30" s="738"/>
      <c r="G30" s="736"/>
      <c r="I30" s="277"/>
      <c r="J30" s="304" t="s">
        <v>688</v>
      </c>
      <c r="K30" s="304"/>
      <c r="L30" s="304"/>
      <c r="M30" s="304"/>
      <c r="N30" s="304"/>
      <c r="O30" s="304"/>
      <c r="Q30" s="707" t="s">
        <v>524</v>
      </c>
      <c r="R30" s="709">
        <f>(SUMIF(MainForm!$Z$3:$Z$104,MainForm!A113,MainForm!$V$3:$V$104)+SUMIF(MainForm!$Z$3:$Z$104,MainForm!A113,MainForm!$W$3:$W$104)+SUMIF(MainForm!$Z$3:$Z$104,MainForm!A113,MainForm!$X$3:$X$104)+ReferPipe!H53+SUMIF(ReferPipe!$Y$37:$Y$45,MainForm!A113,ReferPipe!$W$37:$W$45)+R28)/8/4</f>
        <v>27.153125000000003</v>
      </c>
      <c r="S30" s="709">
        <f>(SUMIF(MainForm!$Z$3:$Z$104,MainForm!A114,MainForm!$V$3:$V$104)+SUMIF(MainForm!$Z$3:$Z$104,MainForm!A114,MainForm!$W$3:$W$104)+SUMIF(MainForm!$Z$3:$Z$104,MainForm!A114,MainForm!$X$3:$X$104)+SUMIF(ReferPipe!$Y$37:$Y$45,MainForm!A114,ReferPipe!$W$37:$W$45)+S28)/8/4</f>
        <v>0</v>
      </c>
      <c r="T30" s="709">
        <f>(SUMIF(MainForm!$Z$3:$Z$104,MainForm!A115,MainForm!$V$3:$V$104)+SUMIF(MainForm!$Z$3:$Z$104,MainForm!A115,MainForm!$W$3:$W$104)+SUMIF(MainForm!$Z$3:$Z$104,MainForm!A115,MainForm!$X$3:$X$104)+SUMIF(ReferPipe!$Y$37:$Y$45,MainForm!A115,ReferPipe!$W$37:$W$45)+T28)/8/4</f>
        <v>0</v>
      </c>
      <c r="U30" s="709">
        <f>(SUMIF(MainForm!$Z$3:$Z$104,MainForm!A116,MainForm!$V$3:$V$104)+SUMIF(MainForm!$Z$3:$Z$104,MainForm!A116,MainForm!$W$3:$W$104)+SUMIF(MainForm!$Z$3:$Z$104,MainForm!A116,MainForm!$X$3:$X$104)+SUMIF(ReferPipe!$Y$37:$Y$45,MainForm!A116,ReferPipe!$W$37:$W$45)+U28)/8/4</f>
        <v>0</v>
      </c>
      <c r="V30" s="709">
        <f>(SUMIF(MainForm!$Z$3:$Z$104,MainForm!A117,MainForm!$V$3:$V$104)+SUMIF(MainForm!$Z$3:$Z$104,MainForm!A117,MainForm!$W$3:$W$104)+SUMIF(MainForm!$Z$3:$Z$104,MainForm!A117,MainForm!$X$3:$X$104)+SUMIF(ReferPipe!$Y$37:$Y$45,MainForm!A117,ReferPipe!$W$37:$W$45)+V28)/8/4</f>
        <v>0</v>
      </c>
    </row>
    <row r="31" spans="2:22">
      <c r="B31" s="302" t="s">
        <v>225</v>
      </c>
      <c r="C31" s="739" t="s">
        <v>542</v>
      </c>
      <c r="D31" s="734"/>
      <c r="E31" s="735"/>
      <c r="F31" s="738"/>
      <c r="G31" s="736"/>
      <c r="I31" s="277"/>
      <c r="J31" s="304" t="s">
        <v>689</v>
      </c>
      <c r="K31" s="304"/>
      <c r="L31" s="304"/>
      <c r="M31" s="304"/>
      <c r="N31" s="304"/>
      <c r="O31" s="304"/>
      <c r="Q31" s="707" t="s">
        <v>521</v>
      </c>
      <c r="R31" s="709">
        <f>SUMIF(MainForm!$Z$3:$Z$104,MainForm!A113,MainForm!$V$3:$V$104)/8</f>
        <v>42.875</v>
      </c>
      <c r="S31" s="709">
        <f>SUMIF(MainForm!$Z$3:$Z$104,MainForm!A114,MainForm!$V$3:$V$104)/8</f>
        <v>0</v>
      </c>
      <c r="T31" s="709">
        <f>SUMIF(MainForm!$Z$3:$Z$104,MainForm!A115,MainForm!$V$3:$V$104)/8</f>
        <v>0</v>
      </c>
      <c r="U31" s="709">
        <f>SUMIF(MainForm!$Z$3:$Z$104,MainForm!A116,MainForm!$V$3:$V$104)/8</f>
        <v>0</v>
      </c>
      <c r="V31" s="709">
        <f>SUMIF(MainForm!$Z$3:$Z$104,MainForm!A117,MainForm!$V$3:$V$104)/8</f>
        <v>0</v>
      </c>
    </row>
    <row r="32" spans="2:22">
      <c r="B32" s="302" t="s">
        <v>538</v>
      </c>
      <c r="C32" s="733"/>
      <c r="D32" s="734"/>
      <c r="E32" s="735"/>
      <c r="F32" s="738"/>
      <c r="G32" s="736"/>
      <c r="I32" s="277"/>
      <c r="J32" s="304" t="s">
        <v>690</v>
      </c>
      <c r="K32" s="304"/>
      <c r="L32" s="304"/>
      <c r="M32" s="304"/>
      <c r="N32" s="304"/>
      <c r="O32" s="304"/>
      <c r="Q32" s="707" t="s">
        <v>522</v>
      </c>
      <c r="R32" s="709">
        <f>(SUM(SUMIF(MainForm!$Z$3:$Z$104,MainForm!A113,MainForm!$X$3:$X$104),ReferPipe!H53,SUMIF(ReferPipe!$Y$37:$Y$41,MainForm!A113,ReferPipe!$W$37:$W$41)))/8</f>
        <v>63.237500000000004</v>
      </c>
      <c r="S32" s="709">
        <f>(SUM(SUMIF(MainForm!$Z$3:$Z$104,MainForm!A114,MainForm!$X$3:$X$104),SUMIF(ReferPipe!$Y$37:$Y$41,MainForm!A114,ReferPipe!$W$37:$W$41)))/8</f>
        <v>0</v>
      </c>
      <c r="T32" s="709">
        <f>(SUM(SUMIF(MainForm!$Z$3:$Z$104,MainForm!A115,MainForm!$X$3:$X$104),SUMIF(ReferPipe!$Y$37:$Y$41,MainForm!A115,ReferPipe!$W$37:$W$41)))/8</f>
        <v>0</v>
      </c>
      <c r="U32" s="709">
        <f>(SUM(SUMIF(MainForm!$Z$3:$Z$104,MainForm!A116,MainForm!$X$3:$X$104),SUMIF(ReferPipe!$Y$37:$Y$41,MainForm!A116,ReferPipe!$W$37:$W$41)))/8</f>
        <v>0</v>
      </c>
      <c r="V32" s="709">
        <f>(SUM(SUMIF(MainForm!$Z$3:$Z$104,MainForm!A117,MainForm!$X$3:$X$104),SUMIF(ReferPipe!$Y$37:$Y$41,MainForm!A117,ReferPipe!$W$37:$W$41)))/8</f>
        <v>0</v>
      </c>
    </row>
    <row r="33" spans="2:22">
      <c r="B33" s="302" t="s">
        <v>360</v>
      </c>
      <c r="C33" s="733"/>
      <c r="D33" s="734"/>
      <c r="E33" s="735"/>
      <c r="F33" s="738"/>
      <c r="G33" s="736"/>
      <c r="I33" s="277"/>
      <c r="J33" s="304" t="s">
        <v>691</v>
      </c>
      <c r="K33" s="304"/>
      <c r="L33" s="304"/>
      <c r="M33" s="304"/>
      <c r="N33" s="304"/>
      <c r="O33" s="304"/>
      <c r="Q33" s="707" t="s">
        <v>406</v>
      </c>
      <c r="R33" s="709">
        <f>IF(R31=0,0,2+(R31+E5)/10)</f>
        <v>6.2874999999999996</v>
      </c>
      <c r="S33" s="709">
        <f>S31/10</f>
        <v>0</v>
      </c>
      <c r="T33" s="709">
        <f>T31/10</f>
        <v>0</v>
      </c>
      <c r="U33" s="709">
        <f>U31/10</f>
        <v>0</v>
      </c>
      <c r="V33" s="709">
        <f>V31/10</f>
        <v>0</v>
      </c>
    </row>
    <row r="34" spans="2:22">
      <c r="B34" s="302" t="s">
        <v>695</v>
      </c>
      <c r="C34" s="733"/>
      <c r="D34" s="734"/>
      <c r="E34" s="735"/>
      <c r="F34" s="734"/>
      <c r="G34" s="736"/>
      <c r="I34" s="277"/>
      <c r="J34" s="707" t="s">
        <v>692</v>
      </c>
      <c r="K34" s="304"/>
      <c r="L34" s="304"/>
      <c r="M34" s="304"/>
      <c r="N34" s="304"/>
      <c r="O34" s="304"/>
      <c r="Q34" s="707" t="s">
        <v>680</v>
      </c>
      <c r="R34" s="709">
        <f>SUMIF(MainForm!$Z$3:$Z$104,MainForm!A113,MainForm!$AB$3:$AB$104)</f>
        <v>19.9375</v>
      </c>
      <c r="S34" s="709">
        <f>SUMIF(MainForm!$Z$3:$Z$104,MainForm!A114,MainForm!$AB$3:$AB$104)</f>
        <v>0</v>
      </c>
      <c r="T34" s="709">
        <f>SUMIF(MainForm!$Z$3:$Z$104,MainForm!A115,MainForm!$AB$3:$AB$104)</f>
        <v>0</v>
      </c>
      <c r="U34" s="709">
        <f>SUMIF(MainForm!$Z$3:$Z$104,MainForm!A116,MainForm!$AB$3:$AB$104)</f>
        <v>0</v>
      </c>
      <c r="V34" s="709">
        <f>SUMIF(MainForm!$Z$3:$Z$104,MainForm!A117,MainForm!$AB$3:$AB$104)</f>
        <v>0</v>
      </c>
    </row>
    <row r="35" spans="2:22">
      <c r="I35" s="277"/>
      <c r="J35" s="715" t="s">
        <v>693</v>
      </c>
      <c r="K35" s="304"/>
      <c r="L35" s="304"/>
      <c r="M35" s="304"/>
      <c r="N35" s="304"/>
      <c r="O35" s="304"/>
    </row>
    <row r="36" spans="2:22">
      <c r="I36" s="277"/>
      <c r="J36" s="304"/>
      <c r="K36" s="713"/>
      <c r="L36" s="716"/>
      <c r="M36" s="510"/>
      <c r="N36" s="717"/>
      <c r="O36" s="718"/>
    </row>
    <row r="37" spans="2:22">
      <c r="G37" s="719"/>
      <c r="H37" s="719"/>
      <c r="I37" s="720" t="s">
        <v>697</v>
      </c>
      <c r="J37" s="304" t="s">
        <v>687</v>
      </c>
      <c r="K37" s="710">
        <f>_xlfn.IFS($J$37=$Q$17, 0.5, $J$37=$Q$18, 1, $J$37=$Q$19, 1.5)</f>
        <v>0.5</v>
      </c>
      <c r="L37" s="710">
        <f>_xlfn.IFS($J$37=$Q$17, 0.5, $J$37=$Q$18, 1, $J$37=$Q$19, 1.5)</f>
        <v>0.5</v>
      </c>
      <c r="M37" s="710">
        <f>_xlfn.IFS($J$37=$Q$17, 0.5, $J$37=$Q$18, 1, $J$37=$Q$19, 1.5)</f>
        <v>0.5</v>
      </c>
      <c r="N37" s="710">
        <f>_xlfn.IFS($J$37=$Q$17, 0.5, $J$37=$Q$18, 1, $J$37=$Q$19, 1.5)</f>
        <v>0.5</v>
      </c>
      <c r="O37" s="710">
        <f>_xlfn.IFS($J$37=$Q$17, 0.5, $J$37=$Q$18, 1, $J$37=$Q$19, 1.5)</f>
        <v>0.5</v>
      </c>
    </row>
    <row r="38" spans="2:22">
      <c r="J38" s="714" t="s">
        <v>523</v>
      </c>
      <c r="K38" s="304"/>
      <c r="L38" s="304"/>
      <c r="M38" s="304"/>
      <c r="N38" s="304"/>
      <c r="O38" s="304"/>
    </row>
    <row r="39" spans="2:22">
      <c r="J39" s="712" t="s">
        <v>188</v>
      </c>
      <c r="K39" s="658">
        <f>SUM((K$28*0.05), (K$29*0.04), (K$30*0.25), (K$31*(IF(K$31&lt;=1,8,IF(K$31&lt;=2,6,IF(K$31&lt;=3,5,IF(K$31&lt;=4,4,3)))))), (K$32*2), (K$33*4), K$34, (K$35*0.5))*K$37+K$38</f>
        <v>0</v>
      </c>
      <c r="L39" s="658">
        <f t="shared" ref="L39:O39" si="2">SUM((L$28*0.05), (L$29*0.04), (L$30*0.25), (L$31*(IF(L$31&lt;=1,8,IF(L$31&lt;=2,6,IF(L$31&lt;=3,5,IF(L$31&lt;=4,4,3)))))), (L$32*2), (L$33*4), L$34, (L$35*0.5))*L$37+L$38</f>
        <v>0</v>
      </c>
      <c r="M39" s="658">
        <f t="shared" si="2"/>
        <v>0</v>
      </c>
      <c r="N39" s="658">
        <f t="shared" si="2"/>
        <v>0</v>
      </c>
      <c r="O39" s="658">
        <f t="shared" si="2"/>
        <v>0</v>
      </c>
    </row>
    <row r="58" spans="5:5">
      <c r="E58" s="513"/>
    </row>
  </sheetData>
  <sheetProtection sheet="1" objects="1" scenarios="1"/>
  <mergeCells count="23">
    <mergeCell ref="Q24:V25"/>
    <mergeCell ref="A1:G1"/>
    <mergeCell ref="I1:O1"/>
    <mergeCell ref="A14:G15"/>
    <mergeCell ref="N4:O4"/>
    <mergeCell ref="N5:O5"/>
    <mergeCell ref="N6:O6"/>
    <mergeCell ref="N7:O7"/>
    <mergeCell ref="N8:O8"/>
    <mergeCell ref="N9:O9"/>
    <mergeCell ref="N10:O10"/>
    <mergeCell ref="N11:O11"/>
    <mergeCell ref="N12:O12"/>
    <mergeCell ref="N13:O13"/>
    <mergeCell ref="N14:O14"/>
    <mergeCell ref="N15:O15"/>
    <mergeCell ref="J24:O25"/>
    <mergeCell ref="N21:O21"/>
    <mergeCell ref="N16:O16"/>
    <mergeCell ref="N17:O17"/>
    <mergeCell ref="N18:O18"/>
    <mergeCell ref="N19:O19"/>
    <mergeCell ref="N20:O20"/>
  </mergeCells>
  <dataValidations count="1">
    <dataValidation type="list" showInputMessage="1" showErrorMessage="1" sqref="J37" xr:uid="{320F804E-EB77-4ED1-961D-6E7AD4CBA3C3}">
      <formula1>$Q$17:$Q$19</formula1>
    </dataValidation>
  </dataValidation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1">
    <pageSetUpPr fitToPage="1"/>
  </sheetPr>
  <dimension ref="A1:Y64"/>
  <sheetViews>
    <sheetView workbookViewId="0">
      <selection activeCell="L36" sqref="L36"/>
    </sheetView>
  </sheetViews>
  <sheetFormatPr defaultColWidth="9.88671875" defaultRowHeight="13.2"/>
  <cols>
    <col min="1" max="1" width="12" style="74" customWidth="1"/>
    <col min="2" max="2" width="10.33203125" style="74" customWidth="1"/>
    <col min="3" max="4" width="9.88671875" style="74" customWidth="1"/>
    <col min="5" max="6" width="12.33203125" style="74" customWidth="1"/>
    <col min="7" max="7" width="11.109375" style="74" customWidth="1"/>
    <col min="8" max="8" width="9.88671875" style="74" customWidth="1"/>
    <col min="9" max="9" width="4.44140625" style="74" customWidth="1"/>
    <col min="10" max="10" width="19.6640625" style="74" hidden="1" customWidth="1"/>
    <col min="11" max="11" width="9.88671875" style="74" hidden="1" customWidth="1"/>
    <col min="12" max="13" width="9.88671875" style="74"/>
    <col min="14" max="21" width="5.88671875" style="74" customWidth="1"/>
    <col min="22" max="22" width="7.109375" style="74" bestFit="1" customWidth="1"/>
    <col min="23" max="23" width="5.44140625" style="74" customWidth="1"/>
    <col min="24" max="16384" width="9.88671875" style="74"/>
  </cols>
  <sheetData>
    <row r="1" spans="1:22" ht="23.4" thickBot="1">
      <c r="A1" s="247" t="s">
        <v>176</v>
      </c>
      <c r="B1" s="477"/>
      <c r="C1" s="856" t="s">
        <v>49</v>
      </c>
      <c r="D1" s="857"/>
      <c r="E1" s="857"/>
      <c r="F1" s="858"/>
      <c r="G1" s="98"/>
      <c r="H1" s="246" t="s">
        <v>235</v>
      </c>
      <c r="L1" s="566" t="s">
        <v>570</v>
      </c>
      <c r="M1" s="566" t="s">
        <v>571</v>
      </c>
      <c r="N1" s="566" t="s">
        <v>601</v>
      </c>
      <c r="P1" s="564"/>
    </row>
    <row r="2" spans="1:22" ht="13.8" thickBot="1">
      <c r="A2" s="100" t="s">
        <v>59</v>
      </c>
      <c r="B2" s="100" t="s">
        <v>60</v>
      </c>
      <c r="C2" s="100" t="s">
        <v>61</v>
      </c>
      <c r="D2" s="100" t="s">
        <v>85</v>
      </c>
      <c r="E2" s="100" t="s">
        <v>86</v>
      </c>
      <c r="F2" s="100" t="s">
        <v>63</v>
      </c>
      <c r="G2" s="100" t="s">
        <v>64</v>
      </c>
      <c r="H2" s="100" t="s">
        <v>65</v>
      </c>
      <c r="L2" s="70">
        <v>1</v>
      </c>
      <c r="M2" s="70">
        <v>1</v>
      </c>
      <c r="N2" s="70">
        <v>10</v>
      </c>
      <c r="P2" s="564"/>
    </row>
    <row r="3" spans="1:22" ht="13.8" thickBot="1">
      <c r="A3" s="92" t="s">
        <v>177</v>
      </c>
      <c r="B3" s="72" t="s">
        <v>88</v>
      </c>
      <c r="C3" s="570"/>
      <c r="D3" s="75" t="s">
        <v>97</v>
      </c>
      <c r="E3" s="76">
        <v>1.05</v>
      </c>
      <c r="F3" s="76">
        <f>(C3+$M$2*SUMPRODUCT($M$4:$M$31,U$4:U$31))*E3</f>
        <v>0</v>
      </c>
      <c r="G3" s="75">
        <v>0.04</v>
      </c>
      <c r="H3" s="571">
        <f>G3*(C3+$L$2*SUMPRODUCT($M$4:$M$31,U$4:U$31))</f>
        <v>0</v>
      </c>
      <c r="L3" s="565" t="s">
        <v>457</v>
      </c>
      <c r="M3" s="565" t="s">
        <v>34</v>
      </c>
      <c r="N3" s="565" t="s">
        <v>572</v>
      </c>
      <c r="O3" s="565" t="s">
        <v>573</v>
      </c>
      <c r="P3" s="565" t="s">
        <v>574</v>
      </c>
      <c r="Q3" s="565" t="s">
        <v>575</v>
      </c>
      <c r="R3" s="565" t="s">
        <v>576</v>
      </c>
      <c r="S3" s="565" t="s">
        <v>577</v>
      </c>
      <c r="T3" s="565" t="s">
        <v>578</v>
      </c>
      <c r="U3" s="565" t="s">
        <v>579</v>
      </c>
    </row>
    <row r="4" spans="1:22">
      <c r="A4" s="93" t="s">
        <v>49</v>
      </c>
      <c r="B4" s="72" t="s">
        <v>67</v>
      </c>
      <c r="C4" s="71"/>
      <c r="D4" s="72" t="s">
        <v>97</v>
      </c>
      <c r="E4" s="78">
        <v>1.6</v>
      </c>
      <c r="F4" s="78">
        <f>(C4+$M$2*SUMPRODUCT($M$4:$M$31,T$4:T$31))*E4</f>
        <v>0</v>
      </c>
      <c r="G4" s="72">
        <v>0.04</v>
      </c>
      <c r="H4" s="79">
        <f>G4*(C4+$L$2*SUMPRODUCT($M$4:$M$31,T$4:T$31))</f>
        <v>0</v>
      </c>
      <c r="J4" s="855"/>
      <c r="K4" s="855"/>
      <c r="L4" s="662"/>
      <c r="M4" s="663"/>
      <c r="N4" s="664"/>
      <c r="O4" s="662"/>
      <c r="P4" s="662"/>
      <c r="Q4" s="662"/>
      <c r="R4" s="662"/>
      <c r="S4" s="662"/>
      <c r="T4" s="662"/>
      <c r="U4" s="662"/>
      <c r="V4" s="538"/>
    </row>
    <row r="5" spans="1:22">
      <c r="A5" s="93" t="s">
        <v>49</v>
      </c>
      <c r="B5" s="72" t="s">
        <v>89</v>
      </c>
      <c r="C5" s="71"/>
      <c r="D5" s="72" t="s">
        <v>97</v>
      </c>
      <c r="E5" s="78">
        <v>1.95</v>
      </c>
      <c r="F5" s="78">
        <f>(C5+$M$2*SUMPRODUCT($M$4:$M$31,S$4:S$31))*E5</f>
        <v>0</v>
      </c>
      <c r="G5" s="72">
        <v>0.04</v>
      </c>
      <c r="H5" s="79">
        <f>G5*(C5+$L$2*SUMPRODUCT($M$4:$M$31,S$4:S$31))</f>
        <v>0</v>
      </c>
      <c r="L5" s="665"/>
      <c r="M5" s="666"/>
      <c r="N5" s="667"/>
      <c r="O5" s="665"/>
      <c r="P5" s="665"/>
      <c r="Q5" s="665"/>
      <c r="R5" s="665"/>
      <c r="S5" s="665"/>
      <c r="T5" s="665"/>
      <c r="U5" s="665"/>
      <c r="V5" s="538"/>
    </row>
    <row r="6" spans="1:22">
      <c r="A6" s="93" t="s">
        <v>49</v>
      </c>
      <c r="B6" s="72" t="s">
        <v>69</v>
      </c>
      <c r="C6" s="71"/>
      <c r="D6" s="72" t="s">
        <v>97</v>
      </c>
      <c r="E6" s="78">
        <v>2.76</v>
      </c>
      <c r="F6" s="78">
        <f>(C6+$M$2*SUMPRODUCT($M$4:$M$31,R$4:R$31))*E6</f>
        <v>0</v>
      </c>
      <c r="G6" s="72">
        <v>0.04</v>
      </c>
      <c r="H6" s="79">
        <f>G6*(C6+$L$2*SUMPRODUCT($M$4:$M$31,R$4:R$31))</f>
        <v>0</v>
      </c>
      <c r="L6" s="665"/>
      <c r="M6" s="666"/>
      <c r="N6" s="667"/>
      <c r="O6" s="665"/>
      <c r="P6" s="665"/>
      <c r="Q6" s="665"/>
      <c r="R6" s="665"/>
      <c r="S6" s="665"/>
      <c r="T6" s="665"/>
      <c r="U6" s="665"/>
      <c r="V6" s="538"/>
    </row>
    <row r="7" spans="1:22">
      <c r="A7" s="93" t="s">
        <v>49</v>
      </c>
      <c r="B7" s="72" t="s">
        <v>90</v>
      </c>
      <c r="C7" s="71"/>
      <c r="D7" s="72" t="s">
        <v>97</v>
      </c>
      <c r="E7" s="78">
        <v>3.06</v>
      </c>
      <c r="F7" s="78">
        <f>(C7+$M$2*SUMPRODUCT($M$4:$M$31,Q$4:Q$31))*E7</f>
        <v>0</v>
      </c>
      <c r="G7" s="72">
        <v>0.05</v>
      </c>
      <c r="H7" s="79">
        <f>G7*(C7+$L$2*SUMPRODUCT($M$4:$M$31,Q$4:Q$31))</f>
        <v>0</v>
      </c>
      <c r="L7" s="665"/>
      <c r="M7" s="666"/>
      <c r="N7" s="667"/>
      <c r="O7" s="665"/>
      <c r="P7" s="665"/>
      <c r="Q7" s="665"/>
      <c r="R7" s="665"/>
      <c r="S7" s="665"/>
      <c r="T7" s="665"/>
      <c r="U7" s="665"/>
      <c r="V7" s="538"/>
    </row>
    <row r="8" spans="1:22">
      <c r="A8" s="93"/>
      <c r="B8" s="72" t="s">
        <v>91</v>
      </c>
      <c r="C8" s="71"/>
      <c r="D8" s="72" t="s">
        <v>97</v>
      </c>
      <c r="E8" s="78">
        <v>4.4400000000000004</v>
      </c>
      <c r="F8" s="78">
        <f>(C8+$M$2*SUMPRODUCT($M$4:$M$31,P$4:P$31))*E8</f>
        <v>0</v>
      </c>
      <c r="G8" s="72">
        <v>0.06</v>
      </c>
      <c r="H8" s="79">
        <f>G8*(C8+$L$2*SUMPRODUCT($M$4:$M$31,P$4:P$31))</f>
        <v>0</v>
      </c>
      <c r="L8" s="665"/>
      <c r="M8" s="666"/>
      <c r="N8" s="667"/>
      <c r="O8" s="665"/>
      <c r="P8" s="665"/>
      <c r="Q8" s="665"/>
      <c r="R8" s="665"/>
      <c r="S8" s="665"/>
      <c r="T8" s="665"/>
      <c r="U8" s="665"/>
      <c r="V8" s="538"/>
    </row>
    <row r="9" spans="1:22">
      <c r="A9" s="93"/>
      <c r="B9" s="72" t="s">
        <v>92</v>
      </c>
      <c r="C9" s="71"/>
      <c r="D9" s="72" t="s">
        <v>97</v>
      </c>
      <c r="E9" s="330">
        <v>5.95</v>
      </c>
      <c r="F9" s="78">
        <f>(C9+$M$2*SUMPRODUCT($M$4:$M$31,O$4:O$31))*E9</f>
        <v>0</v>
      </c>
      <c r="G9" s="72">
        <v>7.0000000000000007E-2</v>
      </c>
      <c r="H9" s="79">
        <f>G9*(C9+$L$2*SUMPRODUCT($M$4:$M$31,O$4:O$31))</f>
        <v>0</v>
      </c>
      <c r="L9" s="665"/>
      <c r="M9" s="666"/>
      <c r="N9" s="667"/>
      <c r="O9" s="665"/>
      <c r="P9" s="665"/>
      <c r="Q9" s="665"/>
      <c r="R9" s="665"/>
      <c r="S9" s="665"/>
      <c r="T9" s="665"/>
      <c r="U9" s="665"/>
      <c r="V9" s="538"/>
    </row>
    <row r="10" spans="1:22">
      <c r="A10" s="93"/>
      <c r="B10" s="72" t="s">
        <v>93</v>
      </c>
      <c r="C10" s="71"/>
      <c r="D10" s="72" t="s">
        <v>97</v>
      </c>
      <c r="E10" s="330">
        <v>7.63</v>
      </c>
      <c r="F10" s="78">
        <f>(C10+$M$2*SUMPRODUCT($M$4:$M$31,N$4:N$31))*E10</f>
        <v>0</v>
      </c>
      <c r="G10" s="72">
        <v>7.0000000000000007E-2</v>
      </c>
      <c r="H10" s="79">
        <f>G10*(C10+$L$2*SUMPRODUCT($M$4:$M$31,N$4:N$31))</f>
        <v>0</v>
      </c>
      <c r="L10" s="665"/>
      <c r="M10" s="666"/>
      <c r="N10" s="667"/>
      <c r="O10" s="665"/>
      <c r="P10" s="665"/>
      <c r="Q10" s="665"/>
      <c r="R10" s="665"/>
      <c r="S10" s="665"/>
      <c r="T10" s="665"/>
      <c r="U10" s="665"/>
      <c r="V10" s="538"/>
    </row>
    <row r="11" spans="1:22">
      <c r="A11" s="93"/>
      <c r="B11" s="72" t="s">
        <v>178</v>
      </c>
      <c r="C11" s="71"/>
      <c r="D11" s="72" t="s">
        <v>97</v>
      </c>
      <c r="E11" s="330">
        <v>12</v>
      </c>
      <c r="F11" s="78">
        <f>C11*E11</f>
        <v>0</v>
      </c>
      <c r="G11" s="72">
        <v>7.0000000000000007E-2</v>
      </c>
      <c r="H11" s="107">
        <f>G11*C11</f>
        <v>0</v>
      </c>
      <c r="L11" s="665"/>
      <c r="M11" s="666"/>
      <c r="N11" s="667"/>
      <c r="O11" s="665"/>
      <c r="P11" s="665"/>
      <c r="Q11" s="665"/>
      <c r="R11" s="665"/>
      <c r="S11" s="665"/>
      <c r="T11" s="665"/>
      <c r="U11" s="665"/>
      <c r="V11" s="538"/>
    </row>
    <row r="12" spans="1:22">
      <c r="A12" s="93"/>
      <c r="B12" s="72"/>
      <c r="C12" s="72">
        <f>SUM(C3:C11)</f>
        <v>0</v>
      </c>
      <c r="D12" s="72"/>
      <c r="E12" s="87" t="s">
        <v>100</v>
      </c>
      <c r="F12" s="88">
        <f>SUM(F3:F11)*M2</f>
        <v>0</v>
      </c>
      <c r="G12" s="87" t="s">
        <v>100</v>
      </c>
      <c r="H12" s="248">
        <f>SUM(H3:H11)*L2</f>
        <v>0</v>
      </c>
      <c r="L12" s="665"/>
      <c r="M12" s="666"/>
      <c r="N12" s="667"/>
      <c r="O12" s="665"/>
      <c r="P12" s="665"/>
      <c r="Q12" s="665"/>
      <c r="R12" s="665"/>
      <c r="S12" s="665"/>
      <c r="T12" s="665"/>
      <c r="U12" s="665"/>
      <c r="V12" s="538"/>
    </row>
    <row r="13" spans="1:22" ht="13.8" thickBot="1">
      <c r="A13" s="93"/>
      <c r="B13" s="89"/>
      <c r="C13" s="89"/>
      <c r="D13" s="89"/>
      <c r="E13" s="90"/>
      <c r="F13" s="90"/>
      <c r="G13" s="89"/>
      <c r="H13" s="91"/>
      <c r="L13" s="665"/>
      <c r="M13" s="666"/>
      <c r="N13" s="667"/>
      <c r="O13" s="665"/>
      <c r="P13" s="665"/>
      <c r="Q13" s="665"/>
      <c r="R13" s="665"/>
      <c r="S13" s="665"/>
      <c r="T13" s="665"/>
      <c r="U13" s="665"/>
      <c r="V13" s="538"/>
    </row>
    <row r="14" spans="1:22">
      <c r="A14" s="92" t="s">
        <v>179</v>
      </c>
      <c r="B14" s="75" t="s">
        <v>180</v>
      </c>
      <c r="C14" s="70"/>
      <c r="D14" s="75" t="s">
        <v>76</v>
      </c>
      <c r="E14" s="331">
        <v>250</v>
      </c>
      <c r="F14" s="76">
        <f>C14*E14</f>
        <v>0</v>
      </c>
      <c r="G14" s="75">
        <v>12</v>
      </c>
      <c r="H14" s="77">
        <f>G14*C14</f>
        <v>0</v>
      </c>
      <c r="L14" s="665"/>
      <c r="M14" s="666"/>
      <c r="N14" s="667"/>
      <c r="O14" s="665"/>
      <c r="P14" s="665"/>
      <c r="Q14" s="665"/>
      <c r="R14" s="665"/>
      <c r="S14" s="665"/>
      <c r="T14" s="665"/>
      <c r="U14" s="665"/>
      <c r="V14" s="538"/>
    </row>
    <row r="15" spans="1:22">
      <c r="A15" s="93" t="s">
        <v>209</v>
      </c>
      <c r="B15" s="72" t="s">
        <v>181</v>
      </c>
      <c r="C15" s="71"/>
      <c r="D15" s="72" t="s">
        <v>76</v>
      </c>
      <c r="E15" s="330">
        <v>200</v>
      </c>
      <c r="F15" s="78">
        <f>C15*E15</f>
        <v>0</v>
      </c>
      <c r="G15" s="72">
        <v>14</v>
      </c>
      <c r="H15" s="79">
        <f>G15*C15</f>
        <v>0</v>
      </c>
      <c r="L15" s="665"/>
      <c r="M15" s="666"/>
      <c r="N15" s="667"/>
      <c r="O15" s="665"/>
      <c r="P15" s="665"/>
      <c r="Q15" s="665"/>
      <c r="R15" s="665"/>
      <c r="S15" s="665"/>
      <c r="T15" s="665"/>
      <c r="U15" s="665"/>
      <c r="V15" s="538"/>
    </row>
    <row r="16" spans="1:22">
      <c r="A16" s="93"/>
      <c r="B16" s="72"/>
      <c r="C16" s="72">
        <f>SUM(C14:C15)</f>
        <v>0</v>
      </c>
      <c r="D16" s="72"/>
      <c r="E16" s="87" t="s">
        <v>100</v>
      </c>
      <c r="F16" s="88">
        <f>SUM(F14:F15)</f>
        <v>0</v>
      </c>
      <c r="G16" s="87" t="s">
        <v>100</v>
      </c>
      <c r="H16" s="248">
        <f>SUM(H14:H15)</f>
        <v>0</v>
      </c>
      <c r="L16" s="665"/>
      <c r="M16" s="666"/>
      <c r="N16" s="667"/>
      <c r="O16" s="665"/>
      <c r="P16" s="665"/>
      <c r="Q16" s="665"/>
      <c r="R16" s="665"/>
      <c r="S16" s="665"/>
      <c r="T16" s="665"/>
      <c r="U16" s="665"/>
      <c r="V16" s="538"/>
    </row>
    <row r="17" spans="1:22" ht="13.8" thickBot="1">
      <c r="A17" s="93"/>
      <c r="B17" s="72"/>
      <c r="C17" s="72"/>
      <c r="D17" s="72"/>
      <c r="E17" s="78"/>
      <c r="F17" s="78"/>
      <c r="G17" s="72"/>
      <c r="H17" s="79"/>
      <c r="L17" s="665"/>
      <c r="M17" s="666"/>
      <c r="N17" s="667"/>
      <c r="O17" s="665"/>
      <c r="P17" s="665"/>
      <c r="Q17" s="665"/>
      <c r="R17" s="665"/>
      <c r="S17" s="665"/>
      <c r="T17" s="665"/>
      <c r="U17" s="665"/>
      <c r="V17" s="538"/>
    </row>
    <row r="18" spans="1:22">
      <c r="A18" s="92" t="s">
        <v>182</v>
      </c>
      <c r="B18" s="75" t="s">
        <v>88</v>
      </c>
      <c r="C18" s="71"/>
      <c r="D18" s="75" t="s">
        <v>76</v>
      </c>
      <c r="E18" s="76">
        <v>1.39</v>
      </c>
      <c r="F18" s="76">
        <f>(C18+SUMPRODUCT(M4:M31,U4:U31)/$N$2)*E18</f>
        <v>0</v>
      </c>
      <c r="G18" s="75">
        <v>0.32</v>
      </c>
      <c r="H18" s="77">
        <f>F18/E18*G18</f>
        <v>0</v>
      </c>
      <c r="L18" s="665"/>
      <c r="M18" s="666"/>
      <c r="N18" s="667"/>
      <c r="O18" s="665"/>
      <c r="P18" s="665"/>
      <c r="Q18" s="665"/>
      <c r="R18" s="665"/>
      <c r="S18" s="665"/>
      <c r="T18" s="665"/>
      <c r="U18" s="665"/>
      <c r="V18" s="538"/>
    </row>
    <row r="19" spans="1:22">
      <c r="A19" s="93"/>
      <c r="B19" s="72" t="s">
        <v>67</v>
      </c>
      <c r="C19" s="71"/>
      <c r="D19" s="72" t="s">
        <v>76</v>
      </c>
      <c r="E19" s="78">
        <v>2.2599999999999998</v>
      </c>
      <c r="F19" s="78">
        <f>(C19+SUMPRODUCT($M$4:$M$31,T$4:T$31)/$N$2)*E19</f>
        <v>0</v>
      </c>
      <c r="G19" s="72">
        <v>0.32</v>
      </c>
      <c r="H19" s="79">
        <f>F19/E19*G19</f>
        <v>0</v>
      </c>
      <c r="L19" s="665"/>
      <c r="M19" s="666"/>
      <c r="N19" s="667"/>
      <c r="O19" s="665"/>
      <c r="P19" s="665"/>
      <c r="Q19" s="665"/>
      <c r="R19" s="665"/>
      <c r="S19" s="665"/>
      <c r="T19" s="665"/>
      <c r="U19" s="665"/>
      <c r="V19" s="538"/>
    </row>
    <row r="20" spans="1:22">
      <c r="A20" s="93"/>
      <c r="B20" s="72" t="s">
        <v>89</v>
      </c>
      <c r="C20" s="71"/>
      <c r="D20" s="72" t="s">
        <v>76</v>
      </c>
      <c r="E20" s="78">
        <v>1.56</v>
      </c>
      <c r="F20" s="78">
        <f>(C20+SUMPRODUCT($M$4:$M$31,S$4:S$31)/$N$2)*E20</f>
        <v>0</v>
      </c>
      <c r="G20" s="72">
        <v>0.32</v>
      </c>
      <c r="H20" s="79">
        <f t="shared" ref="H20:H26" si="0">F20/E20*G20</f>
        <v>0</v>
      </c>
      <c r="L20" s="665"/>
      <c r="M20" s="666"/>
      <c r="N20" s="667"/>
      <c r="O20" s="665"/>
      <c r="P20" s="665"/>
      <c r="Q20" s="665"/>
      <c r="R20" s="665"/>
      <c r="S20" s="665"/>
      <c r="T20" s="665"/>
      <c r="U20" s="665"/>
      <c r="V20" s="538"/>
    </row>
    <row r="21" spans="1:22">
      <c r="A21" s="93"/>
      <c r="B21" s="72" t="s">
        <v>69</v>
      </c>
      <c r="C21" s="71"/>
      <c r="D21" s="72" t="s">
        <v>76</v>
      </c>
      <c r="E21" s="78">
        <v>1.65</v>
      </c>
      <c r="F21" s="78">
        <f>(C21+SUMPRODUCT($M$4:$M$31,R$4:R$31)/$N$2)*E21</f>
        <v>0</v>
      </c>
      <c r="G21" s="72">
        <v>0.36</v>
      </c>
      <c r="H21" s="79">
        <f t="shared" si="0"/>
        <v>0</v>
      </c>
      <c r="L21" s="665"/>
      <c r="M21" s="666"/>
      <c r="N21" s="667"/>
      <c r="O21" s="665"/>
      <c r="P21" s="665"/>
      <c r="Q21" s="665"/>
      <c r="R21" s="665"/>
      <c r="S21" s="665"/>
      <c r="T21" s="665"/>
      <c r="U21" s="665"/>
      <c r="V21" s="538"/>
    </row>
    <row r="22" spans="1:22">
      <c r="A22" s="93"/>
      <c r="B22" s="72" t="s">
        <v>90</v>
      </c>
      <c r="C22" s="71"/>
      <c r="D22" s="72" t="s">
        <v>76</v>
      </c>
      <c r="E22" s="78">
        <v>2.12</v>
      </c>
      <c r="F22" s="78">
        <f>(C22+SUMPRODUCT($M$4:$M$31,Q$4:Q$31)/$N$2)*E22</f>
        <v>0</v>
      </c>
      <c r="G22" s="72">
        <v>0.44</v>
      </c>
      <c r="H22" s="79">
        <f t="shared" si="0"/>
        <v>0</v>
      </c>
      <c r="L22" s="665"/>
      <c r="M22" s="666"/>
      <c r="N22" s="667"/>
      <c r="O22" s="665"/>
      <c r="P22" s="665"/>
      <c r="Q22" s="665"/>
      <c r="R22" s="665"/>
      <c r="S22" s="665"/>
      <c r="T22" s="665"/>
      <c r="U22" s="665"/>
      <c r="V22" s="538"/>
    </row>
    <row r="23" spans="1:22">
      <c r="A23" s="93"/>
      <c r="B23" s="72" t="s">
        <v>91</v>
      </c>
      <c r="C23" s="71"/>
      <c r="D23" s="72" t="s">
        <v>76</v>
      </c>
      <c r="E23" s="78">
        <v>3.57</v>
      </c>
      <c r="F23" s="78">
        <f>(C23+SUMPRODUCT($M$4:$M$31,P$4:P$31)/$N$2)*E23</f>
        <v>0</v>
      </c>
      <c r="G23" s="72">
        <v>0.48</v>
      </c>
      <c r="H23" s="79">
        <f t="shared" si="0"/>
        <v>0</v>
      </c>
      <c r="L23" s="665"/>
      <c r="M23" s="666"/>
      <c r="N23" s="667"/>
      <c r="O23" s="665"/>
      <c r="P23" s="665"/>
      <c r="Q23" s="665"/>
      <c r="R23" s="665"/>
      <c r="S23" s="665"/>
      <c r="T23" s="665"/>
      <c r="U23" s="665"/>
      <c r="V23" s="538"/>
    </row>
    <row r="24" spans="1:22">
      <c r="A24" s="93"/>
      <c r="B24" s="72" t="s">
        <v>92</v>
      </c>
      <c r="C24" s="71"/>
      <c r="D24" s="72" t="s">
        <v>76</v>
      </c>
      <c r="E24" s="330">
        <v>8.33</v>
      </c>
      <c r="F24" s="78">
        <f>(C24+SUMPRODUCT($M$4:$M$31,O$4:O$31)/$N$2)*E24</f>
        <v>0</v>
      </c>
      <c r="G24" s="72">
        <v>0.56000000000000005</v>
      </c>
      <c r="H24" s="79">
        <f t="shared" si="0"/>
        <v>0</v>
      </c>
      <c r="L24" s="665"/>
      <c r="M24" s="666"/>
      <c r="N24" s="667"/>
      <c r="O24" s="665"/>
      <c r="P24" s="665"/>
      <c r="Q24" s="665"/>
      <c r="R24" s="665"/>
      <c r="S24" s="665"/>
      <c r="T24" s="665"/>
      <c r="U24" s="665"/>
      <c r="V24" s="538"/>
    </row>
    <row r="25" spans="1:22">
      <c r="A25" s="93"/>
      <c r="B25" s="72" t="s">
        <v>93</v>
      </c>
      <c r="C25" s="71">
        <v>0</v>
      </c>
      <c r="D25" s="72" t="s">
        <v>76</v>
      </c>
      <c r="E25" s="330">
        <v>14</v>
      </c>
      <c r="F25" s="78">
        <f>(C25+SUMPRODUCT($M$4:$M$31,N$4:N$31)/$N$2)*E25</f>
        <v>0</v>
      </c>
      <c r="G25" s="72">
        <v>0.64</v>
      </c>
      <c r="H25" s="79">
        <f t="shared" si="0"/>
        <v>0</v>
      </c>
      <c r="L25" s="665"/>
      <c r="M25" s="666"/>
      <c r="N25" s="667"/>
      <c r="O25" s="665"/>
      <c r="P25" s="665"/>
      <c r="Q25" s="665"/>
      <c r="R25" s="665"/>
      <c r="S25" s="665"/>
      <c r="T25" s="665"/>
      <c r="U25" s="665"/>
      <c r="V25" s="538"/>
    </row>
    <row r="26" spans="1:22">
      <c r="A26" s="93"/>
      <c r="B26" s="72" t="s">
        <v>178</v>
      </c>
      <c r="C26" s="71"/>
      <c r="D26" s="72" t="s">
        <v>76</v>
      </c>
      <c r="E26" s="330">
        <v>28.02</v>
      </c>
      <c r="F26" s="78">
        <f t="shared" ref="F26" si="1">C26*E26</f>
        <v>0</v>
      </c>
      <c r="G26" s="72">
        <v>0.64</v>
      </c>
      <c r="H26" s="79">
        <f t="shared" si="0"/>
        <v>0</v>
      </c>
      <c r="L26" s="665"/>
      <c r="M26" s="666"/>
      <c r="N26" s="667"/>
      <c r="O26" s="665"/>
      <c r="P26" s="665"/>
      <c r="Q26" s="665"/>
      <c r="R26" s="665"/>
      <c r="S26" s="665"/>
      <c r="T26" s="665"/>
      <c r="U26" s="665"/>
      <c r="V26" s="538"/>
    </row>
    <row r="27" spans="1:22">
      <c r="A27" s="93"/>
      <c r="B27" s="72"/>
      <c r="C27" s="72">
        <f>SUM(C18:C26)</f>
        <v>0</v>
      </c>
      <c r="D27" s="72"/>
      <c r="E27" s="87" t="s">
        <v>100</v>
      </c>
      <c r="F27" s="88">
        <f>SUM(F18:F26)</f>
        <v>0</v>
      </c>
      <c r="G27" s="87" t="s">
        <v>100</v>
      </c>
      <c r="H27" s="248">
        <f>SUM(H18:H26)</f>
        <v>0</v>
      </c>
      <c r="L27" s="665"/>
      <c r="M27" s="666"/>
      <c r="N27" s="667"/>
      <c r="O27" s="665"/>
      <c r="P27" s="665"/>
      <c r="Q27" s="665"/>
      <c r="R27" s="665"/>
      <c r="S27" s="665"/>
      <c r="T27" s="665"/>
      <c r="U27" s="665"/>
      <c r="V27" s="538"/>
    </row>
    <row r="28" spans="1:22" ht="13.8" thickBot="1">
      <c r="A28" s="93"/>
      <c r="B28" s="72"/>
      <c r="C28" s="72"/>
      <c r="D28" s="72" t="s">
        <v>49</v>
      </c>
      <c r="E28" s="78"/>
      <c r="F28" s="78" t="s">
        <v>49</v>
      </c>
      <c r="G28" s="72"/>
      <c r="H28" s="79"/>
      <c r="L28" s="665"/>
      <c r="M28" s="666"/>
      <c r="N28" s="667"/>
      <c r="O28" s="665"/>
      <c r="P28" s="665"/>
      <c r="Q28" s="665"/>
      <c r="R28" s="665"/>
      <c r="S28" s="665"/>
      <c r="T28" s="665"/>
      <c r="U28" s="665"/>
      <c r="V28" s="538"/>
    </row>
    <row r="29" spans="1:22">
      <c r="A29" s="92" t="s">
        <v>94</v>
      </c>
      <c r="B29" s="75" t="s">
        <v>95</v>
      </c>
      <c r="C29" s="70"/>
      <c r="D29" s="75" t="s">
        <v>76</v>
      </c>
      <c r="E29" s="331">
        <v>250</v>
      </c>
      <c r="F29" s="76">
        <f>IF(C29&gt;0,(C29*E29)+75,0)</f>
        <v>0</v>
      </c>
      <c r="G29" s="75">
        <v>2</v>
      </c>
      <c r="H29" s="77">
        <f>G29*C29</f>
        <v>0</v>
      </c>
      <c r="J29" s="84"/>
      <c r="K29" s="84"/>
      <c r="L29" s="665"/>
      <c r="M29" s="666"/>
      <c r="N29" s="667"/>
      <c r="O29" s="665"/>
      <c r="P29" s="665"/>
      <c r="Q29" s="665"/>
      <c r="R29" s="665"/>
      <c r="S29" s="665"/>
      <c r="T29" s="665"/>
      <c r="U29" s="665"/>
      <c r="V29" s="538"/>
    </row>
    <row r="30" spans="1:22">
      <c r="A30" s="93"/>
      <c r="B30" s="72"/>
      <c r="C30" s="72">
        <f>SUM(C29)</f>
        <v>0</v>
      </c>
      <c r="D30" s="72"/>
      <c r="E30" s="87" t="s">
        <v>100</v>
      </c>
      <c r="F30" s="88">
        <f>SUM(F29)</f>
        <v>0</v>
      </c>
      <c r="G30" s="87" t="s">
        <v>100</v>
      </c>
      <c r="H30" s="248">
        <f>SUM(H29)</f>
        <v>0</v>
      </c>
      <c r="J30" s="84"/>
      <c r="K30" s="84"/>
      <c r="L30" s="665"/>
      <c r="M30" s="666"/>
      <c r="N30" s="667"/>
      <c r="O30" s="665"/>
      <c r="P30" s="665"/>
      <c r="Q30" s="665"/>
      <c r="R30" s="665"/>
      <c r="S30" s="665"/>
      <c r="T30" s="665"/>
      <c r="U30" s="665"/>
      <c r="V30" s="538"/>
    </row>
    <row r="31" spans="1:22" ht="13.8" thickBot="1">
      <c r="A31" s="94"/>
      <c r="B31" s="72"/>
      <c r="C31" s="72"/>
      <c r="D31" s="72"/>
      <c r="E31" s="87"/>
      <c r="F31" s="87"/>
      <c r="G31" s="87"/>
      <c r="H31" s="79"/>
      <c r="J31" s="84"/>
      <c r="K31" s="84"/>
      <c r="L31" s="665"/>
      <c r="M31" s="666"/>
      <c r="N31" s="667"/>
      <c r="O31" s="665"/>
      <c r="P31" s="665"/>
      <c r="Q31" s="665"/>
      <c r="R31" s="665"/>
      <c r="S31" s="665"/>
      <c r="T31" s="665"/>
      <c r="U31" s="665"/>
      <c r="V31" s="538"/>
    </row>
    <row r="32" spans="1:22" ht="13.8" thickBot="1">
      <c r="A32" s="92" t="s">
        <v>79</v>
      </c>
      <c r="B32" s="75" t="s">
        <v>183</v>
      </c>
      <c r="C32" s="75">
        <f>(SUM(C12/2)+C16*50+SUM(N32:U32)/2)/6</f>
        <v>0</v>
      </c>
      <c r="D32" s="75" t="s">
        <v>76</v>
      </c>
      <c r="E32" s="76">
        <v>2.5</v>
      </c>
      <c r="F32" s="76">
        <f>C32*E32</f>
        <v>0</v>
      </c>
      <c r="G32" s="75">
        <v>0.33</v>
      </c>
      <c r="H32" s="77">
        <f>G32*C32</f>
        <v>0</v>
      </c>
      <c r="J32" s="84"/>
      <c r="K32" s="84"/>
      <c r="L32" s="84"/>
      <c r="N32" s="74">
        <f t="shared" ref="N32:T32" si="2">SUMPRODUCT($M$4:$M$31,N4:N31)</f>
        <v>0</v>
      </c>
      <c r="O32" s="74">
        <f t="shared" si="2"/>
        <v>0</v>
      </c>
      <c r="P32" s="74">
        <f t="shared" si="2"/>
        <v>0</v>
      </c>
      <c r="Q32" s="74">
        <f t="shared" si="2"/>
        <v>0</v>
      </c>
      <c r="R32" s="74">
        <f t="shared" si="2"/>
        <v>0</v>
      </c>
      <c r="S32" s="74">
        <f t="shared" si="2"/>
        <v>0</v>
      </c>
      <c r="T32" s="74">
        <f t="shared" si="2"/>
        <v>0</v>
      </c>
      <c r="U32" s="74">
        <f>SUMPRODUCT($M$4:$M$31,U4:U31)</f>
        <v>0</v>
      </c>
    </row>
    <row r="33" spans="1:25">
      <c r="A33" s="112"/>
      <c r="B33" s="97" t="s">
        <v>191</v>
      </c>
      <c r="C33" s="75">
        <v>0</v>
      </c>
      <c r="D33" s="97" t="s">
        <v>76</v>
      </c>
      <c r="E33" s="106">
        <v>1.75</v>
      </c>
      <c r="F33" s="76">
        <f>C33*E33</f>
        <v>0</v>
      </c>
      <c r="G33" s="75">
        <v>0.33</v>
      </c>
      <c r="H33" s="77">
        <f>G33*C33</f>
        <v>0</v>
      </c>
      <c r="K33" s="84"/>
      <c r="L33" s="84"/>
    </row>
    <row r="34" spans="1:25">
      <c r="A34" s="93"/>
      <c r="B34" s="72"/>
      <c r="C34" s="72">
        <f>SUM(C32:C33)</f>
        <v>0</v>
      </c>
      <c r="D34" s="72"/>
      <c r="E34" s="87" t="s">
        <v>100</v>
      </c>
      <c r="F34" s="88">
        <f>SUM(F32:F33)</f>
        <v>0</v>
      </c>
      <c r="G34" s="87" t="s">
        <v>100</v>
      </c>
      <c r="H34" s="248">
        <f>SUM(H32:H33)</f>
        <v>0</v>
      </c>
      <c r="J34" s="85"/>
      <c r="K34" s="85"/>
      <c r="L34" s="85"/>
      <c r="M34" s="86"/>
      <c r="N34" s="539"/>
    </row>
    <row r="35" spans="1:25">
      <c r="A35" s="94"/>
      <c r="B35" s="540" t="s">
        <v>192</v>
      </c>
      <c r="C35" s="72"/>
      <c r="D35" s="72"/>
      <c r="E35" s="87"/>
      <c r="F35" s="87"/>
      <c r="G35" s="87"/>
      <c r="H35" s="249"/>
      <c r="J35" s="85"/>
      <c r="K35" s="85"/>
      <c r="L35" s="862" t="s">
        <v>580</v>
      </c>
      <c r="M35" s="863"/>
      <c r="N35" s="863"/>
      <c r="O35" s="863"/>
      <c r="P35" s="863"/>
      <c r="Q35" s="563" t="s">
        <v>598</v>
      </c>
      <c r="R35" s="563"/>
      <c r="S35" s="563"/>
      <c r="T35" s="562"/>
      <c r="U35" s="562"/>
      <c r="W35" s="538" t="s">
        <v>188</v>
      </c>
    </row>
    <row r="36" spans="1:25" ht="13.8" thickBot="1">
      <c r="A36" s="112" t="s">
        <v>184</v>
      </c>
      <c r="B36" s="72"/>
      <c r="C36" s="72"/>
      <c r="D36" s="72"/>
      <c r="E36" s="87"/>
      <c r="F36" s="87"/>
      <c r="G36" s="87"/>
      <c r="H36" s="79"/>
      <c r="J36" s="85"/>
      <c r="K36" s="85"/>
      <c r="L36" s="71"/>
      <c r="M36" s="864" t="s">
        <v>581</v>
      </c>
      <c r="N36" s="865"/>
      <c r="O36" s="865"/>
      <c r="P36" s="865"/>
      <c r="Q36" s="871"/>
      <c r="R36" s="872"/>
      <c r="S36" s="873"/>
      <c r="T36" s="566" t="s">
        <v>34</v>
      </c>
      <c r="U36" s="566" t="s">
        <v>391</v>
      </c>
      <c r="V36" s="566" t="s">
        <v>527</v>
      </c>
      <c r="W36" s="566" t="s">
        <v>391</v>
      </c>
      <c r="X36" s="566" t="s">
        <v>510</v>
      </c>
    </row>
    <row r="37" spans="1:25">
      <c r="A37" s="92" t="s">
        <v>81</v>
      </c>
      <c r="B37" s="75" t="s">
        <v>88</v>
      </c>
      <c r="C37" s="75">
        <f>F3/E3/10</f>
        <v>0</v>
      </c>
      <c r="D37" s="75" t="s">
        <v>76</v>
      </c>
      <c r="E37" s="76">
        <v>0.38</v>
      </c>
      <c r="F37" s="76">
        <f t="shared" ref="F37:F44" si="3">C37*E37</f>
        <v>0</v>
      </c>
      <c r="G37" s="75">
        <v>0.32</v>
      </c>
      <c r="H37" s="77">
        <f t="shared" ref="H37:H44" si="4">G37*C37</f>
        <v>0</v>
      </c>
      <c r="J37" s="84"/>
      <c r="K37" s="84"/>
      <c r="L37" s="71"/>
      <c r="M37" s="866" t="s">
        <v>599</v>
      </c>
      <c r="N37" s="867"/>
      <c r="O37" s="867"/>
      <c r="P37" s="867"/>
      <c r="Q37" s="868" t="s">
        <v>602</v>
      </c>
      <c r="R37" s="874"/>
      <c r="S37" s="875"/>
      <c r="T37" s="71"/>
      <c r="U37" s="568">
        <v>1</v>
      </c>
      <c r="V37" s="71"/>
      <c r="W37" s="568">
        <f>T37*U37</f>
        <v>0</v>
      </c>
      <c r="X37" s="625">
        <f>T37*V37</f>
        <v>0</v>
      </c>
      <c r="Y37" s="541" t="s">
        <v>597</v>
      </c>
    </row>
    <row r="38" spans="1:25">
      <c r="A38" s="93"/>
      <c r="B38" s="72" t="s">
        <v>67</v>
      </c>
      <c r="C38" s="574">
        <f>F4/E4/10</f>
        <v>0</v>
      </c>
      <c r="D38" s="72" t="s">
        <v>76</v>
      </c>
      <c r="E38" s="78">
        <v>0.49</v>
      </c>
      <c r="F38" s="78">
        <f t="shared" si="3"/>
        <v>0</v>
      </c>
      <c r="G38" s="72">
        <v>0.32</v>
      </c>
      <c r="H38" s="79">
        <f t="shared" si="4"/>
        <v>0</v>
      </c>
      <c r="J38" s="85"/>
      <c r="K38" s="85"/>
      <c r="L38" s="71"/>
      <c r="M38" s="866" t="s">
        <v>582</v>
      </c>
      <c r="N38" s="867"/>
      <c r="O38" s="867"/>
      <c r="P38" s="867"/>
      <c r="Q38" s="868" t="s">
        <v>199</v>
      </c>
      <c r="R38" s="869"/>
      <c r="S38" s="870"/>
      <c r="T38" s="71"/>
      <c r="U38" s="568">
        <v>2</v>
      </c>
      <c r="V38" s="71"/>
      <c r="W38" s="568">
        <f t="shared" ref="W38:W45" si="5">T38*U38</f>
        <v>0</v>
      </c>
      <c r="X38" s="625">
        <f t="shared" ref="X38:X45" si="6">T38*V38</f>
        <v>0</v>
      </c>
      <c r="Y38" s="541" t="s">
        <v>450</v>
      </c>
    </row>
    <row r="39" spans="1:25">
      <c r="A39" s="93"/>
      <c r="B39" s="72" t="s">
        <v>89</v>
      </c>
      <c r="C39" s="574">
        <f t="shared" ref="C39:C44" si="7">F5/E5/10</f>
        <v>0</v>
      </c>
      <c r="D39" s="72" t="s">
        <v>76</v>
      </c>
      <c r="E39" s="78">
        <v>0.39</v>
      </c>
      <c r="F39" s="78">
        <f t="shared" si="3"/>
        <v>0</v>
      </c>
      <c r="G39" s="72">
        <v>0.36</v>
      </c>
      <c r="H39" s="79">
        <f t="shared" si="4"/>
        <v>0</v>
      </c>
      <c r="J39" s="85"/>
      <c r="K39" s="85"/>
      <c r="L39" s="71"/>
      <c r="M39" s="866" t="s">
        <v>583</v>
      </c>
      <c r="N39" s="867"/>
      <c r="O39" s="867"/>
      <c r="P39" s="867"/>
      <c r="Q39" s="868" t="s">
        <v>200</v>
      </c>
      <c r="R39" s="869"/>
      <c r="S39" s="870"/>
      <c r="T39" s="71"/>
      <c r="U39" s="568">
        <v>4</v>
      </c>
      <c r="V39" s="71"/>
      <c r="W39" s="568">
        <f t="shared" si="5"/>
        <v>0</v>
      </c>
      <c r="X39" s="625">
        <f t="shared" si="6"/>
        <v>0</v>
      </c>
      <c r="Y39" s="541" t="s">
        <v>450</v>
      </c>
    </row>
    <row r="40" spans="1:25">
      <c r="A40" s="93"/>
      <c r="B40" s="72" t="s">
        <v>69</v>
      </c>
      <c r="C40" s="574">
        <f t="shared" si="7"/>
        <v>0</v>
      </c>
      <c r="D40" s="72" t="s">
        <v>76</v>
      </c>
      <c r="E40" s="78">
        <v>0.95</v>
      </c>
      <c r="F40" s="78">
        <f t="shared" si="3"/>
        <v>0</v>
      </c>
      <c r="G40" s="72">
        <v>0.44</v>
      </c>
      <c r="H40" s="79">
        <f t="shared" si="4"/>
        <v>0</v>
      </c>
      <c r="J40" s="85"/>
      <c r="K40" s="85"/>
      <c r="L40" s="71"/>
      <c r="M40" s="866" t="s">
        <v>584</v>
      </c>
      <c r="N40" s="867"/>
      <c r="O40" s="867"/>
      <c r="P40" s="867"/>
      <c r="Q40" s="868" t="s">
        <v>201</v>
      </c>
      <c r="R40" s="869"/>
      <c r="S40" s="870"/>
      <c r="T40" s="71"/>
      <c r="U40" s="568">
        <v>6</v>
      </c>
      <c r="V40" s="71"/>
      <c r="W40" s="568">
        <f t="shared" si="5"/>
        <v>0</v>
      </c>
      <c r="X40" s="625">
        <f t="shared" si="6"/>
        <v>0</v>
      </c>
      <c r="Y40" s="541" t="s">
        <v>450</v>
      </c>
    </row>
    <row r="41" spans="1:25">
      <c r="A41" s="93"/>
      <c r="B41" s="72" t="s">
        <v>90</v>
      </c>
      <c r="C41" s="574">
        <f t="shared" si="7"/>
        <v>0</v>
      </c>
      <c r="D41" s="72" t="s">
        <v>76</v>
      </c>
      <c r="E41" s="78">
        <v>0.78</v>
      </c>
      <c r="F41" s="78">
        <f t="shared" si="3"/>
        <v>0</v>
      </c>
      <c r="G41" s="72">
        <v>0.48</v>
      </c>
      <c r="H41" s="79">
        <f t="shared" si="4"/>
        <v>0</v>
      </c>
      <c r="J41" s="85"/>
      <c r="K41" s="85"/>
      <c r="L41" s="567">
        <v>4</v>
      </c>
      <c r="M41" s="866" t="s">
        <v>585</v>
      </c>
      <c r="N41" s="867"/>
      <c r="O41" s="867"/>
      <c r="P41" s="867"/>
      <c r="Q41" s="868" t="s">
        <v>600</v>
      </c>
      <c r="R41" s="869"/>
      <c r="S41" s="870"/>
      <c r="T41" s="71"/>
      <c r="U41" s="568">
        <v>1</v>
      </c>
      <c r="V41" s="71"/>
      <c r="W41" s="568">
        <f t="shared" si="5"/>
        <v>0</v>
      </c>
      <c r="X41" s="625">
        <f t="shared" si="6"/>
        <v>0</v>
      </c>
      <c r="Y41" s="541" t="s">
        <v>450</v>
      </c>
    </row>
    <row r="42" spans="1:25">
      <c r="A42" s="93"/>
      <c r="B42" s="72" t="s">
        <v>91</v>
      </c>
      <c r="C42" s="574">
        <f t="shared" si="7"/>
        <v>0</v>
      </c>
      <c r="D42" s="72" t="s">
        <v>76</v>
      </c>
      <c r="E42" s="78">
        <v>1.58</v>
      </c>
      <c r="F42" s="78">
        <f t="shared" si="3"/>
        <v>0</v>
      </c>
      <c r="G42" s="72">
        <v>0.56000000000000005</v>
      </c>
      <c r="H42" s="79">
        <f t="shared" si="4"/>
        <v>0</v>
      </c>
      <c r="J42" s="86"/>
      <c r="K42" s="86"/>
      <c r="L42" s="567">
        <v>3.5</v>
      </c>
      <c r="M42" s="866" t="s">
        <v>586</v>
      </c>
      <c r="N42" s="867"/>
      <c r="O42" s="867"/>
      <c r="P42" s="867"/>
      <c r="Q42" s="868"/>
      <c r="R42" s="869"/>
      <c r="S42" s="870"/>
      <c r="T42" s="71"/>
      <c r="U42" s="568"/>
      <c r="V42" s="71"/>
      <c r="W42" s="568">
        <f t="shared" si="5"/>
        <v>0</v>
      </c>
      <c r="X42" s="625">
        <f t="shared" si="6"/>
        <v>0</v>
      </c>
    </row>
    <row r="43" spans="1:25">
      <c r="A43" s="93"/>
      <c r="B43" s="72" t="s">
        <v>92</v>
      </c>
      <c r="C43" s="574">
        <f t="shared" si="7"/>
        <v>0</v>
      </c>
      <c r="D43" s="72" t="s">
        <v>76</v>
      </c>
      <c r="E43" s="78">
        <v>2.75</v>
      </c>
      <c r="F43" s="78">
        <f t="shared" si="3"/>
        <v>0</v>
      </c>
      <c r="G43" s="72">
        <v>0.64</v>
      </c>
      <c r="H43" s="79">
        <f t="shared" si="4"/>
        <v>0</v>
      </c>
      <c r="J43" s="86"/>
      <c r="K43" s="86"/>
      <c r="L43" s="567">
        <v>10</v>
      </c>
      <c r="M43" s="866" t="s">
        <v>592</v>
      </c>
      <c r="N43" s="867"/>
      <c r="O43" s="867"/>
      <c r="P43" s="867"/>
      <c r="Q43" s="868"/>
      <c r="R43" s="869"/>
      <c r="S43" s="870"/>
      <c r="T43" s="71"/>
      <c r="U43" s="568"/>
      <c r="V43" s="71"/>
      <c r="W43" s="568">
        <f t="shared" si="5"/>
        <v>0</v>
      </c>
      <c r="X43" s="625">
        <f t="shared" si="6"/>
        <v>0</v>
      </c>
    </row>
    <row r="44" spans="1:25">
      <c r="A44" s="93"/>
      <c r="B44" s="72" t="s">
        <v>93</v>
      </c>
      <c r="C44" s="574">
        <f t="shared" si="7"/>
        <v>0</v>
      </c>
      <c r="D44" s="72" t="s">
        <v>76</v>
      </c>
      <c r="E44" s="78">
        <v>5.75</v>
      </c>
      <c r="F44" s="78">
        <f t="shared" si="3"/>
        <v>0</v>
      </c>
      <c r="G44" s="72">
        <v>0.78</v>
      </c>
      <c r="H44" s="79">
        <f t="shared" si="4"/>
        <v>0</v>
      </c>
      <c r="J44" s="86"/>
      <c r="K44" s="86"/>
      <c r="L44" s="567">
        <v>0.33</v>
      </c>
      <c r="M44" s="866" t="s">
        <v>587</v>
      </c>
      <c r="N44" s="867"/>
      <c r="O44" s="867"/>
      <c r="P44" s="867"/>
      <c r="Q44" s="868"/>
      <c r="R44" s="869"/>
      <c r="S44" s="870"/>
      <c r="T44" s="71"/>
      <c r="U44" s="568"/>
      <c r="V44" s="71"/>
      <c r="W44" s="568">
        <f t="shared" si="5"/>
        <v>0</v>
      </c>
      <c r="X44" s="625">
        <f t="shared" si="6"/>
        <v>0</v>
      </c>
    </row>
    <row r="45" spans="1:25">
      <c r="A45" s="93"/>
      <c r="B45" s="72"/>
      <c r="C45" s="72">
        <f>SUM(C37:C44)</f>
        <v>0</v>
      </c>
      <c r="D45" s="72"/>
      <c r="E45" s="87" t="s">
        <v>100</v>
      </c>
      <c r="F45" s="88">
        <f>SUM(F37:F44)</f>
        <v>0</v>
      </c>
      <c r="G45" s="87" t="s">
        <v>100</v>
      </c>
      <c r="H45" s="248">
        <f>SUM(H37:H44)</f>
        <v>0</v>
      </c>
      <c r="J45" s="86"/>
      <c r="K45" s="86"/>
      <c r="L45" s="567">
        <v>3.5</v>
      </c>
      <c r="M45" s="866" t="s">
        <v>588</v>
      </c>
      <c r="N45" s="867"/>
      <c r="O45" s="867"/>
      <c r="P45" s="867"/>
      <c r="Q45" s="868"/>
      <c r="R45" s="869"/>
      <c r="S45" s="870"/>
      <c r="T45" s="71"/>
      <c r="U45" s="568"/>
      <c r="V45" s="71"/>
      <c r="W45" s="568">
        <f t="shared" si="5"/>
        <v>0</v>
      </c>
      <c r="X45" s="625">
        <f t="shared" si="6"/>
        <v>0</v>
      </c>
    </row>
    <row r="46" spans="1:25" ht="13.8" thickBot="1">
      <c r="A46" s="94"/>
      <c r="B46" s="72"/>
      <c r="C46" s="89"/>
      <c r="D46" s="72"/>
      <c r="E46" s="87"/>
      <c r="F46" s="87"/>
      <c r="G46" s="87"/>
      <c r="H46" s="79"/>
      <c r="J46" s="86"/>
      <c r="K46" s="86"/>
      <c r="L46" s="539"/>
      <c r="M46" s="539"/>
      <c r="N46" s="86"/>
      <c r="T46" s="569"/>
    </row>
    <row r="47" spans="1:25">
      <c r="A47" s="113" t="s">
        <v>96</v>
      </c>
      <c r="B47" s="114" t="s">
        <v>286</v>
      </c>
      <c r="C47" s="584">
        <f>SUM(C3:C7)+SUM(Q32:U32)</f>
        <v>0</v>
      </c>
      <c r="D47" s="114" t="s">
        <v>97</v>
      </c>
      <c r="E47" s="115">
        <v>0.43</v>
      </c>
      <c r="F47" s="115">
        <f>C47*E47*K47</f>
        <v>0</v>
      </c>
      <c r="G47" s="391">
        <v>0.05</v>
      </c>
      <c r="H47" s="392">
        <f>G47*C47</f>
        <v>0</v>
      </c>
      <c r="J47" s="541" t="s">
        <v>246</v>
      </c>
      <c r="K47" s="542">
        <v>2</v>
      </c>
      <c r="L47" s="539" t="s">
        <v>589</v>
      </c>
      <c r="M47" s="86"/>
      <c r="N47" s="538" t="s">
        <v>33</v>
      </c>
      <c r="Q47" s="538" t="s">
        <v>188</v>
      </c>
      <c r="W47" s="74">
        <f>SUM(W37:W45)</f>
        <v>0</v>
      </c>
      <c r="X47" s="624">
        <f>SUM(X37:X45)</f>
        <v>0</v>
      </c>
    </row>
    <row r="48" spans="1:25">
      <c r="A48" s="118"/>
      <c r="B48" s="72" t="s">
        <v>185</v>
      </c>
      <c r="C48" s="388">
        <f>SUM(C8:C11,N32:P32)</f>
        <v>0</v>
      </c>
      <c r="D48" s="72" t="s">
        <v>97</v>
      </c>
      <c r="E48" s="78">
        <v>0.69</v>
      </c>
      <c r="F48" s="78">
        <f>C48*E48*K48</f>
        <v>0</v>
      </c>
      <c r="G48" s="258">
        <v>0.05</v>
      </c>
      <c r="H48" s="72">
        <f>G48*C48</f>
        <v>0</v>
      </c>
      <c r="J48" s="541" t="s">
        <v>247</v>
      </c>
      <c r="K48" s="542">
        <v>2</v>
      </c>
      <c r="L48" s="585">
        <f>(L36+L37+2*L38)+(L39+L40)/L43+L44*(L39+L40)/6</f>
        <v>0</v>
      </c>
      <c r="M48" s="538" t="s">
        <v>202</v>
      </c>
      <c r="N48" s="74" t="e">
        <f>L48/L36</f>
        <v>#DIV/0!</v>
      </c>
    </row>
    <row r="49" spans="1:23" ht="16.5" customHeight="1">
      <c r="A49" s="859" t="s">
        <v>245</v>
      </c>
      <c r="B49" s="860"/>
      <c r="C49" s="860"/>
      <c r="D49" s="860"/>
      <c r="E49" s="861"/>
      <c r="F49" s="389">
        <f>SUM(F47:F48)</f>
        <v>0</v>
      </c>
      <c r="G49" s="390">
        <f>SUM(G47:G48)</f>
        <v>0.1</v>
      </c>
      <c r="H49" s="387">
        <f>SUM(H47:H48)</f>
        <v>0</v>
      </c>
      <c r="L49" s="543">
        <f>L39*L41+L40*L42+L45*(L39+L40)/6</f>
        <v>0</v>
      </c>
      <c r="M49" s="538" t="s">
        <v>527</v>
      </c>
    </row>
    <row r="50" spans="1:23" ht="13.8" thickBot="1">
      <c r="A50" s="250"/>
      <c r="B50" s="103"/>
      <c r="C50" s="278">
        <f>SUM(C47:C48)</f>
        <v>0</v>
      </c>
      <c r="D50" s="103"/>
      <c r="E50" s="108" t="s">
        <v>100</v>
      </c>
      <c r="F50" s="251">
        <f>SUM(F47:F48)</f>
        <v>0</v>
      </c>
      <c r="G50" s="108" t="s">
        <v>100</v>
      </c>
      <c r="H50" s="252">
        <f>SUM(H47:H48)</f>
        <v>0</v>
      </c>
      <c r="L50" s="544"/>
      <c r="M50" s="538"/>
    </row>
    <row r="51" spans="1:23">
      <c r="A51" s="254" t="s">
        <v>186</v>
      </c>
      <c r="B51" s="114"/>
      <c r="C51" s="114"/>
      <c r="D51" s="114"/>
      <c r="E51" s="255" t="s">
        <v>100</v>
      </c>
      <c r="F51" s="256">
        <f>SUM(C12/20)+SUM(C16+C27+C30+C45)*10</f>
        <v>0</v>
      </c>
      <c r="G51" s="255"/>
      <c r="H51" s="384"/>
    </row>
    <row r="52" spans="1:23">
      <c r="A52" s="118" t="s">
        <v>187</v>
      </c>
      <c r="B52" s="72"/>
      <c r="C52" s="190"/>
      <c r="D52" s="72"/>
      <c r="E52" s="87" t="s">
        <v>100</v>
      </c>
      <c r="F52" s="88">
        <f>B1*100</f>
        <v>0</v>
      </c>
      <c r="G52" s="257">
        <v>0.1</v>
      </c>
      <c r="H52" s="258">
        <f>G52*B1</f>
        <v>0</v>
      </c>
    </row>
    <row r="53" spans="1:23" ht="13.8" thickBot="1">
      <c r="A53" s="116" t="s">
        <v>35</v>
      </c>
      <c r="B53" s="116"/>
      <c r="C53" s="116"/>
      <c r="D53" s="116"/>
      <c r="E53" s="116"/>
      <c r="F53" s="117">
        <f>SUM(F50+F45+F34+F30+F27+F16+F12+F51+F52)+L49</f>
        <v>0</v>
      </c>
      <c r="G53" s="116"/>
      <c r="H53" s="253">
        <f>SUM(H50+H45+H34+H30+H27+H16+H12+H52)+L48</f>
        <v>0</v>
      </c>
    </row>
    <row r="54" spans="1:23">
      <c r="A54" s="82"/>
      <c r="B54" s="82"/>
      <c r="C54" s="82"/>
      <c r="D54" s="82"/>
      <c r="E54" s="82"/>
      <c r="F54" s="82"/>
      <c r="G54" s="82"/>
      <c r="H54" s="82"/>
      <c r="R54" s="277"/>
      <c r="S54" s="582"/>
      <c r="T54" s="277"/>
      <c r="U54" s="275"/>
      <c r="V54" s="277"/>
      <c r="W54" s="277"/>
    </row>
    <row r="55" spans="1:23">
      <c r="A55" s="83"/>
      <c r="B55" s="83"/>
      <c r="C55" s="83"/>
      <c r="D55" s="83"/>
      <c r="E55" s="83"/>
      <c r="F55" s="83"/>
      <c r="G55" s="83"/>
      <c r="H55" s="83"/>
      <c r="R55" s="302"/>
      <c r="S55" s="583"/>
      <c r="T55" s="302"/>
      <c r="U55" s="583"/>
      <c r="V55" s="277"/>
      <c r="W55" s="302"/>
    </row>
    <row r="56" spans="1:23">
      <c r="A56" s="83"/>
      <c r="B56" s="83"/>
      <c r="C56" s="83"/>
      <c r="D56" s="83"/>
      <c r="E56" s="83"/>
      <c r="F56" s="83"/>
      <c r="G56" s="83"/>
      <c r="H56" s="83"/>
      <c r="R56" s="277"/>
      <c r="S56" s="275"/>
      <c r="T56" s="277"/>
      <c r="U56" s="275"/>
      <c r="V56" s="277"/>
      <c r="W56" s="277"/>
    </row>
    <row r="57" spans="1:23">
      <c r="A57" s="83"/>
      <c r="B57" s="83"/>
      <c r="C57" s="83"/>
      <c r="D57" s="83"/>
      <c r="E57" s="83"/>
      <c r="F57" s="83"/>
      <c r="G57" s="83"/>
      <c r="H57" s="83"/>
      <c r="R57" s="277"/>
      <c r="S57" s="275"/>
      <c r="T57" s="277"/>
      <c r="U57" s="275"/>
      <c r="V57" s="277"/>
      <c r="W57" s="277"/>
    </row>
    <row r="58" spans="1:23">
      <c r="A58" s="83"/>
      <c r="B58" s="83"/>
      <c r="C58" s="83"/>
      <c r="D58" s="83"/>
      <c r="E58" s="83"/>
      <c r="F58" s="83"/>
      <c r="G58" s="83"/>
      <c r="H58" s="83"/>
      <c r="R58" s="277"/>
      <c r="S58" s="275"/>
      <c r="T58" s="277"/>
      <c r="U58" s="275"/>
      <c r="V58" s="277"/>
      <c r="W58" s="277"/>
    </row>
    <row r="59" spans="1:23">
      <c r="A59" s="83"/>
      <c r="B59" s="83"/>
      <c r="C59" s="83"/>
      <c r="D59" s="83"/>
      <c r="E59" s="83"/>
      <c r="F59" s="83"/>
      <c r="G59" s="83"/>
      <c r="H59" s="83"/>
      <c r="R59" s="277"/>
      <c r="S59" s="275"/>
      <c r="T59" s="277"/>
      <c r="U59" s="275"/>
      <c r="V59" s="277"/>
      <c r="W59" s="277"/>
    </row>
    <row r="60" spans="1:23">
      <c r="A60" s="83"/>
      <c r="B60" s="83"/>
      <c r="C60" s="83"/>
      <c r="D60" s="83"/>
      <c r="E60" s="83"/>
      <c r="F60" s="83"/>
      <c r="G60" s="83"/>
      <c r="H60" s="83"/>
    </row>
    <row r="61" spans="1:23">
      <c r="A61" s="83"/>
      <c r="B61" s="83"/>
      <c r="C61" s="83"/>
      <c r="D61" s="83"/>
      <c r="E61" s="83"/>
      <c r="F61" s="83"/>
      <c r="G61" s="83"/>
      <c r="H61" s="83"/>
    </row>
    <row r="62" spans="1:23">
      <c r="A62" s="83"/>
      <c r="B62" s="83"/>
      <c r="C62" s="83"/>
      <c r="D62" s="83"/>
      <c r="E62" s="83"/>
      <c r="F62" s="83"/>
      <c r="G62" s="83"/>
      <c r="H62" s="83"/>
    </row>
    <row r="63" spans="1:23">
      <c r="A63" s="83"/>
      <c r="B63" s="83"/>
      <c r="C63" s="83"/>
      <c r="D63" s="83"/>
      <c r="E63" s="83"/>
      <c r="F63" s="83"/>
      <c r="G63" s="83"/>
      <c r="H63" s="83"/>
    </row>
    <row r="64" spans="1:23">
      <c r="A64" s="83"/>
      <c r="B64" s="83"/>
      <c r="C64" s="83"/>
      <c r="D64" s="83"/>
      <c r="E64" s="83"/>
      <c r="F64" s="83"/>
      <c r="G64" s="83"/>
      <c r="H64" s="83"/>
    </row>
  </sheetData>
  <sheetProtection sheet="1" selectLockedCells="1"/>
  <mergeCells count="24">
    <mergeCell ref="Q42:S42"/>
    <mergeCell ref="Q43:S43"/>
    <mergeCell ref="Q44:S44"/>
    <mergeCell ref="Q45:S45"/>
    <mergeCell ref="Q36:S36"/>
    <mergeCell ref="Q37:S37"/>
    <mergeCell ref="Q38:S38"/>
    <mergeCell ref="Q39:S39"/>
    <mergeCell ref="Q40:S40"/>
    <mergeCell ref="Q41:S41"/>
    <mergeCell ref="J4:K4"/>
    <mergeCell ref="C1:F1"/>
    <mergeCell ref="A49:E49"/>
    <mergeCell ref="L35:P35"/>
    <mergeCell ref="M36:P36"/>
    <mergeCell ref="M37:P37"/>
    <mergeCell ref="M38:P38"/>
    <mergeCell ref="M39:P39"/>
    <mergeCell ref="M40:P40"/>
    <mergeCell ref="M41:P41"/>
    <mergeCell ref="M42:P42"/>
    <mergeCell ref="M43:P43"/>
    <mergeCell ref="M44:P44"/>
    <mergeCell ref="M45:P45"/>
  </mergeCells>
  <phoneticPr fontId="40" type="noConversion"/>
  <printOptions horizontalCentered="1" headings="1" gridLines="1" gridLinesSet="0"/>
  <pageMargins left="0" right="0" top="0" bottom="0" header="0" footer="0"/>
  <pageSetup orientation="portrait" blackAndWhite="1" horizontalDpi="300" verticalDpi="300" r:id="rId1"/>
  <headerFooter alignWithMargins="0"/>
  <ignoredErrors>
    <ignoredError sqref="N3:P3" twoDigitTextYear="1"/>
  </ignoredErrors>
  <drawing r:id="rId2"/>
  <legacyDrawing r:id="rId3"/>
  <controls>
    <mc:AlternateContent xmlns:mc="http://schemas.openxmlformats.org/markup-compatibility/2006">
      <mc:Choice Requires="x14">
        <control shapeId="2315" r:id="rId4" name="BothLinesChk">
          <controlPr defaultSize="0" autoLine="0" autoPict="0" r:id="rId5">
            <anchor moveWithCells="1">
              <from>
                <xdr:col>3</xdr:col>
                <xdr:colOff>228600</xdr:colOff>
                <xdr:row>48</xdr:row>
                <xdr:rowOff>7620</xdr:rowOff>
              </from>
              <to>
                <xdr:col>4</xdr:col>
                <xdr:colOff>838200</xdr:colOff>
                <xdr:row>48</xdr:row>
                <xdr:rowOff>198120</xdr:rowOff>
              </to>
            </anchor>
          </controlPr>
        </control>
      </mc:Choice>
      <mc:Fallback>
        <control shapeId="2315" r:id="rId4" name="BothLinesChk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MainForm!$A$113:$A$122</xm:f>
          </x14:formula1>
          <xm:sqref>U35 Y37:Y45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J100"/>
  <sheetViews>
    <sheetView workbookViewId="0">
      <selection activeCell="B23" sqref="B23"/>
    </sheetView>
  </sheetViews>
  <sheetFormatPr defaultRowHeight="12.6"/>
  <cols>
    <col min="1" max="1" width="11.5546875" customWidth="1"/>
    <col min="2" max="2" width="13.5546875" bestFit="1" customWidth="1"/>
    <col min="6" max="7" width="11.5546875" customWidth="1"/>
  </cols>
  <sheetData>
    <row r="1" spans="1:10">
      <c r="A1" t="s">
        <v>458</v>
      </c>
    </row>
    <row r="2" spans="1:10">
      <c r="A2" t="s">
        <v>347</v>
      </c>
      <c r="F2" t="s">
        <v>347</v>
      </c>
    </row>
    <row r="3" spans="1:10">
      <c r="C3" t="s">
        <v>391</v>
      </c>
      <c r="D3" t="s">
        <v>467</v>
      </c>
      <c r="E3" t="s">
        <v>461</v>
      </c>
      <c r="F3" t="s">
        <v>462</v>
      </c>
      <c r="G3" t="s">
        <v>635</v>
      </c>
      <c r="H3" t="s">
        <v>565</v>
      </c>
    </row>
    <row r="4" spans="1:10">
      <c r="A4">
        <v>1</v>
      </c>
      <c r="B4" t="s">
        <v>474</v>
      </c>
      <c r="C4">
        <v>3</v>
      </c>
      <c r="D4">
        <v>3</v>
      </c>
      <c r="E4">
        <v>1</v>
      </c>
      <c r="F4">
        <v>0.75</v>
      </c>
      <c r="H4">
        <f>SUMIF(MainForm!$B$3:$B$104,B4,MainForm!$C$3:$C$104)</f>
        <v>0</v>
      </c>
      <c r="J4" s="304"/>
    </row>
    <row r="5" spans="1:10">
      <c r="A5">
        <v>2</v>
      </c>
      <c r="B5" t="s">
        <v>475</v>
      </c>
      <c r="C5">
        <v>6</v>
      </c>
      <c r="D5">
        <v>4</v>
      </c>
      <c r="E5">
        <v>1</v>
      </c>
      <c r="F5">
        <v>0.75</v>
      </c>
      <c r="H5">
        <f>SUMIF(MainForm!$B$3:$B$104,B5,MainForm!$C$3:$C$104)</f>
        <v>0</v>
      </c>
      <c r="J5" s="304"/>
    </row>
    <row r="6" spans="1:10">
      <c r="A6">
        <v>3</v>
      </c>
      <c r="B6" t="s">
        <v>476</v>
      </c>
      <c r="C6">
        <v>12</v>
      </c>
      <c r="D6">
        <v>6</v>
      </c>
      <c r="E6">
        <v>1</v>
      </c>
      <c r="F6">
        <v>0.75</v>
      </c>
      <c r="H6">
        <f>SUMIF(MainForm!$B$3:$B$104,B6,MainForm!$C$3:$C$104)</f>
        <v>0</v>
      </c>
      <c r="J6" s="304"/>
    </row>
    <row r="7" spans="1:10">
      <c r="A7">
        <v>4</v>
      </c>
      <c r="B7" t="s">
        <v>477</v>
      </c>
      <c r="C7">
        <v>8</v>
      </c>
      <c r="D7">
        <v>3</v>
      </c>
      <c r="E7">
        <v>3</v>
      </c>
      <c r="F7">
        <v>0.75</v>
      </c>
      <c r="H7">
        <f>SUMIF(MainForm!$B$3:$B$104,B7,MainForm!$C$3:$C$104)</f>
        <v>0</v>
      </c>
      <c r="J7" s="304"/>
    </row>
    <row r="8" spans="1:10">
      <c r="A8">
        <v>5</v>
      </c>
      <c r="B8" t="s">
        <v>478</v>
      </c>
      <c r="C8">
        <v>16</v>
      </c>
      <c r="D8">
        <v>4.5</v>
      </c>
      <c r="F8">
        <v>0.75</v>
      </c>
      <c r="H8">
        <f>SUMIF(MainForm!$B$3:$B$104,B8,MainForm!$C$3:$C$104)</f>
        <v>0</v>
      </c>
      <c r="J8" s="304"/>
    </row>
    <row r="9" spans="1:10">
      <c r="A9">
        <v>6</v>
      </c>
      <c r="B9" t="s">
        <v>207</v>
      </c>
      <c r="C9">
        <v>4</v>
      </c>
      <c r="D9">
        <v>2</v>
      </c>
      <c r="E9">
        <v>1</v>
      </c>
      <c r="F9">
        <v>0.75</v>
      </c>
      <c r="H9">
        <f>SUMIF(MainForm!$B$3:$B$104,B9,MainForm!$C$3:$C$104)</f>
        <v>0</v>
      </c>
      <c r="J9" s="310"/>
    </row>
    <row r="10" spans="1:10">
      <c r="A10">
        <v>7</v>
      </c>
      <c r="B10" t="s">
        <v>479</v>
      </c>
      <c r="C10">
        <v>6</v>
      </c>
      <c r="D10">
        <v>3</v>
      </c>
      <c r="H10">
        <f>SUMIF(MainForm!$B$3:$B$104,B10,MainForm!$C$3:$C$104)</f>
        <v>0</v>
      </c>
      <c r="J10" s="304"/>
    </row>
    <row r="11" spans="1:10">
      <c r="A11">
        <v>8</v>
      </c>
      <c r="B11" t="s">
        <v>480</v>
      </c>
      <c r="C11">
        <v>12</v>
      </c>
      <c r="D11">
        <v>6</v>
      </c>
      <c r="H11">
        <f>SUMIF(MainForm!$B$3:$B$104,B11,MainForm!$C$3:$C$104)</f>
        <v>1</v>
      </c>
      <c r="J11" s="304"/>
    </row>
    <row r="12" spans="1:10">
      <c r="A12">
        <v>9</v>
      </c>
      <c r="B12" t="s">
        <v>481</v>
      </c>
      <c r="C12">
        <v>3</v>
      </c>
      <c r="D12">
        <v>1</v>
      </c>
      <c r="F12">
        <v>0.75</v>
      </c>
      <c r="H12">
        <f>SUMIF(MainForm!$B$3:$B$104,B12,MainForm!$C$3:$C$104)</f>
        <v>21</v>
      </c>
      <c r="J12" s="304"/>
    </row>
    <row r="13" spans="1:10">
      <c r="A13">
        <v>10</v>
      </c>
      <c r="B13" t="s">
        <v>482</v>
      </c>
      <c r="C13">
        <v>4</v>
      </c>
      <c r="D13">
        <v>1</v>
      </c>
      <c r="E13">
        <v>1</v>
      </c>
      <c r="F13">
        <v>0.75</v>
      </c>
      <c r="H13">
        <f>SUMIF(MainForm!$B$3:$B$104,B13,MainForm!$C$3:$C$104)</f>
        <v>0</v>
      </c>
      <c r="J13" s="304"/>
    </row>
    <row r="14" spans="1:10">
      <c r="A14">
        <v>11</v>
      </c>
      <c r="B14" t="s">
        <v>483</v>
      </c>
      <c r="C14">
        <v>4</v>
      </c>
      <c r="D14">
        <v>0.5</v>
      </c>
      <c r="H14">
        <f>SUMIF(MainForm!$B$3:$B$104,B14,MainForm!$C$3:$C$104)</f>
        <v>1</v>
      </c>
    </row>
    <row r="15" spans="1:10">
      <c r="A15">
        <v>12</v>
      </c>
      <c r="B15" t="s">
        <v>484</v>
      </c>
      <c r="C15">
        <v>1</v>
      </c>
      <c r="H15">
        <f>SUMIF(MainForm!$B$3:$B$104,B15,MainForm!$C$3:$C$104)</f>
        <v>0</v>
      </c>
    </row>
    <row r="16" spans="1:10">
      <c r="A16">
        <v>13</v>
      </c>
      <c r="B16" t="s">
        <v>459</v>
      </c>
      <c r="C16">
        <v>4</v>
      </c>
      <c r="D16">
        <v>0.5</v>
      </c>
      <c r="E16">
        <v>1</v>
      </c>
      <c r="F16">
        <v>0.6</v>
      </c>
      <c r="H16">
        <f>SUMIF(MainForm!$B$3:$B$104,B16,MainForm!$C$3:$C$104)</f>
        <v>8</v>
      </c>
      <c r="J16" s="304"/>
    </row>
    <row r="17" spans="1:10">
      <c r="A17">
        <v>14</v>
      </c>
      <c r="B17" t="s">
        <v>485</v>
      </c>
      <c r="C17">
        <v>4</v>
      </c>
      <c r="D17">
        <v>3</v>
      </c>
      <c r="E17">
        <v>1</v>
      </c>
      <c r="F17">
        <v>0.5</v>
      </c>
      <c r="H17">
        <f>SUMIF(MainForm!$B$3:$B$104,B17,MainForm!$C$3:$C$104)</f>
        <v>0</v>
      </c>
      <c r="J17" s="304"/>
    </row>
    <row r="18" spans="1:10">
      <c r="A18">
        <v>15</v>
      </c>
      <c r="B18" t="s">
        <v>487</v>
      </c>
      <c r="C18">
        <v>6</v>
      </c>
      <c r="D18">
        <v>1</v>
      </c>
      <c r="E18">
        <v>1</v>
      </c>
      <c r="H18">
        <f>SUMIF(MainForm!$B$3:$B$104,B18,MainForm!$C$3:$C$104)</f>
        <v>0</v>
      </c>
      <c r="J18" s="304"/>
    </row>
    <row r="19" spans="1:10">
      <c r="A19">
        <v>16</v>
      </c>
      <c r="B19" t="s">
        <v>488</v>
      </c>
      <c r="C19">
        <v>6</v>
      </c>
      <c r="D19">
        <v>0.5</v>
      </c>
      <c r="E19">
        <v>1</v>
      </c>
      <c r="F19">
        <v>0.75</v>
      </c>
      <c r="H19">
        <f>SUMIF(MainForm!$B$3:$B$104,B19,MainForm!$C$3:$C$104)</f>
        <v>0</v>
      </c>
      <c r="J19" s="304"/>
    </row>
    <row r="20" spans="1:10">
      <c r="A20">
        <v>17</v>
      </c>
      <c r="B20" t="s">
        <v>641</v>
      </c>
      <c r="C20">
        <v>3</v>
      </c>
      <c r="D20">
        <v>0.5</v>
      </c>
      <c r="E20">
        <v>1</v>
      </c>
      <c r="F20">
        <v>0.75</v>
      </c>
      <c r="H20">
        <f>SUMIF(MainForm!$B$3:$B$104,B20,MainForm!$C$3:$C$104)</f>
        <v>0</v>
      </c>
      <c r="J20" s="304"/>
    </row>
    <row r="21" spans="1:10">
      <c r="A21">
        <v>18</v>
      </c>
      <c r="B21" t="s">
        <v>489</v>
      </c>
      <c r="C21">
        <v>2</v>
      </c>
      <c r="D21">
        <v>1</v>
      </c>
      <c r="H21">
        <f>SUMIF(MainForm!$B$3:$B$104,B21,MainForm!$C$3:$C$104)</f>
        <v>0</v>
      </c>
      <c r="J21" s="304"/>
    </row>
    <row r="22" spans="1:10">
      <c r="A22">
        <v>19</v>
      </c>
      <c r="B22" t="s">
        <v>645</v>
      </c>
      <c r="C22">
        <v>4</v>
      </c>
      <c r="D22">
        <v>2</v>
      </c>
      <c r="H22">
        <f>SUMIF(MainForm!$B$3:$B$104,B22,MainForm!$C$3:$C$104)</f>
        <v>0</v>
      </c>
      <c r="J22" s="304"/>
    </row>
    <row r="23" spans="1:10">
      <c r="A23">
        <v>20</v>
      </c>
      <c r="B23" t="s">
        <v>491</v>
      </c>
      <c r="C23">
        <v>1</v>
      </c>
      <c r="D23">
        <v>0.5</v>
      </c>
      <c r="H23">
        <f>SUMIF(MainForm!$B$3:$B$104,B23,MainForm!$C$3:$C$104)</f>
        <v>8</v>
      </c>
      <c r="J23" s="304"/>
    </row>
    <row r="24" spans="1:10">
      <c r="A24">
        <v>21</v>
      </c>
      <c r="B24" t="s">
        <v>492</v>
      </c>
      <c r="C24">
        <v>6</v>
      </c>
      <c r="D24">
        <v>3</v>
      </c>
      <c r="H24">
        <f>SUMIF(MainForm!$B$3:$B$104,B24,MainForm!$C$3:$C$104)</f>
        <v>0</v>
      </c>
    </row>
    <row r="25" spans="1:10">
      <c r="A25">
        <v>22</v>
      </c>
      <c r="B25" t="s">
        <v>494</v>
      </c>
      <c r="C25">
        <v>1</v>
      </c>
      <c r="H25">
        <f>SUMIF(MainForm!$B$3:$B$104,B25,MainForm!$C$3:$C$104)</f>
        <v>0</v>
      </c>
      <c r="J25" s="304"/>
    </row>
    <row r="26" spans="1:10">
      <c r="A26">
        <v>23</v>
      </c>
      <c r="B26" t="s">
        <v>495</v>
      </c>
      <c r="C26">
        <v>2</v>
      </c>
      <c r="H26">
        <f>SUMIF(MainForm!$B$3:$B$104,B26,MainForm!$C$3:$C$104)</f>
        <v>8</v>
      </c>
      <c r="J26" s="304"/>
    </row>
    <row r="27" spans="1:10">
      <c r="A27">
        <v>24</v>
      </c>
      <c r="B27" t="s">
        <v>496</v>
      </c>
      <c r="C27">
        <v>4</v>
      </c>
      <c r="H27">
        <f>SUMIF(MainForm!$B$3:$B$104,B27,MainForm!$C$3:$C$104)</f>
        <v>0</v>
      </c>
      <c r="J27" s="304"/>
    </row>
    <row r="28" spans="1:10">
      <c r="A28">
        <v>27</v>
      </c>
      <c r="B28" t="s">
        <v>497</v>
      </c>
      <c r="C28">
        <v>3</v>
      </c>
      <c r="H28">
        <f>SUMIF(MainForm!$B$3:$B$104,B28,MainForm!$C$3:$C$104)</f>
        <v>0</v>
      </c>
      <c r="J28" s="304"/>
    </row>
    <row r="29" spans="1:10">
      <c r="A29">
        <v>28</v>
      </c>
      <c r="B29" t="s">
        <v>501</v>
      </c>
      <c r="C29">
        <v>1</v>
      </c>
      <c r="H29">
        <f>SUMIF(MainForm!$B$3:$B$104,B29,MainForm!$C$3:$C$104)</f>
        <v>0</v>
      </c>
      <c r="J29" s="304"/>
    </row>
    <row r="30" spans="1:10">
      <c r="A30">
        <v>29</v>
      </c>
      <c r="B30" t="s">
        <v>502</v>
      </c>
      <c r="C30">
        <v>2</v>
      </c>
      <c r="H30">
        <f>SUMIF(MainForm!$B$3:$B$104,B30,MainForm!$C$3:$C$104)</f>
        <v>0</v>
      </c>
      <c r="J30" s="304"/>
    </row>
    <row r="31" spans="1:10">
      <c r="A31">
        <v>30</v>
      </c>
      <c r="B31" t="s">
        <v>505</v>
      </c>
      <c r="C31">
        <v>1</v>
      </c>
      <c r="H31">
        <f>SUMIF(MainForm!$B$3:$B$104,B31,MainForm!$C$3:$C$104)</f>
        <v>0</v>
      </c>
    </row>
    <row r="32" spans="1:10">
      <c r="A32">
        <v>31</v>
      </c>
      <c r="B32" t="s">
        <v>590</v>
      </c>
      <c r="C32">
        <v>16</v>
      </c>
      <c r="D32">
        <v>0</v>
      </c>
      <c r="H32">
        <f>SUMIF(MainForm!$B$3:$B$104,B32,MainForm!$C$3:$C$104)</f>
        <v>0</v>
      </c>
    </row>
    <row r="33" spans="1:8">
      <c r="A33">
        <v>32</v>
      </c>
      <c r="B33" t="s">
        <v>593</v>
      </c>
      <c r="C33">
        <v>2</v>
      </c>
      <c r="D33">
        <v>1</v>
      </c>
      <c r="H33">
        <f>SUMIF(MainForm!$B$3:$B$104,B33,MainForm!$C$3:$C$104)</f>
        <v>0</v>
      </c>
    </row>
    <row r="34" spans="1:8">
      <c r="A34">
        <v>33</v>
      </c>
      <c r="B34" t="s">
        <v>639</v>
      </c>
      <c r="G34">
        <v>0.5</v>
      </c>
      <c r="H34">
        <f>SUMIF(MainForm!$B$3:$B$104,B34,MainForm!$C$3:$C$104)</f>
        <v>0</v>
      </c>
    </row>
    <row r="35" spans="1:8">
      <c r="A35">
        <v>34</v>
      </c>
      <c r="B35" t="s">
        <v>636</v>
      </c>
      <c r="H35">
        <f>SUMIF(MainForm!$B$3:$B$104,B35,MainForm!$C$3:$C$104)</f>
        <v>1</v>
      </c>
    </row>
    <row r="36" spans="1:8">
      <c r="A36">
        <v>35</v>
      </c>
      <c r="B36" t="s">
        <v>637</v>
      </c>
      <c r="G36">
        <v>0.5</v>
      </c>
      <c r="H36">
        <f>SUMIF(MainForm!$B$3:$B$104,B36,MainForm!$C$3:$C$104)</f>
        <v>0</v>
      </c>
    </row>
    <row r="37" spans="1:8">
      <c r="A37">
        <v>36</v>
      </c>
      <c r="B37" t="s">
        <v>642</v>
      </c>
      <c r="F37">
        <v>0.75</v>
      </c>
      <c r="H37">
        <f>SUMIF(MainForm!$B$3:$B$104,B37,MainForm!$C$3:$C$104)</f>
        <v>0</v>
      </c>
    </row>
    <row r="38" spans="1:8">
      <c r="A38">
        <v>37</v>
      </c>
      <c r="B38" t="s">
        <v>220</v>
      </c>
      <c r="H38">
        <f>SUMIF(MainForm!$B$3:$B$104,B38,MainForm!$C$3:$C$104)</f>
        <v>0</v>
      </c>
    </row>
    <row r="39" spans="1:8">
      <c r="A39">
        <v>38</v>
      </c>
      <c r="B39" t="s">
        <v>503</v>
      </c>
      <c r="H39">
        <f>SUMIF(MainForm!$B$3:$B$104,B39,MainForm!$C$3:$C$104)</f>
        <v>0</v>
      </c>
    </row>
    <row r="40" spans="1:8">
      <c r="A40">
        <v>39</v>
      </c>
      <c r="B40" t="s">
        <v>503</v>
      </c>
      <c r="H40">
        <f>SUMIF(MainForm!$B$3:$B$104,B40,MainForm!$C$3:$C$104)</f>
        <v>0</v>
      </c>
    </row>
    <row r="41" spans="1:8">
      <c r="A41">
        <v>40</v>
      </c>
      <c r="B41" t="s">
        <v>503</v>
      </c>
      <c r="H41">
        <f>SUMIF(MainForm!$B$3:$B$104,B41,MainForm!$C$3:$C$104)</f>
        <v>0</v>
      </c>
    </row>
    <row r="42" spans="1:8">
      <c r="A42">
        <v>41</v>
      </c>
      <c r="B42" t="s">
        <v>503</v>
      </c>
      <c r="H42">
        <f>SUMIF(MainForm!$B$3:$B$104,B42,MainForm!$C$3:$C$104)</f>
        <v>0</v>
      </c>
    </row>
    <row r="43" spans="1:8">
      <c r="A43">
        <v>42</v>
      </c>
      <c r="B43" t="s">
        <v>503</v>
      </c>
      <c r="H43">
        <f>SUMIF(MainForm!$B$3:$B$104,B43,MainForm!$C$3:$C$104)</f>
        <v>0</v>
      </c>
    </row>
    <row r="44" spans="1:8">
      <c r="A44">
        <v>43</v>
      </c>
      <c r="B44" t="s">
        <v>503</v>
      </c>
      <c r="H44">
        <f>SUMIF(MainForm!$B$3:$B$104,B44,MainForm!$C$3:$C$104)</f>
        <v>0</v>
      </c>
    </row>
    <row r="45" spans="1:8">
      <c r="A45">
        <v>44</v>
      </c>
      <c r="B45" t="s">
        <v>503</v>
      </c>
      <c r="H45">
        <f>SUMIF(MainForm!$B$3:$B$104,B45,MainForm!$C$3:$C$104)</f>
        <v>0</v>
      </c>
    </row>
    <row r="46" spans="1:8">
      <c r="A46">
        <v>45</v>
      </c>
      <c r="B46" t="s">
        <v>503</v>
      </c>
      <c r="H46">
        <f>SUMIF(MainForm!$B$3:$B$104,B46,MainForm!$C$3:$C$104)</f>
        <v>0</v>
      </c>
    </row>
    <row r="47" spans="1:8">
      <c r="A47">
        <v>46</v>
      </c>
      <c r="B47" t="s">
        <v>503</v>
      </c>
      <c r="H47">
        <f>SUMIF(MainForm!$B$3:$B$104,B47,MainForm!$C$3:$C$104)</f>
        <v>0</v>
      </c>
    </row>
    <row r="48" spans="1:8">
      <c r="A48">
        <v>47</v>
      </c>
      <c r="B48" t="s">
        <v>503</v>
      </c>
      <c r="H48">
        <f>SUMIF(MainForm!$B$3:$B$104,B48,MainForm!$C$3:$C$104)</f>
        <v>0</v>
      </c>
    </row>
    <row r="49" spans="1:8">
      <c r="A49">
        <v>48</v>
      </c>
      <c r="B49" t="s">
        <v>503</v>
      </c>
      <c r="H49">
        <f>SUMIF(MainForm!$B$3:$B$104,B49,MainForm!$C$3:$C$104)</f>
        <v>0</v>
      </c>
    </row>
    <row r="50" spans="1:8">
      <c r="A50">
        <v>49</v>
      </c>
      <c r="B50" t="s">
        <v>503</v>
      </c>
      <c r="H50">
        <f>SUMIF(MainForm!$B$3:$B$104,B50,MainForm!$C$3:$C$104)</f>
        <v>0</v>
      </c>
    </row>
    <row r="51" spans="1:8">
      <c r="A51">
        <v>50</v>
      </c>
      <c r="B51" t="s">
        <v>503</v>
      </c>
      <c r="H51">
        <f>SUMIF(MainForm!$B$3:$B$104,B51,MainForm!$C$3:$C$104)</f>
        <v>0</v>
      </c>
    </row>
    <row r="52" spans="1:8">
      <c r="A52">
        <v>51</v>
      </c>
      <c r="B52" t="s">
        <v>503</v>
      </c>
      <c r="H52">
        <f>SUMIF(MainForm!$B$3:$B$104,B52,MainForm!$C$3:$C$104)</f>
        <v>0</v>
      </c>
    </row>
    <row r="53" spans="1:8">
      <c r="A53">
        <v>52</v>
      </c>
      <c r="B53" t="s">
        <v>503</v>
      </c>
      <c r="H53">
        <f>SUMIF(MainForm!$B$3:$B$104,B53,MainForm!$C$3:$C$104)</f>
        <v>0</v>
      </c>
    </row>
    <row r="54" spans="1:8">
      <c r="A54">
        <v>53</v>
      </c>
      <c r="B54" t="s">
        <v>503</v>
      </c>
      <c r="H54">
        <f>SUMIF(MainForm!$B$3:$B$104,B54,MainForm!$C$3:$C$104)</f>
        <v>0</v>
      </c>
    </row>
    <row r="55" spans="1:8">
      <c r="A55">
        <v>54</v>
      </c>
      <c r="B55" t="s">
        <v>503</v>
      </c>
      <c r="H55">
        <f>SUMIF(MainForm!$B$3:$B$104,B55,MainForm!$C$3:$C$104)</f>
        <v>0</v>
      </c>
    </row>
    <row r="56" spans="1:8">
      <c r="A56">
        <v>55</v>
      </c>
      <c r="B56" t="s">
        <v>503</v>
      </c>
      <c r="H56">
        <f>SUMIF(MainForm!$B$3:$B$104,B56,MainForm!$C$3:$C$104)</f>
        <v>0</v>
      </c>
    </row>
    <row r="57" spans="1:8">
      <c r="A57">
        <v>56</v>
      </c>
      <c r="B57" t="s">
        <v>503</v>
      </c>
      <c r="H57">
        <f>SUMIF(MainForm!$B$3:$B$104,B57,MainForm!$C$3:$C$104)</f>
        <v>0</v>
      </c>
    </row>
    <row r="58" spans="1:8">
      <c r="A58">
        <v>57</v>
      </c>
      <c r="B58" t="s">
        <v>503</v>
      </c>
      <c r="H58">
        <f>SUMIF(MainForm!$B$3:$B$104,B58,MainForm!$C$3:$C$104)</f>
        <v>0</v>
      </c>
    </row>
    <row r="59" spans="1:8">
      <c r="A59">
        <v>58</v>
      </c>
      <c r="B59" t="s">
        <v>503</v>
      </c>
      <c r="H59">
        <f>SUMIF(MainForm!$B$3:$B$104,B59,MainForm!$C$3:$C$104)</f>
        <v>0</v>
      </c>
    </row>
    <row r="60" spans="1:8">
      <c r="A60">
        <v>59</v>
      </c>
      <c r="B60" t="s">
        <v>503</v>
      </c>
      <c r="H60">
        <f>SUMIF(MainForm!$B$3:$B$104,B60,MainForm!$C$3:$C$104)</f>
        <v>0</v>
      </c>
    </row>
    <row r="61" spans="1:8">
      <c r="A61">
        <v>60</v>
      </c>
      <c r="B61" t="s">
        <v>503</v>
      </c>
      <c r="H61">
        <f>SUMIF(MainForm!$B$3:$B$104,B61,MainForm!$C$3:$C$104)</f>
        <v>0</v>
      </c>
    </row>
    <row r="62" spans="1:8">
      <c r="A62">
        <v>61</v>
      </c>
      <c r="B62" t="s">
        <v>503</v>
      </c>
      <c r="H62">
        <f>SUMIF(MainForm!$B$3:$B$104,B62,MainForm!$C$3:$C$104)</f>
        <v>0</v>
      </c>
    </row>
    <row r="63" spans="1:8">
      <c r="A63">
        <v>62</v>
      </c>
      <c r="B63" t="s">
        <v>503</v>
      </c>
      <c r="H63">
        <f>SUMIF(MainForm!$B$3:$B$104,B63,MainForm!$C$3:$C$104)</f>
        <v>0</v>
      </c>
    </row>
    <row r="64" spans="1:8">
      <c r="A64">
        <v>63</v>
      </c>
      <c r="B64" t="s">
        <v>503</v>
      </c>
      <c r="H64">
        <f>SUMIF(MainForm!$B$3:$B$104,B64,MainForm!$C$3:$C$104)</f>
        <v>0</v>
      </c>
    </row>
    <row r="65" spans="1:8">
      <c r="A65">
        <v>64</v>
      </c>
      <c r="B65" t="s">
        <v>503</v>
      </c>
      <c r="H65">
        <f>SUMIF(MainForm!$B$3:$B$104,B65,MainForm!$C$3:$C$104)</f>
        <v>0</v>
      </c>
    </row>
    <row r="66" spans="1:8">
      <c r="A66">
        <v>65</v>
      </c>
      <c r="B66" t="s">
        <v>503</v>
      </c>
      <c r="H66">
        <f>SUMIF(MainForm!$B$3:$B$104,B66,MainForm!$C$3:$C$104)</f>
        <v>0</v>
      </c>
    </row>
    <row r="67" spans="1:8">
      <c r="A67">
        <v>66</v>
      </c>
      <c r="B67" t="s">
        <v>503</v>
      </c>
      <c r="H67">
        <f>SUMIF(MainForm!$B$3:$B$104,B67,MainForm!$C$3:$C$104)</f>
        <v>0</v>
      </c>
    </row>
    <row r="68" spans="1:8">
      <c r="A68">
        <v>67</v>
      </c>
      <c r="B68" t="s">
        <v>503</v>
      </c>
      <c r="H68">
        <f>SUMIF(MainForm!$B$3:$B$104,B68,MainForm!$C$3:$C$104)</f>
        <v>0</v>
      </c>
    </row>
    <row r="69" spans="1:8">
      <c r="A69">
        <v>68</v>
      </c>
      <c r="B69" t="s">
        <v>503</v>
      </c>
      <c r="H69">
        <f>SUMIF(MainForm!$B$3:$B$104,B69,MainForm!$C$3:$C$104)</f>
        <v>0</v>
      </c>
    </row>
    <row r="70" spans="1:8">
      <c r="A70">
        <v>69</v>
      </c>
      <c r="B70" t="s">
        <v>503</v>
      </c>
      <c r="H70">
        <f>SUMIF(MainForm!$B$3:$B$104,B70,MainForm!$C$3:$C$104)</f>
        <v>0</v>
      </c>
    </row>
    <row r="71" spans="1:8">
      <c r="A71">
        <v>70</v>
      </c>
      <c r="B71" t="s">
        <v>503</v>
      </c>
      <c r="H71">
        <f>SUMIF(MainForm!$B$3:$B$104,B71,MainForm!$C$3:$C$104)</f>
        <v>0</v>
      </c>
    </row>
    <row r="72" spans="1:8">
      <c r="A72">
        <v>71</v>
      </c>
      <c r="B72" t="s">
        <v>503</v>
      </c>
      <c r="H72">
        <f>SUMIF(MainForm!$B$3:$B$104,B72,MainForm!$C$3:$C$104)</f>
        <v>0</v>
      </c>
    </row>
    <row r="73" spans="1:8">
      <c r="A73">
        <v>72</v>
      </c>
      <c r="B73" t="s">
        <v>503</v>
      </c>
      <c r="H73">
        <f>SUMIF(MainForm!$B$3:$B$104,B73,MainForm!$C$3:$C$104)</f>
        <v>0</v>
      </c>
    </row>
    <row r="74" spans="1:8">
      <c r="A74">
        <v>73</v>
      </c>
      <c r="B74" t="s">
        <v>503</v>
      </c>
      <c r="H74">
        <f>SUMIF(MainForm!$B$3:$B$104,B74,MainForm!$C$3:$C$104)</f>
        <v>0</v>
      </c>
    </row>
    <row r="75" spans="1:8">
      <c r="A75">
        <v>74</v>
      </c>
      <c r="B75" t="s">
        <v>503</v>
      </c>
      <c r="H75">
        <f>SUMIF(MainForm!$B$3:$B$104,B75,MainForm!$C$3:$C$104)</f>
        <v>0</v>
      </c>
    </row>
    <row r="76" spans="1:8">
      <c r="A76">
        <v>75</v>
      </c>
      <c r="B76" t="s">
        <v>503</v>
      </c>
      <c r="H76">
        <f>SUMIF(MainForm!$B$3:$B$104,B76,MainForm!$C$3:$C$104)</f>
        <v>0</v>
      </c>
    </row>
    <row r="77" spans="1:8">
      <c r="A77">
        <v>76</v>
      </c>
      <c r="B77" t="s">
        <v>503</v>
      </c>
      <c r="H77">
        <f>SUMIF(MainForm!$B$3:$B$104,B77,MainForm!$C$3:$C$104)</f>
        <v>0</v>
      </c>
    </row>
    <row r="78" spans="1:8">
      <c r="A78">
        <v>77</v>
      </c>
      <c r="B78" t="s">
        <v>503</v>
      </c>
      <c r="H78">
        <f>SUMIF(MainForm!$B$3:$B$104,B78,MainForm!$C$3:$C$104)</f>
        <v>0</v>
      </c>
    </row>
    <row r="79" spans="1:8">
      <c r="A79">
        <v>78</v>
      </c>
      <c r="B79" t="s">
        <v>503</v>
      </c>
      <c r="H79">
        <f>SUMIF(MainForm!$B$3:$B$104,B79,MainForm!$C$3:$C$104)</f>
        <v>0</v>
      </c>
    </row>
    <row r="80" spans="1:8">
      <c r="A80">
        <v>79</v>
      </c>
      <c r="B80" t="s">
        <v>503</v>
      </c>
      <c r="H80">
        <f>SUMIF(MainForm!$B$3:$B$104,B80,MainForm!$C$3:$C$104)</f>
        <v>0</v>
      </c>
    </row>
    <row r="81" spans="1:8">
      <c r="A81">
        <v>80</v>
      </c>
      <c r="B81" t="s">
        <v>503</v>
      </c>
      <c r="H81">
        <f>SUMIF(MainForm!$B$3:$B$104,B81,MainForm!$C$3:$C$104)</f>
        <v>0</v>
      </c>
    </row>
    <row r="82" spans="1:8">
      <c r="A82">
        <v>81</v>
      </c>
      <c r="B82" t="s">
        <v>503</v>
      </c>
      <c r="H82">
        <f>SUMIF(MainForm!$B$3:$B$104,B82,MainForm!$C$3:$C$104)</f>
        <v>0</v>
      </c>
    </row>
    <row r="83" spans="1:8">
      <c r="A83">
        <v>82</v>
      </c>
      <c r="B83" t="s">
        <v>503</v>
      </c>
      <c r="H83">
        <f>SUMIF(MainForm!$B$3:$B$104,B83,MainForm!$C$3:$C$104)</f>
        <v>0</v>
      </c>
    </row>
    <row r="84" spans="1:8">
      <c r="A84">
        <v>83</v>
      </c>
      <c r="B84" t="s">
        <v>503</v>
      </c>
      <c r="H84">
        <f>SUMIF(MainForm!$B$3:$B$104,B84,MainForm!$C$3:$C$104)</f>
        <v>0</v>
      </c>
    </row>
    <row r="85" spans="1:8">
      <c r="A85">
        <v>84</v>
      </c>
      <c r="B85" t="s">
        <v>503</v>
      </c>
      <c r="H85">
        <f>SUMIF(MainForm!$B$3:$B$104,B85,MainForm!$C$3:$C$104)</f>
        <v>0</v>
      </c>
    </row>
    <row r="86" spans="1:8">
      <c r="A86">
        <v>85</v>
      </c>
      <c r="B86" t="s">
        <v>503</v>
      </c>
      <c r="H86">
        <f>SUMIF(MainForm!$B$3:$B$104,B86,MainForm!$C$3:$C$104)</f>
        <v>0</v>
      </c>
    </row>
    <row r="87" spans="1:8">
      <c r="A87">
        <v>86</v>
      </c>
      <c r="B87" t="s">
        <v>503</v>
      </c>
      <c r="H87">
        <f>SUMIF(MainForm!$B$3:$B$104,B87,MainForm!$C$3:$C$104)</f>
        <v>0</v>
      </c>
    </row>
    <row r="88" spans="1:8">
      <c r="A88">
        <v>87</v>
      </c>
      <c r="B88" t="s">
        <v>503</v>
      </c>
      <c r="H88">
        <f>SUMIF(MainForm!$B$3:$B$104,B88,MainForm!$C$3:$C$104)</f>
        <v>0</v>
      </c>
    </row>
    <row r="89" spans="1:8">
      <c r="A89">
        <v>88</v>
      </c>
      <c r="B89" t="s">
        <v>503</v>
      </c>
      <c r="H89">
        <f>SUMIF(MainForm!$B$3:$B$104,B89,MainForm!$C$3:$C$104)</f>
        <v>0</v>
      </c>
    </row>
    <row r="90" spans="1:8">
      <c r="A90">
        <v>89</v>
      </c>
      <c r="B90" t="s">
        <v>503</v>
      </c>
      <c r="H90">
        <f>SUMIF(MainForm!$B$3:$B$104,B90,MainForm!$C$3:$C$104)</f>
        <v>0</v>
      </c>
    </row>
    <row r="91" spans="1:8">
      <c r="A91">
        <v>90</v>
      </c>
      <c r="B91" t="s">
        <v>503</v>
      </c>
      <c r="H91">
        <f>SUMIF(MainForm!$B$3:$B$104,B91,MainForm!$C$3:$C$104)</f>
        <v>0</v>
      </c>
    </row>
    <row r="92" spans="1:8">
      <c r="A92">
        <v>91</v>
      </c>
      <c r="B92" t="s">
        <v>503</v>
      </c>
      <c r="H92">
        <f>SUMIF(MainForm!$B$3:$B$104,B92,MainForm!$C$3:$C$104)</f>
        <v>0</v>
      </c>
    </row>
    <row r="93" spans="1:8">
      <c r="A93">
        <v>92</v>
      </c>
      <c r="B93" t="s">
        <v>503</v>
      </c>
      <c r="H93">
        <f>SUMIF(MainForm!$B$3:$B$104,B93,MainForm!$C$3:$C$104)</f>
        <v>0</v>
      </c>
    </row>
    <row r="94" spans="1:8">
      <c r="A94">
        <v>93</v>
      </c>
      <c r="B94" t="s">
        <v>503</v>
      </c>
      <c r="H94">
        <f>SUMIF(MainForm!$B$3:$B$104,B94,MainForm!$C$3:$C$104)</f>
        <v>0</v>
      </c>
    </row>
    <row r="95" spans="1:8">
      <c r="A95">
        <v>94</v>
      </c>
      <c r="B95" t="s">
        <v>503</v>
      </c>
      <c r="H95">
        <f>SUMIF(MainForm!$B$3:$B$104,B95,MainForm!$C$3:$C$104)</f>
        <v>0</v>
      </c>
    </row>
    <row r="96" spans="1:8">
      <c r="A96">
        <v>95</v>
      </c>
      <c r="B96" t="s">
        <v>503</v>
      </c>
      <c r="H96">
        <f>SUMIF(MainForm!$B$3:$B$104,B96,MainForm!$C$3:$C$104)</f>
        <v>0</v>
      </c>
    </row>
    <row r="97" spans="1:8">
      <c r="A97">
        <v>96</v>
      </c>
      <c r="B97" t="s">
        <v>503</v>
      </c>
      <c r="H97">
        <f>SUMIF(MainForm!$B$3:$B$104,B97,MainForm!$C$3:$C$104)</f>
        <v>0</v>
      </c>
    </row>
    <row r="98" spans="1:8">
      <c r="A98">
        <v>97</v>
      </c>
      <c r="B98" t="s">
        <v>503</v>
      </c>
      <c r="H98">
        <f>SUMIF(MainForm!$B$3:$B$104,B98,MainForm!$C$3:$C$104)</f>
        <v>0</v>
      </c>
    </row>
    <row r="99" spans="1:8">
      <c r="A99">
        <v>98</v>
      </c>
      <c r="B99" t="s">
        <v>503</v>
      </c>
      <c r="H99">
        <f>SUMIF(MainForm!$B$3:$B$104,B99,MainForm!$C$3:$C$104)</f>
        <v>0</v>
      </c>
    </row>
    <row r="100" spans="1:8">
      <c r="A100">
        <v>99</v>
      </c>
      <c r="B100" t="s">
        <v>503</v>
      </c>
      <c r="H100">
        <f>SUMIF(MainForm!$B$3:$B$104,B100,MainForm!$C$3:$C$104)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I24"/>
  <sheetViews>
    <sheetView workbookViewId="0">
      <selection activeCell="A4" sqref="A4"/>
    </sheetView>
  </sheetViews>
  <sheetFormatPr defaultRowHeight="12.6"/>
  <cols>
    <col min="1" max="1" width="15.33203125" customWidth="1"/>
    <col min="2" max="2" width="12.33203125" customWidth="1"/>
    <col min="6" max="6" width="11.5546875" customWidth="1"/>
  </cols>
  <sheetData>
    <row r="1" spans="1:9">
      <c r="A1" t="s">
        <v>458</v>
      </c>
    </row>
    <row r="2" spans="1:9">
      <c r="A2" t="s">
        <v>220</v>
      </c>
    </row>
    <row r="3" spans="1:9">
      <c r="B3" t="s">
        <v>32</v>
      </c>
      <c r="C3" t="s">
        <v>391</v>
      </c>
      <c r="D3" t="s">
        <v>565</v>
      </c>
    </row>
    <row r="4" spans="1:9">
      <c r="A4" t="s">
        <v>468</v>
      </c>
      <c r="B4">
        <v>185</v>
      </c>
      <c r="C4" s="398">
        <v>3</v>
      </c>
      <c r="D4">
        <f>SUMIF(MainForm!$M$3:$M$104,A4,MainForm!$C$3:$C$104)</f>
        <v>8</v>
      </c>
      <c r="E4" s="2"/>
      <c r="F4" s="2"/>
      <c r="G4" s="2"/>
      <c r="H4" s="2"/>
      <c r="I4" s="2"/>
    </row>
    <row r="5" spans="1:9">
      <c r="A5" t="s">
        <v>701</v>
      </c>
      <c r="B5">
        <v>0</v>
      </c>
      <c r="C5">
        <v>2</v>
      </c>
      <c r="D5">
        <f>SUMIF(MainForm!$M$3:$M$104,A5,MainForm!$C$3:$C$104)</f>
        <v>21</v>
      </c>
      <c r="E5" s="2"/>
      <c r="F5" s="2"/>
      <c r="G5" s="2"/>
      <c r="H5" s="2"/>
      <c r="I5" s="2"/>
    </row>
    <row r="6" spans="1:9">
      <c r="A6" t="s">
        <v>469</v>
      </c>
      <c r="B6">
        <v>420</v>
      </c>
      <c r="C6">
        <v>1</v>
      </c>
      <c r="D6">
        <f>SUMIF(MainForm!$M$3:$M$104,A6,MainForm!$C$3:$C$104)</f>
        <v>0</v>
      </c>
      <c r="E6" s="2"/>
      <c r="F6" s="2"/>
      <c r="G6" s="2"/>
      <c r="H6" s="2"/>
      <c r="I6" s="2"/>
    </row>
    <row r="7" spans="1:9">
      <c r="A7" t="s">
        <v>470</v>
      </c>
      <c r="B7">
        <v>60</v>
      </c>
      <c r="C7">
        <v>4</v>
      </c>
      <c r="D7">
        <f>SUMIF(MainForm!$M$3:$M$104,A7,MainForm!$C$3:$C$104)</f>
        <v>0</v>
      </c>
      <c r="E7" s="2"/>
      <c r="F7" s="2"/>
      <c r="G7" s="2"/>
      <c r="H7" s="2"/>
      <c r="I7" s="2"/>
    </row>
    <row r="8" spans="1:9">
      <c r="A8" t="s">
        <v>471</v>
      </c>
      <c r="B8">
        <v>568</v>
      </c>
      <c r="C8">
        <v>5</v>
      </c>
      <c r="D8">
        <f>SUMIF(MainForm!$M$3:$M$104,A8,MainForm!$C$3:$C$104)</f>
        <v>0</v>
      </c>
      <c r="E8" s="2"/>
      <c r="F8" s="2"/>
      <c r="G8" s="2"/>
      <c r="H8" s="2"/>
      <c r="I8" s="2"/>
    </row>
    <row r="9" spans="1:9">
      <c r="A9" t="s">
        <v>472</v>
      </c>
      <c r="B9">
        <v>0</v>
      </c>
      <c r="C9">
        <v>2</v>
      </c>
      <c r="D9">
        <f>SUMIF(MainForm!$M$3:$M$104,A9,MainForm!$C$3:$C$104)</f>
        <v>0</v>
      </c>
      <c r="E9" s="2"/>
      <c r="F9" s="2"/>
      <c r="G9" s="2"/>
      <c r="H9" s="2"/>
      <c r="I9" s="2"/>
    </row>
    <row r="10" spans="1:9">
      <c r="A10" t="s">
        <v>460</v>
      </c>
      <c r="B10">
        <v>800</v>
      </c>
      <c r="C10">
        <v>2</v>
      </c>
      <c r="D10">
        <f>SUMIF(MainForm!$M$3:$M$104,A10,MainForm!$C$3:$C$104)</f>
        <v>0</v>
      </c>
      <c r="E10" s="2"/>
      <c r="F10" s="2"/>
      <c r="G10" s="2"/>
      <c r="H10" s="2"/>
      <c r="I10" s="2"/>
    </row>
    <row r="11" spans="1:9">
      <c r="A11" t="s">
        <v>514</v>
      </c>
      <c r="B11">
        <v>695</v>
      </c>
      <c r="C11">
        <v>1</v>
      </c>
      <c r="D11">
        <f>SUMIF(MainForm!$M$3:$M$104,A11,MainForm!$C$3:$C$104)</f>
        <v>0</v>
      </c>
      <c r="E11" s="2"/>
      <c r="F11" s="2"/>
      <c r="G11" s="2"/>
      <c r="H11" s="2"/>
      <c r="I11" s="2"/>
    </row>
    <row r="12" spans="1:9">
      <c r="A12" t="s">
        <v>486</v>
      </c>
      <c r="B12">
        <v>0.5</v>
      </c>
      <c r="C12" s="51">
        <v>0.05</v>
      </c>
      <c r="D12">
        <f>SUMIF(MainForm!$M$3:$M$104,A12,MainForm!$C$3:$C$104)</f>
        <v>0</v>
      </c>
      <c r="E12" s="2"/>
      <c r="F12" s="2"/>
      <c r="G12" s="2"/>
      <c r="H12" s="2"/>
      <c r="I12" s="2"/>
    </row>
    <row r="13" spans="1:9">
      <c r="A13" t="s">
        <v>490</v>
      </c>
      <c r="B13">
        <v>185</v>
      </c>
      <c r="C13">
        <v>1</v>
      </c>
      <c r="D13">
        <f>SUMIF(MainForm!$M$3:$M$104,A13,MainForm!$C$3:$C$104)</f>
        <v>0</v>
      </c>
      <c r="E13" s="2"/>
      <c r="F13" s="2"/>
      <c r="G13" s="2"/>
      <c r="H13" s="2"/>
      <c r="I13" s="2"/>
    </row>
    <row r="14" spans="1:9">
      <c r="A14" t="s">
        <v>493</v>
      </c>
      <c r="B14">
        <v>160</v>
      </c>
      <c r="C14">
        <v>2</v>
      </c>
      <c r="D14">
        <f>SUMIF(MainForm!$M$3:$M$104,A14,MainForm!$C$3:$C$104)</f>
        <v>0</v>
      </c>
      <c r="E14" s="2"/>
      <c r="F14" s="2"/>
      <c r="G14" s="2"/>
      <c r="H14" s="2"/>
      <c r="I14" s="2"/>
    </row>
    <row r="15" spans="1:9">
      <c r="A15" t="s">
        <v>500</v>
      </c>
      <c r="B15">
        <v>125</v>
      </c>
      <c r="C15">
        <v>1</v>
      </c>
      <c r="D15">
        <f>SUMIF(MainForm!$M$3:$M$104,A15,MainForm!$C$3:$C$104)</f>
        <v>8</v>
      </c>
      <c r="E15" s="2"/>
      <c r="F15" s="2"/>
      <c r="G15" s="2"/>
      <c r="H15" s="2"/>
      <c r="I15" s="2"/>
    </row>
    <row r="16" spans="1:9">
      <c r="A16" t="s">
        <v>504</v>
      </c>
      <c r="B16">
        <v>35</v>
      </c>
      <c r="C16">
        <v>1</v>
      </c>
      <c r="D16">
        <f>SUMIF(MainForm!$M$3:$M$104,A16,MainForm!$C$3:$C$104)</f>
        <v>0</v>
      </c>
      <c r="E16" s="2"/>
      <c r="F16" s="2"/>
      <c r="G16" s="2"/>
      <c r="H16" s="2"/>
      <c r="I16" s="2"/>
    </row>
    <row r="17" spans="1:9">
      <c r="A17" t="s">
        <v>512</v>
      </c>
      <c r="B17">
        <v>45</v>
      </c>
      <c r="C17">
        <v>1</v>
      </c>
      <c r="D17">
        <f>SUMIF(MainForm!$M$3:$M$104,A17,MainForm!$C$3:$C$104)</f>
        <v>0</v>
      </c>
      <c r="E17" s="2"/>
      <c r="F17" s="2"/>
      <c r="G17" s="2"/>
      <c r="H17" s="2"/>
      <c r="I17" s="2"/>
    </row>
    <row r="18" spans="1:9">
      <c r="A18" t="s">
        <v>513</v>
      </c>
      <c r="B18">
        <v>25</v>
      </c>
      <c r="C18">
        <v>1</v>
      </c>
      <c r="D18">
        <f>SUMIF(MainForm!$M$3:$M$104,A18,MainForm!$C$3:$C$104)</f>
        <v>0</v>
      </c>
      <c r="E18" s="2"/>
      <c r="F18" s="2"/>
      <c r="G18" s="2"/>
      <c r="H18" s="2"/>
      <c r="I18" s="2"/>
    </row>
    <row r="19" spans="1:9">
      <c r="A19" t="s">
        <v>566</v>
      </c>
      <c r="C19">
        <v>20</v>
      </c>
      <c r="D19">
        <f>SUMIF(MainForm!$M$3:$M$104,A19,MainForm!$C$3:$C$104)</f>
        <v>0</v>
      </c>
    </row>
    <row r="20" spans="1:9">
      <c r="A20" t="s">
        <v>567</v>
      </c>
      <c r="C20">
        <v>6</v>
      </c>
      <c r="D20">
        <f>SUMIF(MainForm!$M$3:$M$104,A20,MainForm!$C$3:$C$104)</f>
        <v>0</v>
      </c>
    </row>
    <row r="21" spans="1:9">
      <c r="A21" t="s">
        <v>568</v>
      </c>
      <c r="C21">
        <v>4</v>
      </c>
      <c r="D21">
        <f>SUMIF(MainForm!$M$3:$M$104,A21,MainForm!$C$3:$C$104)</f>
        <v>2</v>
      </c>
    </row>
    <row r="22" spans="1:9">
      <c r="A22" t="s">
        <v>569</v>
      </c>
      <c r="B22">
        <v>0.5</v>
      </c>
      <c r="C22">
        <f>1/50</f>
        <v>0.02</v>
      </c>
      <c r="D22">
        <f>SUMIF(MainForm!$M$3:$M$104,A22,MainForm!$C$3:$C$104)</f>
        <v>0</v>
      </c>
    </row>
    <row r="23" spans="1:9">
      <c r="A23" t="s">
        <v>591</v>
      </c>
      <c r="B23">
        <v>90</v>
      </c>
      <c r="C23">
        <v>2</v>
      </c>
      <c r="D23">
        <f>SUMIF(MainForm!$M$3:$M$104,A23,MainForm!$C$3:$C$104)</f>
        <v>0</v>
      </c>
    </row>
    <row r="24" spans="1:9">
      <c r="A24" t="s">
        <v>596</v>
      </c>
      <c r="B24">
        <v>140</v>
      </c>
      <c r="C24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>
    <pageSetUpPr fitToPage="1"/>
  </sheetPr>
  <dimension ref="A1:U75"/>
  <sheetViews>
    <sheetView workbookViewId="0"/>
  </sheetViews>
  <sheetFormatPr defaultColWidth="9.88671875" defaultRowHeight="13.2"/>
  <cols>
    <col min="1" max="1" width="12.44140625" style="69" customWidth="1"/>
    <col min="2" max="4" width="9.88671875" style="69" customWidth="1"/>
    <col min="5" max="5" width="11.33203125" style="69" customWidth="1"/>
    <col min="6" max="6" width="12.33203125" style="69" customWidth="1"/>
    <col min="7" max="7" width="11.109375" style="69" customWidth="1"/>
    <col min="8" max="8" width="11.5546875" style="69" customWidth="1"/>
    <col min="9" max="16384" width="9.88671875" style="69"/>
  </cols>
  <sheetData>
    <row r="1" spans="1:21" ht="21" thickBot="1">
      <c r="A1" s="98" t="s">
        <v>120</v>
      </c>
      <c r="B1" s="98"/>
      <c r="C1" s="98"/>
      <c r="D1" s="98"/>
      <c r="E1" s="98"/>
      <c r="F1" s="98"/>
      <c r="G1" s="98"/>
      <c r="H1" s="246" t="s">
        <v>236</v>
      </c>
    </row>
    <row r="2" spans="1:21" ht="13.8" thickBot="1">
      <c r="A2" s="100" t="s">
        <v>59</v>
      </c>
      <c r="B2" s="100" t="s">
        <v>60</v>
      </c>
      <c r="C2" s="100" t="s">
        <v>61</v>
      </c>
      <c r="D2" s="100" t="s">
        <v>62</v>
      </c>
      <c r="E2" s="100" t="s">
        <v>32</v>
      </c>
      <c r="F2" s="100" t="s">
        <v>63</v>
      </c>
      <c r="G2" s="100" t="s">
        <v>64</v>
      </c>
      <c r="H2" s="100" t="s">
        <v>65</v>
      </c>
    </row>
    <row r="3" spans="1:21">
      <c r="A3" s="92" t="s">
        <v>66</v>
      </c>
      <c r="B3" s="72" t="s">
        <v>67</v>
      </c>
      <c r="C3" s="70"/>
      <c r="D3" s="75" t="s">
        <v>68</v>
      </c>
      <c r="E3" s="76">
        <v>0.81</v>
      </c>
      <c r="F3" s="76">
        <f t="shared" ref="F3:F9" si="0">C3*E3</f>
        <v>0</v>
      </c>
      <c r="G3" s="75">
        <v>0.06</v>
      </c>
      <c r="H3" s="77">
        <f t="shared" ref="H3:H26" si="1">C3*G3</f>
        <v>0</v>
      </c>
    </row>
    <row r="4" spans="1:21">
      <c r="A4" s="93" t="s">
        <v>49</v>
      </c>
      <c r="B4" s="72" t="s">
        <v>69</v>
      </c>
      <c r="C4" s="71"/>
      <c r="D4" s="72" t="s">
        <v>68</v>
      </c>
      <c r="E4" s="78">
        <v>1.1399999999999999</v>
      </c>
      <c r="F4" s="78">
        <f t="shared" si="0"/>
        <v>0</v>
      </c>
      <c r="G4" s="72">
        <v>0.08</v>
      </c>
      <c r="H4" s="79">
        <f t="shared" si="1"/>
        <v>0</v>
      </c>
    </row>
    <row r="5" spans="1:21">
      <c r="A5" s="93" t="s">
        <v>49</v>
      </c>
      <c r="B5" s="72" t="s">
        <v>70</v>
      </c>
      <c r="C5" s="71"/>
      <c r="D5" s="72" t="s">
        <v>68</v>
      </c>
      <c r="E5" s="78">
        <v>1.58</v>
      </c>
      <c r="F5" s="78">
        <f t="shared" si="0"/>
        <v>0</v>
      </c>
      <c r="G5" s="72">
        <v>0.09</v>
      </c>
      <c r="H5" s="79">
        <f t="shared" si="1"/>
        <v>0</v>
      </c>
    </row>
    <row r="6" spans="1:21">
      <c r="A6" s="93"/>
      <c r="B6" s="72" t="s">
        <v>71</v>
      </c>
      <c r="C6" s="71"/>
      <c r="D6" s="72" t="s">
        <v>68</v>
      </c>
      <c r="E6" s="330"/>
      <c r="F6" s="78">
        <f t="shared" si="0"/>
        <v>0</v>
      </c>
      <c r="G6" s="72">
        <v>0.11</v>
      </c>
      <c r="H6" s="79">
        <f t="shared" si="1"/>
        <v>0</v>
      </c>
    </row>
    <row r="7" spans="1:21">
      <c r="A7" s="93" t="s">
        <v>49</v>
      </c>
      <c r="B7" s="72" t="s">
        <v>72</v>
      </c>
      <c r="C7" s="71"/>
      <c r="D7" s="72" t="s">
        <v>68</v>
      </c>
      <c r="E7" s="330"/>
      <c r="F7" s="78">
        <f t="shared" si="0"/>
        <v>0</v>
      </c>
      <c r="G7" s="72">
        <v>0.11</v>
      </c>
      <c r="H7" s="79">
        <f t="shared" si="1"/>
        <v>0</v>
      </c>
    </row>
    <row r="8" spans="1:21">
      <c r="A8" s="93" t="s">
        <v>49</v>
      </c>
      <c r="B8" s="72" t="s">
        <v>73</v>
      </c>
      <c r="C8" s="71"/>
      <c r="D8" s="72" t="s">
        <v>68</v>
      </c>
      <c r="E8" s="330"/>
      <c r="F8" s="78">
        <f t="shared" si="0"/>
        <v>0</v>
      </c>
      <c r="G8" s="72">
        <v>0.14000000000000001</v>
      </c>
      <c r="H8" s="79">
        <f t="shared" si="1"/>
        <v>0</v>
      </c>
    </row>
    <row r="9" spans="1:21">
      <c r="A9" s="93"/>
      <c r="B9" s="72" t="s">
        <v>74</v>
      </c>
      <c r="C9" s="71"/>
      <c r="D9" s="72" t="s">
        <v>68</v>
      </c>
      <c r="E9" s="330"/>
      <c r="F9" s="78">
        <f t="shared" si="0"/>
        <v>0</v>
      </c>
      <c r="G9" s="72">
        <v>0.15</v>
      </c>
      <c r="H9" s="79">
        <f t="shared" si="1"/>
        <v>0</v>
      </c>
    </row>
    <row r="10" spans="1:21">
      <c r="A10" s="93"/>
      <c r="B10" s="72"/>
      <c r="C10" s="72"/>
      <c r="D10" s="72"/>
      <c r="E10" s="87" t="s">
        <v>100</v>
      </c>
      <c r="F10" s="88">
        <f>SUM(F3:F9)</f>
        <v>0</v>
      </c>
      <c r="G10" s="87" t="s">
        <v>100</v>
      </c>
      <c r="H10" s="192">
        <f>SUM(H3:H9)</f>
        <v>0</v>
      </c>
      <c r="L10" s="95"/>
      <c r="M10" s="95"/>
      <c r="N10" s="95"/>
      <c r="O10" s="95"/>
      <c r="P10" s="95"/>
      <c r="Q10" s="95"/>
    </row>
    <row r="11" spans="1:21" ht="13.8" thickBot="1">
      <c r="A11" s="101"/>
      <c r="B11" s="89"/>
      <c r="C11" s="89"/>
      <c r="D11" s="89"/>
      <c r="E11" s="90"/>
      <c r="F11" s="90"/>
      <c r="G11" s="89"/>
      <c r="H11" s="91"/>
      <c r="L11" s="95"/>
      <c r="M11" s="95"/>
      <c r="N11" s="95"/>
      <c r="O11" s="95"/>
      <c r="P11" s="95"/>
      <c r="Q11" s="95"/>
      <c r="R11" s="95"/>
      <c r="S11" s="95"/>
      <c r="T11" s="95"/>
      <c r="U11" s="95"/>
    </row>
    <row r="12" spans="1:21">
      <c r="A12" s="92" t="s">
        <v>75</v>
      </c>
      <c r="B12" s="75" t="s">
        <v>67</v>
      </c>
      <c r="C12" s="70"/>
      <c r="D12" s="75" t="s">
        <v>76</v>
      </c>
      <c r="E12" s="76">
        <v>0.56999999999999995</v>
      </c>
      <c r="F12" s="76">
        <f t="shared" ref="F12:F18" si="2">C12*E12</f>
        <v>0</v>
      </c>
      <c r="G12" s="75">
        <v>0.41</v>
      </c>
      <c r="H12" s="77">
        <f t="shared" si="1"/>
        <v>0</v>
      </c>
      <c r="L12" s="95"/>
      <c r="M12" s="95"/>
      <c r="N12" s="95"/>
      <c r="O12" s="95"/>
      <c r="P12" s="95"/>
      <c r="Q12" s="95"/>
      <c r="R12" s="95"/>
      <c r="S12" s="95"/>
      <c r="T12" s="95"/>
      <c r="U12" s="95"/>
    </row>
    <row r="13" spans="1:21">
      <c r="A13" s="93"/>
      <c r="B13" s="72" t="s">
        <v>69</v>
      </c>
      <c r="C13" s="71"/>
      <c r="D13" s="72" t="s">
        <v>76</v>
      </c>
      <c r="E13" s="78">
        <v>0.68</v>
      </c>
      <c r="F13" s="78">
        <f t="shared" si="2"/>
        <v>0</v>
      </c>
      <c r="G13" s="72">
        <v>0.69</v>
      </c>
      <c r="H13" s="79">
        <f t="shared" si="1"/>
        <v>0</v>
      </c>
      <c r="L13" s="95"/>
      <c r="M13" s="95"/>
      <c r="N13" s="95"/>
      <c r="O13" s="95"/>
      <c r="P13" s="95"/>
      <c r="Q13" s="95"/>
      <c r="R13" s="95"/>
      <c r="S13" s="95"/>
      <c r="T13" s="95"/>
      <c r="U13" s="95"/>
    </row>
    <row r="14" spans="1:21">
      <c r="A14" s="93"/>
      <c r="B14" s="72" t="s">
        <v>70</v>
      </c>
      <c r="C14" s="71"/>
      <c r="D14" s="72" t="s">
        <v>76</v>
      </c>
      <c r="E14" s="78">
        <v>1.21</v>
      </c>
      <c r="F14" s="78">
        <f t="shared" si="2"/>
        <v>0</v>
      </c>
      <c r="G14" s="72">
        <v>0.86</v>
      </c>
      <c r="H14" s="79">
        <f t="shared" si="1"/>
        <v>0</v>
      </c>
      <c r="L14" s="95"/>
      <c r="M14" s="95"/>
      <c r="N14" s="95"/>
      <c r="O14" s="95"/>
      <c r="P14" s="95"/>
      <c r="Q14" s="95"/>
      <c r="R14" s="95"/>
      <c r="S14" s="95"/>
      <c r="T14" s="95"/>
      <c r="U14" s="95"/>
    </row>
    <row r="15" spans="1:21">
      <c r="A15" s="93"/>
      <c r="B15" s="72" t="s">
        <v>71</v>
      </c>
      <c r="C15" s="71"/>
      <c r="D15" s="72" t="s">
        <v>76</v>
      </c>
      <c r="E15" s="330"/>
      <c r="F15" s="78">
        <f t="shared" si="2"/>
        <v>0</v>
      </c>
      <c r="G15" s="72">
        <v>0.98</v>
      </c>
      <c r="H15" s="79">
        <f t="shared" si="1"/>
        <v>0</v>
      </c>
      <c r="L15" s="95"/>
      <c r="M15" s="95"/>
      <c r="N15" s="95"/>
      <c r="O15" s="95"/>
      <c r="P15" s="95"/>
      <c r="Q15" s="95"/>
      <c r="R15" s="95"/>
      <c r="S15" s="95"/>
      <c r="T15" s="95"/>
      <c r="U15" s="95"/>
    </row>
    <row r="16" spans="1:21">
      <c r="A16" s="93"/>
      <c r="B16" s="72" t="s">
        <v>72</v>
      </c>
      <c r="C16" s="71"/>
      <c r="D16" s="72" t="s">
        <v>76</v>
      </c>
      <c r="E16" s="330"/>
      <c r="F16" s="78">
        <f t="shared" si="2"/>
        <v>0</v>
      </c>
      <c r="G16" s="72">
        <v>1.07</v>
      </c>
      <c r="H16" s="79">
        <f t="shared" si="1"/>
        <v>0</v>
      </c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</row>
    <row r="17" spans="1:21">
      <c r="A17" s="93"/>
      <c r="B17" s="72" t="s">
        <v>73</v>
      </c>
      <c r="C17" s="71"/>
      <c r="D17" s="72" t="s">
        <v>76</v>
      </c>
      <c r="E17" s="330"/>
      <c r="F17" s="78">
        <f t="shared" si="2"/>
        <v>0</v>
      </c>
      <c r="G17" s="72">
        <v>1.1299999999999999</v>
      </c>
      <c r="H17" s="79">
        <f t="shared" si="1"/>
        <v>0</v>
      </c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</row>
    <row r="18" spans="1:21">
      <c r="A18" s="93"/>
      <c r="B18" s="72" t="s">
        <v>74</v>
      </c>
      <c r="C18" s="71"/>
      <c r="D18" s="72" t="s">
        <v>76</v>
      </c>
      <c r="E18" s="330"/>
      <c r="F18" s="78">
        <f t="shared" si="2"/>
        <v>0</v>
      </c>
      <c r="G18" s="72">
        <v>1.23</v>
      </c>
      <c r="H18" s="79">
        <f t="shared" si="1"/>
        <v>0</v>
      </c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</row>
    <row r="19" spans="1:21">
      <c r="A19" s="93"/>
      <c r="B19" s="72"/>
      <c r="C19" s="72"/>
      <c r="D19" s="72"/>
      <c r="E19" s="87" t="s">
        <v>100</v>
      </c>
      <c r="F19" s="88">
        <f>SUM(F12:F18)</f>
        <v>0</v>
      </c>
      <c r="G19" s="87" t="s">
        <v>100</v>
      </c>
      <c r="H19" s="192">
        <f>SUM(H12:H18)</f>
        <v>0</v>
      </c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</row>
    <row r="20" spans="1:21" ht="13.8" thickBot="1">
      <c r="A20" s="101"/>
      <c r="B20" s="89"/>
      <c r="C20" s="72"/>
      <c r="D20" s="89" t="s">
        <v>49</v>
      </c>
      <c r="E20" s="90"/>
      <c r="F20" s="90" t="s">
        <v>49</v>
      </c>
      <c r="G20" s="89"/>
      <c r="H20" s="193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</row>
    <row r="21" spans="1:21">
      <c r="A21" s="92" t="s">
        <v>77</v>
      </c>
      <c r="B21" s="75" t="s">
        <v>67</v>
      </c>
      <c r="C21" s="70"/>
      <c r="D21" s="75" t="s">
        <v>76</v>
      </c>
      <c r="E21" s="76">
        <v>0.75</v>
      </c>
      <c r="F21" s="76">
        <f t="shared" ref="F21:F26" si="3">C21*E21</f>
        <v>0</v>
      </c>
      <c r="G21" s="75">
        <v>0.74</v>
      </c>
      <c r="H21" s="77">
        <f t="shared" si="1"/>
        <v>0</v>
      </c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</row>
    <row r="22" spans="1:21">
      <c r="A22" s="93"/>
      <c r="B22" s="72" t="s">
        <v>69</v>
      </c>
      <c r="C22" s="71"/>
      <c r="D22" s="72" t="s">
        <v>76</v>
      </c>
      <c r="E22" s="78">
        <v>1.07</v>
      </c>
      <c r="F22" s="78">
        <f t="shared" si="3"/>
        <v>0</v>
      </c>
      <c r="G22" s="72">
        <v>1.02</v>
      </c>
      <c r="H22" s="79">
        <f t="shared" si="1"/>
        <v>0</v>
      </c>
      <c r="L22" s="95"/>
      <c r="M22" s="95"/>
      <c r="N22" s="95"/>
      <c r="O22" s="95"/>
      <c r="P22" s="95"/>
      <c r="Q22" s="95"/>
      <c r="R22" s="95"/>
      <c r="S22" s="95"/>
      <c r="T22" s="95"/>
      <c r="U22" s="95"/>
    </row>
    <row r="23" spans="1:21">
      <c r="A23" s="93"/>
      <c r="B23" s="72" t="s">
        <v>70</v>
      </c>
      <c r="C23" s="71"/>
      <c r="D23" s="72" t="s">
        <v>76</v>
      </c>
      <c r="E23" s="78">
        <v>1.78</v>
      </c>
      <c r="F23" s="78">
        <f t="shared" si="3"/>
        <v>0</v>
      </c>
      <c r="G23" s="72">
        <v>1.26</v>
      </c>
      <c r="H23" s="79">
        <f t="shared" si="1"/>
        <v>0</v>
      </c>
      <c r="L23" s="95"/>
      <c r="M23" s="95"/>
      <c r="N23" s="95"/>
      <c r="O23" s="95"/>
      <c r="P23" s="95"/>
      <c r="Q23" s="95"/>
      <c r="R23" s="95"/>
      <c r="S23" s="95"/>
      <c r="T23" s="95"/>
      <c r="U23" s="95"/>
    </row>
    <row r="24" spans="1:21">
      <c r="A24" s="93"/>
      <c r="B24" s="72" t="s">
        <v>72</v>
      </c>
      <c r="C24" s="71"/>
      <c r="D24" s="72" t="s">
        <v>76</v>
      </c>
      <c r="E24" s="330"/>
      <c r="F24" s="78">
        <f t="shared" si="3"/>
        <v>0</v>
      </c>
      <c r="G24" s="72">
        <v>1.59</v>
      </c>
      <c r="H24" s="79">
        <f t="shared" si="1"/>
        <v>0</v>
      </c>
      <c r="L24" s="95"/>
      <c r="M24" s="95"/>
      <c r="N24" s="95"/>
      <c r="O24" s="95"/>
      <c r="P24" s="95"/>
      <c r="Q24" s="95"/>
      <c r="R24" s="95"/>
      <c r="S24" s="95"/>
      <c r="T24" s="95"/>
      <c r="U24" s="95"/>
    </row>
    <row r="25" spans="1:21">
      <c r="A25" s="93"/>
      <c r="B25" s="72" t="s">
        <v>73</v>
      </c>
      <c r="C25" s="71"/>
      <c r="D25" s="72" t="s">
        <v>76</v>
      </c>
      <c r="E25" s="330"/>
      <c r="F25" s="78">
        <f t="shared" si="3"/>
        <v>0</v>
      </c>
      <c r="G25" s="72">
        <v>1.94</v>
      </c>
      <c r="H25" s="79">
        <f t="shared" si="1"/>
        <v>0</v>
      </c>
      <c r="L25" s="95"/>
      <c r="M25" s="95"/>
      <c r="N25" s="95"/>
      <c r="O25" s="95"/>
      <c r="P25" s="95"/>
      <c r="Q25" s="95"/>
    </row>
    <row r="26" spans="1:21">
      <c r="A26" s="93"/>
      <c r="B26" s="72" t="s">
        <v>74</v>
      </c>
      <c r="C26" s="71"/>
      <c r="D26" s="72" t="s">
        <v>76</v>
      </c>
      <c r="E26" s="330"/>
      <c r="F26" s="78">
        <f t="shared" si="3"/>
        <v>0</v>
      </c>
      <c r="G26" s="72">
        <v>1.8</v>
      </c>
      <c r="H26" s="79">
        <f t="shared" si="1"/>
        <v>0</v>
      </c>
      <c r="L26" s="95"/>
      <c r="M26" s="95"/>
      <c r="N26" s="95"/>
      <c r="O26" s="95"/>
      <c r="P26" s="95"/>
      <c r="Q26" s="95"/>
    </row>
    <row r="27" spans="1:21">
      <c r="A27" s="93"/>
      <c r="B27" s="72"/>
      <c r="C27" s="72"/>
      <c r="D27" s="72"/>
      <c r="E27" s="87" t="s">
        <v>100</v>
      </c>
      <c r="F27" s="88">
        <f>SUM(F21:F26)</f>
        <v>0</v>
      </c>
      <c r="G27" s="87" t="s">
        <v>100</v>
      </c>
      <c r="H27" s="192">
        <f>SUM(H21:H26)</f>
        <v>0</v>
      </c>
      <c r="L27" s="95"/>
      <c r="M27" s="95"/>
      <c r="N27" s="95"/>
      <c r="O27" s="95"/>
      <c r="P27" s="95"/>
      <c r="Q27" s="95"/>
    </row>
    <row r="28" spans="1:21" ht="13.8" thickBot="1">
      <c r="A28" s="102"/>
      <c r="B28" s="103"/>
      <c r="C28" s="103"/>
      <c r="D28" s="103"/>
      <c r="E28" s="104"/>
      <c r="F28" s="104"/>
      <c r="G28" s="103"/>
      <c r="H28" s="105"/>
      <c r="L28" s="95"/>
      <c r="M28" s="95"/>
      <c r="N28" s="95"/>
      <c r="O28" s="95"/>
      <c r="P28" s="95"/>
      <c r="Q28" s="95"/>
    </row>
    <row r="29" spans="1:21">
      <c r="A29" s="112" t="s">
        <v>78</v>
      </c>
      <c r="B29" s="97" t="s">
        <v>67</v>
      </c>
      <c r="C29" s="96"/>
      <c r="D29" s="97" t="s">
        <v>76</v>
      </c>
      <c r="E29" s="332">
        <v>11.83</v>
      </c>
      <c r="F29" s="106">
        <f t="shared" ref="F29:F34" si="4">C29*E29</f>
        <v>0</v>
      </c>
      <c r="G29" s="97">
        <v>0.5</v>
      </c>
      <c r="H29" s="107">
        <f t="shared" ref="H29:H34" si="5">C29*G29</f>
        <v>0</v>
      </c>
      <c r="L29" s="95"/>
      <c r="M29" s="95"/>
      <c r="N29" s="95"/>
      <c r="O29" s="95"/>
      <c r="P29" s="95"/>
      <c r="Q29" s="95"/>
    </row>
    <row r="30" spans="1:21">
      <c r="A30" s="93"/>
      <c r="B30" s="72" t="s">
        <v>69</v>
      </c>
      <c r="C30" s="71"/>
      <c r="D30" s="72" t="s">
        <v>76</v>
      </c>
      <c r="E30" s="330">
        <v>14.59</v>
      </c>
      <c r="F30" s="78">
        <f t="shared" si="4"/>
        <v>0</v>
      </c>
      <c r="G30" s="72">
        <v>0.5</v>
      </c>
      <c r="H30" s="79">
        <f t="shared" si="5"/>
        <v>0</v>
      </c>
      <c r="L30" s="95"/>
      <c r="M30" s="95"/>
      <c r="N30" s="95"/>
      <c r="O30" s="95"/>
    </row>
    <row r="31" spans="1:21">
      <c r="A31" s="93"/>
      <c r="B31" s="72" t="s">
        <v>70</v>
      </c>
      <c r="C31" s="71"/>
      <c r="D31" s="72" t="s">
        <v>76</v>
      </c>
      <c r="E31" s="330">
        <v>19.82</v>
      </c>
      <c r="F31" s="78">
        <f t="shared" si="4"/>
        <v>0</v>
      </c>
      <c r="G31" s="72">
        <v>0.5</v>
      </c>
      <c r="H31" s="79">
        <f t="shared" si="5"/>
        <v>0</v>
      </c>
      <c r="L31" s="95"/>
      <c r="M31" s="95"/>
      <c r="N31" s="95"/>
      <c r="O31" s="95"/>
    </row>
    <row r="32" spans="1:21">
      <c r="A32" s="93"/>
      <c r="B32" s="72" t="s">
        <v>72</v>
      </c>
      <c r="C32" s="71"/>
      <c r="D32" s="72" t="s">
        <v>76</v>
      </c>
      <c r="E32" s="330">
        <v>33.99</v>
      </c>
      <c r="F32" s="78">
        <f t="shared" si="4"/>
        <v>0</v>
      </c>
      <c r="G32" s="72">
        <v>0.5</v>
      </c>
      <c r="H32" s="79">
        <f t="shared" si="5"/>
        <v>0</v>
      </c>
      <c r="L32" s="95"/>
      <c r="M32" s="95"/>
      <c r="N32" s="95"/>
      <c r="O32" s="95"/>
    </row>
    <row r="33" spans="1:8">
      <c r="A33" s="93"/>
      <c r="B33" s="72" t="s">
        <v>73</v>
      </c>
      <c r="C33" s="71"/>
      <c r="D33" s="72" t="s">
        <v>76</v>
      </c>
      <c r="E33" s="330">
        <v>42.46</v>
      </c>
      <c r="F33" s="78">
        <f t="shared" si="4"/>
        <v>0</v>
      </c>
      <c r="G33" s="72">
        <v>0.5</v>
      </c>
      <c r="H33" s="79">
        <f t="shared" si="5"/>
        <v>0</v>
      </c>
    </row>
    <row r="34" spans="1:8">
      <c r="A34" s="93"/>
      <c r="B34" s="72" t="s">
        <v>74</v>
      </c>
      <c r="C34" s="71"/>
      <c r="D34" s="72" t="s">
        <v>76</v>
      </c>
      <c r="E34" s="330">
        <v>137.47999999999999</v>
      </c>
      <c r="F34" s="78">
        <f t="shared" si="4"/>
        <v>0</v>
      </c>
      <c r="G34" s="72">
        <v>1</v>
      </c>
      <c r="H34" s="79">
        <f t="shared" si="5"/>
        <v>0</v>
      </c>
    </row>
    <row r="35" spans="1:8">
      <c r="A35" s="93"/>
      <c r="B35" s="72"/>
      <c r="C35" s="72"/>
      <c r="D35" s="72"/>
      <c r="E35" s="87" t="s">
        <v>100</v>
      </c>
      <c r="F35" s="88">
        <f>SUM(F29:F34)</f>
        <v>0</v>
      </c>
      <c r="G35" s="87" t="s">
        <v>100</v>
      </c>
      <c r="H35" s="192">
        <f>SUM(H29:H34)</f>
        <v>0</v>
      </c>
    </row>
    <row r="36" spans="1:8" ht="13.8" thickBot="1">
      <c r="A36" s="102"/>
      <c r="B36" s="103"/>
      <c r="C36" s="103"/>
      <c r="D36" s="103"/>
      <c r="E36" s="104"/>
      <c r="F36" s="104"/>
      <c r="G36" s="103"/>
      <c r="H36" s="105"/>
    </row>
    <row r="37" spans="1:8">
      <c r="A37" s="112" t="s">
        <v>79</v>
      </c>
      <c r="B37" s="97" t="s">
        <v>80</v>
      </c>
      <c r="C37" s="97">
        <f>SUM(C3:C9)/8</f>
        <v>0</v>
      </c>
      <c r="D37" s="97" t="s">
        <v>76</v>
      </c>
      <c r="E37" s="106">
        <v>3.5</v>
      </c>
      <c r="F37" s="106">
        <f>C37*E37</f>
        <v>0</v>
      </c>
      <c r="G37" s="97">
        <v>0.33</v>
      </c>
      <c r="H37" s="107">
        <f>C37*G37</f>
        <v>0</v>
      </c>
    </row>
    <row r="38" spans="1:8">
      <c r="A38" s="93"/>
      <c r="B38" s="72"/>
      <c r="C38" s="72"/>
      <c r="D38" s="72"/>
      <c r="E38" s="87" t="s">
        <v>100</v>
      </c>
      <c r="F38" s="88">
        <f>SUM(F37)</f>
        <v>0</v>
      </c>
      <c r="G38" s="87" t="s">
        <v>100</v>
      </c>
      <c r="H38" s="192">
        <f>SUM(H37)</f>
        <v>0</v>
      </c>
    </row>
    <row r="39" spans="1:8" ht="13.8" thickBot="1">
      <c r="A39" s="102"/>
      <c r="B39" s="103"/>
      <c r="C39" s="103"/>
      <c r="D39" s="103"/>
      <c r="E39" s="104"/>
      <c r="F39" s="104"/>
      <c r="G39" s="103"/>
      <c r="H39" s="105"/>
    </row>
    <row r="40" spans="1:8">
      <c r="A40" s="112" t="s">
        <v>81</v>
      </c>
      <c r="B40" s="97" t="s">
        <v>67</v>
      </c>
      <c r="C40" s="96"/>
      <c r="D40" s="97" t="s">
        <v>76</v>
      </c>
      <c r="E40" s="106">
        <v>0.78</v>
      </c>
      <c r="F40" s="106">
        <f t="shared" ref="F40:F45" si="6">C40*E40</f>
        <v>0</v>
      </c>
      <c r="G40" s="97" t="s">
        <v>82</v>
      </c>
      <c r="H40" s="107">
        <v>0</v>
      </c>
    </row>
    <row r="41" spans="1:8">
      <c r="A41" s="93"/>
      <c r="B41" s="72" t="s">
        <v>69</v>
      </c>
      <c r="C41" s="71"/>
      <c r="D41" s="72" t="s">
        <v>76</v>
      </c>
      <c r="E41" s="78">
        <v>0.92</v>
      </c>
      <c r="F41" s="78">
        <f t="shared" si="6"/>
        <v>0</v>
      </c>
      <c r="G41" s="72" t="s">
        <v>82</v>
      </c>
      <c r="H41" s="79">
        <v>0</v>
      </c>
    </row>
    <row r="42" spans="1:8">
      <c r="A42" s="93"/>
      <c r="B42" s="72" t="s">
        <v>70</v>
      </c>
      <c r="C42" s="71"/>
      <c r="D42" s="72" t="s">
        <v>76</v>
      </c>
      <c r="E42" s="78">
        <v>1.39</v>
      </c>
      <c r="F42" s="78">
        <f t="shared" si="6"/>
        <v>0</v>
      </c>
      <c r="G42" s="72" t="s">
        <v>82</v>
      </c>
      <c r="H42" s="79">
        <v>0</v>
      </c>
    </row>
    <row r="43" spans="1:8">
      <c r="A43" s="93"/>
      <c r="B43" s="72" t="s">
        <v>72</v>
      </c>
      <c r="C43" s="71"/>
      <c r="D43" s="72" t="s">
        <v>76</v>
      </c>
      <c r="E43" s="330"/>
      <c r="F43" s="78">
        <f t="shared" si="6"/>
        <v>0</v>
      </c>
      <c r="G43" s="72" t="s">
        <v>82</v>
      </c>
      <c r="H43" s="79">
        <v>0</v>
      </c>
    </row>
    <row r="44" spans="1:8">
      <c r="A44" s="93"/>
      <c r="B44" s="72" t="s">
        <v>73</v>
      </c>
      <c r="C44" s="71"/>
      <c r="D44" s="72" t="s">
        <v>76</v>
      </c>
      <c r="E44" s="330"/>
      <c r="F44" s="78">
        <f t="shared" si="6"/>
        <v>0</v>
      </c>
      <c r="G44" s="72" t="s">
        <v>82</v>
      </c>
      <c r="H44" s="79">
        <v>0</v>
      </c>
    </row>
    <row r="45" spans="1:8">
      <c r="A45" s="93"/>
      <c r="B45" s="72" t="s">
        <v>74</v>
      </c>
      <c r="C45" s="71"/>
      <c r="D45" s="72" t="s">
        <v>76</v>
      </c>
      <c r="E45" s="330"/>
      <c r="F45" s="78">
        <f t="shared" si="6"/>
        <v>0</v>
      </c>
      <c r="G45" s="72" t="s">
        <v>82</v>
      </c>
      <c r="H45" s="79">
        <v>0</v>
      </c>
    </row>
    <row r="46" spans="1:8">
      <c r="A46" s="93"/>
      <c r="B46" s="72"/>
      <c r="C46" s="78"/>
      <c r="D46" s="72"/>
      <c r="E46" s="87" t="s">
        <v>100</v>
      </c>
      <c r="F46" s="285">
        <f>SUM(F40:F45)</f>
        <v>0</v>
      </c>
      <c r="G46" s="87" t="s">
        <v>100</v>
      </c>
      <c r="H46" s="192">
        <f>SUM(H40:H45)</f>
        <v>0</v>
      </c>
    </row>
    <row r="47" spans="1:8" ht="13.8" thickBot="1">
      <c r="A47" s="102"/>
      <c r="B47" s="103"/>
      <c r="C47" s="104"/>
      <c r="D47" s="103"/>
      <c r="E47" s="108"/>
      <c r="F47" s="103"/>
      <c r="G47" s="103"/>
      <c r="H47" s="105"/>
    </row>
    <row r="48" spans="1:8">
      <c r="A48" s="111" t="s">
        <v>101</v>
      </c>
      <c r="B48" s="89"/>
      <c r="C48" s="90"/>
      <c r="D48" s="89"/>
      <c r="E48" s="110"/>
      <c r="F48" s="89"/>
      <c r="G48" s="89"/>
      <c r="H48" s="91"/>
    </row>
    <row r="49" spans="1:8">
      <c r="A49" s="109" t="s">
        <v>103</v>
      </c>
      <c r="B49" s="109"/>
      <c r="C49" s="71"/>
      <c r="D49" s="72" t="s">
        <v>76</v>
      </c>
      <c r="E49" s="330">
        <v>75</v>
      </c>
      <c r="F49" s="78">
        <f>C49*E49</f>
        <v>0</v>
      </c>
      <c r="G49" s="72">
        <v>0.5</v>
      </c>
      <c r="H49" s="79">
        <f>C49*G49</f>
        <v>0</v>
      </c>
    </row>
    <row r="50" spans="1:8">
      <c r="A50" s="109" t="s">
        <v>104</v>
      </c>
      <c r="B50" s="109"/>
      <c r="C50" s="71"/>
      <c r="D50" s="72" t="s">
        <v>76</v>
      </c>
      <c r="E50" s="330"/>
      <c r="F50" s="416">
        <f>E50*C50</f>
        <v>0</v>
      </c>
      <c r="G50" s="72">
        <v>0.5</v>
      </c>
      <c r="H50" s="79">
        <f>C50*G50</f>
        <v>0</v>
      </c>
    </row>
    <row r="51" spans="1:8">
      <c r="A51" s="109" t="s">
        <v>105</v>
      </c>
      <c r="B51" s="109"/>
      <c r="C51" s="71"/>
      <c r="D51" s="72"/>
      <c r="E51" s="330" t="s">
        <v>102</v>
      </c>
      <c r="F51" s="78"/>
      <c r="G51" s="72"/>
      <c r="H51" s="79">
        <v>0</v>
      </c>
    </row>
    <row r="52" spans="1:8">
      <c r="A52" s="109" t="s">
        <v>106</v>
      </c>
      <c r="B52" s="109"/>
      <c r="C52" s="71"/>
      <c r="D52" s="72"/>
      <c r="E52" s="330">
        <v>7</v>
      </c>
      <c r="F52" s="78">
        <f>C52*E52</f>
        <v>0</v>
      </c>
      <c r="G52" s="72">
        <v>0.25</v>
      </c>
      <c r="H52" s="79">
        <f>C52*G52</f>
        <v>0</v>
      </c>
    </row>
    <row r="53" spans="1:8">
      <c r="A53" s="109" t="s">
        <v>107</v>
      </c>
      <c r="B53" s="109"/>
      <c r="C53" s="71"/>
      <c r="D53" s="72"/>
      <c r="E53" s="330">
        <v>87</v>
      </c>
      <c r="F53" s="78">
        <f>C53*E53</f>
        <v>0</v>
      </c>
      <c r="G53" s="72">
        <v>0.5</v>
      </c>
      <c r="H53" s="79">
        <f>C53*G53</f>
        <v>0</v>
      </c>
    </row>
    <row r="54" spans="1:8">
      <c r="A54" s="109" t="s">
        <v>108</v>
      </c>
      <c r="B54" s="109"/>
      <c r="C54" s="71"/>
      <c r="D54" s="72"/>
      <c r="E54" s="330">
        <v>34</v>
      </c>
      <c r="F54" s="78">
        <f>C54*E54</f>
        <v>0</v>
      </c>
      <c r="G54" s="72">
        <v>0.5</v>
      </c>
      <c r="H54" s="79">
        <f>C54*G54</f>
        <v>0</v>
      </c>
    </row>
    <row r="55" spans="1:8">
      <c r="A55" s="109" t="s">
        <v>109</v>
      </c>
      <c r="B55" s="109"/>
      <c r="C55" s="71"/>
      <c r="D55" s="72"/>
      <c r="E55" s="330" t="s">
        <v>102</v>
      </c>
      <c r="F55" s="78"/>
      <c r="G55" s="72"/>
      <c r="H55" s="79">
        <v>0</v>
      </c>
    </row>
    <row r="56" spans="1:8" ht="13.8" thickBot="1">
      <c r="A56" s="102"/>
      <c r="B56" s="103"/>
      <c r="C56" s="103"/>
      <c r="D56" s="103"/>
      <c r="E56" s="108" t="s">
        <v>100</v>
      </c>
      <c r="F56" s="284">
        <f>SUM(F49:F55)</f>
        <v>0</v>
      </c>
      <c r="G56" s="108" t="s">
        <v>100</v>
      </c>
      <c r="H56" s="282">
        <f>SUM(H49:H55)</f>
        <v>0</v>
      </c>
    </row>
    <row r="57" spans="1:8">
      <c r="A57" s="279"/>
      <c r="B57" s="280"/>
      <c r="C57" s="280"/>
      <c r="D57" s="280"/>
      <c r="E57" s="281"/>
      <c r="F57" s="286"/>
      <c r="G57" s="281"/>
      <c r="H57" s="283"/>
    </row>
    <row r="58" spans="1:8" ht="13.8" thickBot="1">
      <c r="A58" s="876" t="s">
        <v>193</v>
      </c>
      <c r="B58" s="877"/>
      <c r="C58" s="877"/>
      <c r="D58" s="877"/>
      <c r="E58" s="877"/>
      <c r="F58" s="287">
        <f>(F56+F46+F38+F27+F19+F10+F35)*0.06</f>
        <v>0</v>
      </c>
      <c r="G58" s="288"/>
      <c r="H58" s="289"/>
    </row>
    <row r="59" spans="1:8" ht="13.8" thickBot="1">
      <c r="A59" s="293" t="s">
        <v>197</v>
      </c>
      <c r="B59" s="290"/>
      <c r="C59" s="290"/>
      <c r="D59" s="290"/>
      <c r="E59" s="290"/>
      <c r="F59" s="294"/>
      <c r="G59" s="281"/>
      <c r="H59" s="283"/>
    </row>
    <row r="60" spans="1:8" ht="13.8" thickBot="1">
      <c r="A60" s="279" t="s">
        <v>194</v>
      </c>
      <c r="B60" s="280"/>
      <c r="C60" s="280"/>
      <c r="D60" s="280"/>
      <c r="E60" s="281"/>
      <c r="F60" s="292">
        <v>0</v>
      </c>
      <c r="G60" s="281"/>
      <c r="H60" s="307"/>
    </row>
    <row r="61" spans="1:8" ht="13.8" thickBot="1">
      <c r="A61" s="290" t="s">
        <v>196</v>
      </c>
      <c r="B61" s="280"/>
      <c r="C61" s="280"/>
      <c r="D61" s="280"/>
      <c r="E61" s="281"/>
      <c r="F61" s="292">
        <f>(H56+H46+H38+H35+H27+H19+H10)*0.24</f>
        <v>0</v>
      </c>
      <c r="G61" s="281"/>
      <c r="H61" s="307"/>
    </row>
    <row r="62" spans="1:8" ht="13.8" thickBot="1">
      <c r="A62" s="290" t="s">
        <v>195</v>
      </c>
      <c r="B62" s="280"/>
      <c r="C62" s="280"/>
      <c r="D62" s="280"/>
      <c r="E62" s="281"/>
      <c r="F62" s="292">
        <f>(H56+H46+H38+H27+H19+H10)* 0.33</f>
        <v>0</v>
      </c>
      <c r="G62" s="281"/>
      <c r="H62" s="307"/>
    </row>
    <row r="63" spans="1:8" ht="13.8" thickBot="1">
      <c r="A63" s="291"/>
      <c r="B63" s="291"/>
      <c r="C63" s="291"/>
      <c r="D63" s="291"/>
      <c r="E63" s="291"/>
      <c r="F63" s="291"/>
      <c r="G63" s="291"/>
      <c r="H63" s="291"/>
    </row>
    <row r="64" spans="1:8" ht="13.8" thickBot="1">
      <c r="A64" s="80" t="s">
        <v>35</v>
      </c>
      <c r="B64" s="80"/>
      <c r="C64" s="80"/>
      <c r="D64" s="80"/>
      <c r="E64" s="80"/>
      <c r="F64" s="81">
        <f>SUM(F3:F9,F12:F18,F21:F26,F29:F34,F37,F40:F45,F49:F55, F58)</f>
        <v>0</v>
      </c>
      <c r="G64" s="80"/>
      <c r="H64" s="191">
        <f>SUM(H3:H9,H12:H18,H21:H26,H29:H34,H37,H40:H45,H49:H55,H60,H61,H62,H60:H62)</f>
        <v>0</v>
      </c>
    </row>
    <row r="65" spans="1:8">
      <c r="A65" s="73"/>
      <c r="B65" s="73"/>
      <c r="C65" s="73"/>
      <c r="D65" s="73"/>
      <c r="E65" s="73"/>
      <c r="F65" s="73"/>
      <c r="G65" s="73"/>
      <c r="H65" s="73"/>
    </row>
    <row r="66" spans="1:8">
      <c r="A66" s="73"/>
      <c r="B66" s="73"/>
      <c r="C66" s="73"/>
      <c r="D66" s="73"/>
      <c r="E66" s="73"/>
      <c r="F66" s="73"/>
      <c r="G66" s="73"/>
      <c r="H66" s="73"/>
    </row>
    <row r="67" spans="1:8">
      <c r="A67" s="73"/>
      <c r="B67" s="73"/>
      <c r="C67" s="73"/>
      <c r="D67" s="73"/>
      <c r="E67" s="73"/>
      <c r="F67" s="73"/>
      <c r="G67" s="73"/>
      <c r="H67" s="73"/>
    </row>
    <row r="68" spans="1:8">
      <c r="A68" s="73"/>
      <c r="B68" s="73"/>
      <c r="C68" s="73"/>
      <c r="D68" s="73"/>
      <c r="E68" s="73"/>
      <c r="F68" s="73"/>
      <c r="G68" s="73"/>
      <c r="H68" s="73"/>
    </row>
    <row r="69" spans="1:8">
      <c r="A69" s="73"/>
      <c r="B69" s="73"/>
      <c r="C69" s="73"/>
      <c r="D69" s="73"/>
      <c r="E69" s="73"/>
      <c r="F69" s="73"/>
      <c r="G69" s="73"/>
      <c r="H69" s="73"/>
    </row>
    <row r="70" spans="1:8">
      <c r="A70" s="73"/>
      <c r="B70" s="73"/>
      <c r="C70" s="73"/>
      <c r="D70" s="73"/>
      <c r="E70" s="73"/>
      <c r="F70" s="73"/>
      <c r="G70" s="73"/>
      <c r="H70" s="73"/>
    </row>
    <row r="71" spans="1:8">
      <c r="A71" s="73"/>
      <c r="B71" s="73"/>
      <c r="C71" s="73"/>
      <c r="D71" s="73"/>
      <c r="E71" s="73"/>
      <c r="F71" s="73"/>
      <c r="G71" s="73"/>
      <c r="H71" s="73"/>
    </row>
    <row r="72" spans="1:8">
      <c r="A72" s="73"/>
      <c r="B72" s="73"/>
      <c r="C72" s="73"/>
      <c r="D72" s="73"/>
      <c r="E72" s="73"/>
      <c r="F72" s="73"/>
      <c r="G72" s="73"/>
      <c r="H72" s="73"/>
    </row>
    <row r="73" spans="1:8">
      <c r="A73" s="73"/>
      <c r="B73" s="73"/>
      <c r="C73" s="73"/>
      <c r="D73" s="73"/>
      <c r="E73" s="73"/>
      <c r="F73" s="73"/>
      <c r="G73" s="73"/>
      <c r="H73" s="73"/>
    </row>
    <row r="74" spans="1:8">
      <c r="A74" s="73"/>
      <c r="B74" s="73"/>
      <c r="C74" s="73"/>
      <c r="D74" s="73"/>
      <c r="E74" s="73"/>
      <c r="F74" s="73"/>
      <c r="G74" s="73"/>
      <c r="H74" s="73"/>
    </row>
    <row r="75" spans="1:8">
      <c r="A75" s="73"/>
      <c r="B75" s="73"/>
      <c r="C75" s="73"/>
      <c r="D75" s="73"/>
      <c r="E75" s="73"/>
      <c r="F75" s="73"/>
      <c r="G75" s="73"/>
      <c r="H75" s="73"/>
    </row>
  </sheetData>
  <sheetProtection sheet="1" objects="1" scenarios="1" selectLockedCells="1"/>
  <mergeCells count="1">
    <mergeCell ref="A58:E58"/>
  </mergeCells>
  <phoneticPr fontId="40" type="noConversion"/>
  <printOptions horizontalCentered="1" headings="1" gridLines="1" gridLinesSet="0"/>
  <pageMargins left="0" right="0" top="0" bottom="0" header="0" footer="0"/>
  <pageSetup scale="93" orientation="portrait" blackAndWhite="1" horizontalDpi="300" verticalDpi="300" r:id="rId1"/>
  <headerFooter alignWithMargins="0"/>
  <rowBreaks count="1" manualBreakCount="1">
    <brk id="27" max="7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pageSetUpPr fitToPage="1"/>
  </sheetPr>
  <dimension ref="A1:IV76"/>
  <sheetViews>
    <sheetView workbookViewId="0"/>
  </sheetViews>
  <sheetFormatPr defaultColWidth="9.88671875" defaultRowHeight="13.2"/>
  <cols>
    <col min="1" max="1" width="12.44140625" style="69" customWidth="1"/>
    <col min="2" max="4" width="9.88671875" style="69" customWidth="1"/>
    <col min="5" max="5" width="11.33203125" style="69" customWidth="1"/>
    <col min="6" max="6" width="12.33203125" style="69" customWidth="1"/>
    <col min="7" max="7" width="11.109375" style="69" customWidth="1"/>
    <col min="8" max="8" width="11.5546875" style="69" customWidth="1"/>
    <col min="9" max="16384" width="9.88671875" style="69"/>
  </cols>
  <sheetData>
    <row r="1" spans="1:21" ht="21.6" thickBot="1">
      <c r="A1" s="305" t="s">
        <v>121</v>
      </c>
      <c r="B1" s="98"/>
      <c r="C1" s="98"/>
      <c r="D1" s="98"/>
      <c r="E1" s="98"/>
      <c r="F1" s="98"/>
      <c r="G1" s="98"/>
      <c r="H1" s="246" t="s">
        <v>236</v>
      </c>
    </row>
    <row r="2" spans="1:21" ht="13.8" thickBot="1">
      <c r="A2" s="100" t="s">
        <v>122</v>
      </c>
      <c r="B2" s="100" t="s">
        <v>60</v>
      </c>
      <c r="C2" s="100" t="s">
        <v>61</v>
      </c>
      <c r="D2" s="100" t="s">
        <v>62</v>
      </c>
      <c r="E2" s="100" t="s">
        <v>32</v>
      </c>
      <c r="F2" s="100" t="s">
        <v>63</v>
      </c>
      <c r="G2" s="100" t="s">
        <v>64</v>
      </c>
      <c r="H2" s="100" t="s">
        <v>65</v>
      </c>
    </row>
    <row r="3" spans="1:21">
      <c r="A3" s="92" t="s">
        <v>66</v>
      </c>
      <c r="B3" s="72" t="s">
        <v>67</v>
      </c>
      <c r="C3" s="70"/>
      <c r="D3" s="75" t="s">
        <v>68</v>
      </c>
      <c r="E3" s="76">
        <v>0.65</v>
      </c>
      <c r="F3" s="76">
        <f t="shared" ref="F3:F9" si="0">C3*E3</f>
        <v>0</v>
      </c>
      <c r="G3" s="75">
        <v>0.06</v>
      </c>
      <c r="H3" s="77">
        <f t="shared" ref="H3:H9" si="1">C3*G3</f>
        <v>0</v>
      </c>
    </row>
    <row r="4" spans="1:21">
      <c r="A4" s="93" t="s">
        <v>49</v>
      </c>
      <c r="B4" s="72" t="s">
        <v>69</v>
      </c>
      <c r="C4" s="71"/>
      <c r="D4" s="72" t="s">
        <v>68</v>
      </c>
      <c r="E4" s="78">
        <v>0.86</v>
      </c>
      <c r="F4" s="78">
        <f t="shared" si="0"/>
        <v>0</v>
      </c>
      <c r="G4" s="72">
        <v>0.08</v>
      </c>
      <c r="H4" s="79">
        <f t="shared" si="1"/>
        <v>0</v>
      </c>
    </row>
    <row r="5" spans="1:21">
      <c r="A5" s="93" t="s">
        <v>49</v>
      </c>
      <c r="B5" s="72" t="s">
        <v>70</v>
      </c>
      <c r="C5" s="71"/>
      <c r="D5" s="72" t="s">
        <v>68</v>
      </c>
      <c r="E5" s="78">
        <v>1.29</v>
      </c>
      <c r="F5" s="78">
        <f t="shared" si="0"/>
        <v>0</v>
      </c>
      <c r="G5" s="72">
        <v>0.09</v>
      </c>
      <c r="H5" s="79">
        <f t="shared" si="1"/>
        <v>0</v>
      </c>
    </row>
    <row r="6" spans="1:21">
      <c r="A6" s="93"/>
      <c r="B6" s="72" t="s">
        <v>71</v>
      </c>
      <c r="C6" s="71"/>
      <c r="D6" s="72" t="s">
        <v>68</v>
      </c>
      <c r="E6" s="330"/>
      <c r="F6" s="78">
        <f t="shared" si="0"/>
        <v>0</v>
      </c>
      <c r="G6" s="72">
        <v>0.11</v>
      </c>
      <c r="H6" s="79">
        <f t="shared" si="1"/>
        <v>0</v>
      </c>
    </row>
    <row r="7" spans="1:21">
      <c r="A7" s="93" t="s">
        <v>49</v>
      </c>
      <c r="B7" s="72" t="s">
        <v>72</v>
      </c>
      <c r="C7" s="71"/>
      <c r="D7" s="72" t="s">
        <v>68</v>
      </c>
      <c r="E7" s="330"/>
      <c r="F7" s="78">
        <f t="shared" si="0"/>
        <v>0</v>
      </c>
      <c r="G7" s="72">
        <v>0.11</v>
      </c>
      <c r="H7" s="79">
        <f t="shared" si="1"/>
        <v>0</v>
      </c>
    </row>
    <row r="8" spans="1:21">
      <c r="A8" s="93" t="s">
        <v>49</v>
      </c>
      <c r="B8" s="72" t="s">
        <v>73</v>
      </c>
      <c r="C8" s="71"/>
      <c r="D8" s="72" t="s">
        <v>68</v>
      </c>
      <c r="E8" s="330"/>
      <c r="F8" s="78">
        <f t="shared" si="0"/>
        <v>0</v>
      </c>
      <c r="G8" s="72">
        <v>0.14000000000000001</v>
      </c>
      <c r="H8" s="79">
        <f t="shared" si="1"/>
        <v>0</v>
      </c>
    </row>
    <row r="9" spans="1:21">
      <c r="A9" s="93"/>
      <c r="B9" s="72" t="s">
        <v>74</v>
      </c>
      <c r="C9" s="71"/>
      <c r="D9" s="72" t="s">
        <v>68</v>
      </c>
      <c r="E9" s="330"/>
      <c r="F9" s="78">
        <f t="shared" si="0"/>
        <v>0</v>
      </c>
      <c r="G9" s="72">
        <v>0.15</v>
      </c>
      <c r="H9" s="79">
        <f t="shared" si="1"/>
        <v>0</v>
      </c>
    </row>
    <row r="10" spans="1:21">
      <c r="A10" s="93"/>
      <c r="B10" s="72"/>
      <c r="C10" s="72"/>
      <c r="D10" s="72"/>
      <c r="E10" s="87" t="s">
        <v>100</v>
      </c>
      <c r="F10" s="88">
        <f>SUM(F3:F9)</f>
        <v>0</v>
      </c>
      <c r="G10" s="87" t="s">
        <v>100</v>
      </c>
      <c r="H10" s="338">
        <f>SUM(H3:H9)</f>
        <v>0</v>
      </c>
      <c r="L10" s="95"/>
      <c r="M10" s="95"/>
      <c r="N10" s="95"/>
      <c r="O10" s="95"/>
      <c r="P10" s="95"/>
      <c r="Q10" s="95"/>
    </row>
    <row r="11" spans="1:21" ht="13.8" thickBot="1">
      <c r="A11" s="101"/>
      <c r="B11" s="89"/>
      <c r="C11" s="89"/>
      <c r="D11" s="89"/>
      <c r="E11" s="90"/>
      <c r="F11" s="90"/>
      <c r="G11" s="89"/>
      <c r="H11" s="91"/>
      <c r="L11" s="95"/>
      <c r="M11" s="95"/>
      <c r="N11" s="95"/>
      <c r="O11" s="95"/>
      <c r="P11" s="95"/>
      <c r="Q11" s="95"/>
      <c r="R11" s="95"/>
      <c r="S11" s="95"/>
      <c r="T11" s="95"/>
      <c r="U11" s="95"/>
    </row>
    <row r="12" spans="1:21">
      <c r="A12" s="92" t="s">
        <v>75</v>
      </c>
      <c r="B12" s="75" t="s">
        <v>67</v>
      </c>
      <c r="C12" s="70"/>
      <c r="D12" s="75" t="s">
        <v>76</v>
      </c>
      <c r="E12" s="76">
        <v>0.48</v>
      </c>
      <c r="F12" s="76">
        <f t="shared" ref="F12:F18" si="2">C12*E12</f>
        <v>0</v>
      </c>
      <c r="G12" s="75">
        <v>0.41</v>
      </c>
      <c r="H12" s="77">
        <f t="shared" ref="H12:H18" si="3">C12*G12</f>
        <v>0</v>
      </c>
      <c r="L12" s="95"/>
      <c r="M12" s="95"/>
      <c r="N12" s="95"/>
      <c r="O12" s="95"/>
      <c r="P12" s="95"/>
      <c r="Q12" s="95"/>
      <c r="R12" s="95"/>
      <c r="S12" s="95"/>
      <c r="T12" s="95"/>
      <c r="U12" s="95"/>
    </row>
    <row r="13" spans="1:21">
      <c r="A13" s="93"/>
      <c r="B13" s="72" t="s">
        <v>69</v>
      </c>
      <c r="C13" s="71"/>
      <c r="D13" s="72" t="s">
        <v>76</v>
      </c>
      <c r="E13" s="78">
        <v>0.56000000000000005</v>
      </c>
      <c r="F13" s="78">
        <f t="shared" si="2"/>
        <v>0</v>
      </c>
      <c r="G13" s="72">
        <v>0.69</v>
      </c>
      <c r="H13" s="79">
        <f t="shared" si="3"/>
        <v>0</v>
      </c>
      <c r="L13" s="95"/>
      <c r="M13" s="95"/>
      <c r="N13" s="95"/>
      <c r="O13" s="95"/>
      <c r="P13" s="95"/>
      <c r="Q13" s="95"/>
      <c r="R13" s="95"/>
      <c r="S13" s="95"/>
      <c r="T13" s="95"/>
      <c r="U13" s="95"/>
    </row>
    <row r="14" spans="1:21">
      <c r="A14" s="93"/>
      <c r="B14" s="72" t="s">
        <v>70</v>
      </c>
      <c r="C14" s="71"/>
      <c r="D14" s="72" t="s">
        <v>76</v>
      </c>
      <c r="E14" s="78">
        <v>1.35</v>
      </c>
      <c r="F14" s="78">
        <f t="shared" si="2"/>
        <v>0</v>
      </c>
      <c r="G14" s="72">
        <v>0.86</v>
      </c>
      <c r="H14" s="79">
        <f t="shared" si="3"/>
        <v>0</v>
      </c>
      <c r="L14" s="95"/>
      <c r="M14" s="95"/>
      <c r="N14" s="95"/>
      <c r="O14" s="95"/>
      <c r="P14" s="95"/>
      <c r="Q14" s="95"/>
      <c r="R14" s="95"/>
      <c r="S14" s="95"/>
      <c r="T14" s="95"/>
      <c r="U14" s="95"/>
    </row>
    <row r="15" spans="1:21">
      <c r="A15" s="93"/>
      <c r="B15" s="72" t="s">
        <v>71</v>
      </c>
      <c r="C15" s="71"/>
      <c r="D15" s="72" t="s">
        <v>76</v>
      </c>
      <c r="E15" s="330"/>
      <c r="F15" s="78">
        <f t="shared" si="2"/>
        <v>0</v>
      </c>
      <c r="G15" s="72">
        <v>0.98</v>
      </c>
      <c r="H15" s="79">
        <f t="shared" si="3"/>
        <v>0</v>
      </c>
      <c r="L15" s="95"/>
      <c r="M15" s="95"/>
      <c r="N15" s="95"/>
      <c r="O15" s="95"/>
      <c r="P15" s="95"/>
      <c r="Q15" s="95"/>
      <c r="R15" s="95"/>
      <c r="S15" s="95"/>
      <c r="T15" s="95"/>
      <c r="U15" s="95"/>
    </row>
    <row r="16" spans="1:21">
      <c r="A16" s="93"/>
      <c r="B16" s="72" t="s">
        <v>72</v>
      </c>
      <c r="C16" s="71"/>
      <c r="D16" s="72" t="s">
        <v>76</v>
      </c>
      <c r="E16" s="330"/>
      <c r="F16" s="78">
        <f t="shared" si="2"/>
        <v>0</v>
      </c>
      <c r="G16" s="72">
        <v>1.07</v>
      </c>
      <c r="H16" s="79">
        <f t="shared" si="3"/>
        <v>0</v>
      </c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</row>
    <row r="17" spans="1:21">
      <c r="A17" s="93"/>
      <c r="B17" s="72" t="s">
        <v>73</v>
      </c>
      <c r="C17" s="71"/>
      <c r="D17" s="72" t="s">
        <v>76</v>
      </c>
      <c r="E17" s="330"/>
      <c r="F17" s="78">
        <f t="shared" si="2"/>
        <v>0</v>
      </c>
      <c r="G17" s="72">
        <v>1.1299999999999999</v>
      </c>
      <c r="H17" s="79">
        <f t="shared" si="3"/>
        <v>0</v>
      </c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</row>
    <row r="18" spans="1:21">
      <c r="A18" s="93"/>
      <c r="B18" s="72" t="s">
        <v>74</v>
      </c>
      <c r="C18" s="71"/>
      <c r="D18" s="72" t="s">
        <v>76</v>
      </c>
      <c r="E18" s="330"/>
      <c r="F18" s="78">
        <f t="shared" si="2"/>
        <v>0</v>
      </c>
      <c r="G18" s="72">
        <v>1.23</v>
      </c>
      <c r="H18" s="79">
        <f t="shared" si="3"/>
        <v>0</v>
      </c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</row>
    <row r="19" spans="1:21">
      <c r="A19" s="93"/>
      <c r="B19" s="72"/>
      <c r="C19" s="72"/>
      <c r="D19" s="72"/>
      <c r="E19" s="87" t="s">
        <v>100</v>
      </c>
      <c r="F19" s="88">
        <f>SUM(F12:F18)</f>
        <v>0</v>
      </c>
      <c r="G19" s="87" t="s">
        <v>100</v>
      </c>
      <c r="H19" s="194">
        <f>SUM(H12:H18)</f>
        <v>0</v>
      </c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</row>
    <row r="20" spans="1:21" ht="13.8" thickBot="1">
      <c r="A20" s="101"/>
      <c r="B20" s="89"/>
      <c r="C20" s="72"/>
      <c r="D20" s="89" t="s">
        <v>49</v>
      </c>
      <c r="E20" s="90"/>
      <c r="F20" s="90" t="s">
        <v>49</v>
      </c>
      <c r="G20" s="89"/>
      <c r="H20" s="91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</row>
    <row r="21" spans="1:21">
      <c r="A21" s="92" t="s">
        <v>77</v>
      </c>
      <c r="B21" s="75" t="s">
        <v>67</v>
      </c>
      <c r="C21" s="70"/>
      <c r="D21" s="75" t="s">
        <v>76</v>
      </c>
      <c r="E21" s="76">
        <v>0.59</v>
      </c>
      <c r="F21" s="76">
        <f t="shared" ref="F21:F26" si="4">C21*E21</f>
        <v>0</v>
      </c>
      <c r="G21" s="75">
        <v>0.74</v>
      </c>
      <c r="H21" s="77">
        <f t="shared" ref="H21:H26" si="5">C21*G21</f>
        <v>0</v>
      </c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</row>
    <row r="22" spans="1:21">
      <c r="A22" s="93"/>
      <c r="B22" s="72" t="s">
        <v>69</v>
      </c>
      <c r="C22" s="71"/>
      <c r="D22" s="72" t="s">
        <v>76</v>
      </c>
      <c r="E22" s="78">
        <v>0.99</v>
      </c>
      <c r="F22" s="78">
        <f t="shared" si="4"/>
        <v>0</v>
      </c>
      <c r="G22" s="72">
        <v>1.02</v>
      </c>
      <c r="H22" s="79">
        <f t="shared" si="5"/>
        <v>0</v>
      </c>
      <c r="L22" s="95"/>
      <c r="M22" s="95"/>
      <c r="N22" s="95"/>
      <c r="O22" s="95"/>
      <c r="P22" s="95"/>
      <c r="Q22" s="95"/>
      <c r="R22" s="95"/>
      <c r="S22" s="95"/>
      <c r="T22" s="95"/>
      <c r="U22" s="95"/>
    </row>
    <row r="23" spans="1:21">
      <c r="A23" s="93"/>
      <c r="B23" s="72" t="s">
        <v>70</v>
      </c>
      <c r="C23" s="71"/>
      <c r="D23" s="72" t="s">
        <v>76</v>
      </c>
      <c r="E23" s="78">
        <v>2</v>
      </c>
      <c r="F23" s="78">
        <f t="shared" si="4"/>
        <v>0</v>
      </c>
      <c r="G23" s="72">
        <v>1.26</v>
      </c>
      <c r="H23" s="79">
        <f t="shared" si="5"/>
        <v>0</v>
      </c>
      <c r="L23" s="95"/>
      <c r="M23" s="95"/>
      <c r="N23" s="95"/>
      <c r="O23" s="95"/>
      <c r="P23" s="95"/>
      <c r="Q23" s="95"/>
      <c r="R23" s="95"/>
      <c r="S23" s="95"/>
      <c r="T23" s="95"/>
      <c r="U23" s="95"/>
    </row>
    <row r="24" spans="1:21">
      <c r="A24" s="93"/>
      <c r="B24" s="72" t="s">
        <v>72</v>
      </c>
      <c r="C24" s="71"/>
      <c r="D24" s="72" t="s">
        <v>76</v>
      </c>
      <c r="E24" s="330"/>
      <c r="F24" s="78">
        <f t="shared" si="4"/>
        <v>0</v>
      </c>
      <c r="G24" s="72">
        <v>1.59</v>
      </c>
      <c r="H24" s="79">
        <f t="shared" si="5"/>
        <v>0</v>
      </c>
      <c r="L24" s="95"/>
      <c r="M24" s="95"/>
      <c r="N24" s="95"/>
      <c r="O24" s="95"/>
      <c r="P24" s="95"/>
      <c r="Q24" s="95"/>
      <c r="R24" s="95"/>
      <c r="S24" s="95"/>
      <c r="T24" s="95"/>
      <c r="U24" s="95"/>
    </row>
    <row r="25" spans="1:21">
      <c r="A25" s="93"/>
      <c r="B25" s="72" t="s">
        <v>73</v>
      </c>
      <c r="C25" s="71"/>
      <c r="D25" s="72" t="s">
        <v>76</v>
      </c>
      <c r="E25" s="330"/>
      <c r="F25" s="78">
        <f t="shared" si="4"/>
        <v>0</v>
      </c>
      <c r="G25" s="72">
        <v>1.94</v>
      </c>
      <c r="H25" s="79">
        <f t="shared" si="5"/>
        <v>0</v>
      </c>
      <c r="L25" s="95"/>
      <c r="M25" s="95"/>
      <c r="N25" s="95"/>
      <c r="O25" s="95"/>
      <c r="P25" s="95"/>
      <c r="Q25" s="95"/>
    </row>
    <row r="26" spans="1:21">
      <c r="A26" s="93"/>
      <c r="B26" s="72" t="s">
        <v>74</v>
      </c>
      <c r="C26" s="71"/>
      <c r="D26" s="72" t="s">
        <v>76</v>
      </c>
      <c r="E26" s="330"/>
      <c r="F26" s="78">
        <f t="shared" si="4"/>
        <v>0</v>
      </c>
      <c r="G26" s="72">
        <v>1.8</v>
      </c>
      <c r="H26" s="79">
        <f t="shared" si="5"/>
        <v>0</v>
      </c>
      <c r="L26" s="95"/>
      <c r="M26" s="95"/>
      <c r="N26" s="95"/>
      <c r="O26" s="95"/>
      <c r="P26" s="95"/>
      <c r="Q26" s="95"/>
    </row>
    <row r="27" spans="1:21">
      <c r="A27" s="93"/>
      <c r="B27" s="72"/>
      <c r="C27" s="72"/>
      <c r="D27" s="72"/>
      <c r="E27" s="87" t="s">
        <v>100</v>
      </c>
      <c r="F27" s="88">
        <f>SUM(F21:F26)</f>
        <v>0</v>
      </c>
      <c r="G27" s="87" t="s">
        <v>100</v>
      </c>
      <c r="H27" s="194">
        <f>SUM(H21:H26)</f>
        <v>0</v>
      </c>
      <c r="L27" s="95"/>
      <c r="M27" s="95"/>
      <c r="N27" s="95"/>
      <c r="O27" s="95"/>
      <c r="P27" s="95"/>
      <c r="Q27" s="95"/>
    </row>
    <row r="28" spans="1:21" ht="13.8" thickBot="1">
      <c r="A28" s="102"/>
      <c r="B28" s="103"/>
      <c r="C28" s="103"/>
      <c r="D28" s="103"/>
      <c r="E28" s="104"/>
      <c r="F28" s="104"/>
      <c r="G28" s="103"/>
      <c r="H28" s="105"/>
      <c r="L28" s="95"/>
      <c r="M28" s="95"/>
      <c r="N28" s="95"/>
      <c r="O28" s="95"/>
      <c r="P28" s="95"/>
      <c r="Q28" s="95"/>
    </row>
    <row r="29" spans="1:21">
      <c r="A29" s="112" t="s">
        <v>78</v>
      </c>
      <c r="B29" s="97" t="s">
        <v>67</v>
      </c>
      <c r="C29" s="96"/>
      <c r="D29" s="97" t="s">
        <v>76</v>
      </c>
      <c r="E29" s="332">
        <v>11.83</v>
      </c>
      <c r="F29" s="106">
        <f t="shared" ref="F29:F34" si="6">C29*E29</f>
        <v>0</v>
      </c>
      <c r="G29" s="97">
        <v>0.5</v>
      </c>
      <c r="H29" s="107">
        <f t="shared" ref="H29:H34" si="7">C29*G29</f>
        <v>0</v>
      </c>
      <c r="L29" s="95"/>
      <c r="M29" s="95"/>
      <c r="N29" s="95"/>
      <c r="O29" s="95"/>
      <c r="P29" s="95"/>
      <c r="Q29" s="95"/>
    </row>
    <row r="30" spans="1:21">
      <c r="A30" s="93"/>
      <c r="B30" s="72" t="s">
        <v>69</v>
      </c>
      <c r="C30" s="71"/>
      <c r="D30" s="72" t="s">
        <v>76</v>
      </c>
      <c r="E30" s="330">
        <v>14.59</v>
      </c>
      <c r="F30" s="78">
        <f t="shared" si="6"/>
        <v>0</v>
      </c>
      <c r="G30" s="72">
        <v>0.5</v>
      </c>
      <c r="H30" s="79">
        <f t="shared" si="7"/>
        <v>0</v>
      </c>
      <c r="L30" s="95"/>
      <c r="M30" s="95"/>
      <c r="N30" s="95"/>
      <c r="O30" s="95"/>
    </row>
    <row r="31" spans="1:21">
      <c r="A31" s="93"/>
      <c r="B31" s="72" t="s">
        <v>70</v>
      </c>
      <c r="C31" s="71"/>
      <c r="D31" s="72" t="s">
        <v>76</v>
      </c>
      <c r="E31" s="330">
        <v>19.82</v>
      </c>
      <c r="F31" s="78">
        <f t="shared" si="6"/>
        <v>0</v>
      </c>
      <c r="G31" s="72">
        <v>0.5</v>
      </c>
      <c r="H31" s="79">
        <f t="shared" si="7"/>
        <v>0</v>
      </c>
      <c r="L31" s="95"/>
      <c r="M31" s="95"/>
      <c r="N31" s="95"/>
      <c r="O31" s="95"/>
    </row>
    <row r="32" spans="1:21">
      <c r="A32" s="93"/>
      <c r="B32" s="72" t="s">
        <v>72</v>
      </c>
      <c r="C32" s="71"/>
      <c r="D32" s="72" t="s">
        <v>76</v>
      </c>
      <c r="E32" s="330">
        <v>33.99</v>
      </c>
      <c r="F32" s="78">
        <f t="shared" si="6"/>
        <v>0</v>
      </c>
      <c r="G32" s="72">
        <v>0.5</v>
      </c>
      <c r="H32" s="79">
        <f t="shared" si="7"/>
        <v>0</v>
      </c>
      <c r="L32" s="95"/>
      <c r="M32" s="95"/>
      <c r="N32" s="95"/>
      <c r="O32" s="95"/>
    </row>
    <row r="33" spans="1:8">
      <c r="A33" s="93"/>
      <c r="B33" s="72" t="s">
        <v>73</v>
      </c>
      <c r="C33" s="71"/>
      <c r="D33" s="72" t="s">
        <v>76</v>
      </c>
      <c r="E33" s="330">
        <v>42.46</v>
      </c>
      <c r="F33" s="78">
        <f t="shared" si="6"/>
        <v>0</v>
      </c>
      <c r="G33" s="72">
        <v>0.5</v>
      </c>
      <c r="H33" s="79">
        <f t="shared" si="7"/>
        <v>0</v>
      </c>
    </row>
    <row r="34" spans="1:8">
      <c r="A34" s="93"/>
      <c r="B34" s="72" t="s">
        <v>74</v>
      </c>
      <c r="C34" s="71"/>
      <c r="D34" s="72" t="s">
        <v>76</v>
      </c>
      <c r="E34" s="330">
        <v>137.47999999999999</v>
      </c>
      <c r="F34" s="78">
        <f t="shared" si="6"/>
        <v>0</v>
      </c>
      <c r="G34" s="72">
        <v>1</v>
      </c>
      <c r="H34" s="79">
        <f t="shared" si="7"/>
        <v>0</v>
      </c>
    </row>
    <row r="35" spans="1:8">
      <c r="A35" s="93"/>
      <c r="B35" s="72"/>
      <c r="C35" s="72"/>
      <c r="D35" s="72"/>
      <c r="E35" s="87" t="s">
        <v>100</v>
      </c>
      <c r="F35" s="88">
        <f>SUM(F29:F34)</f>
        <v>0</v>
      </c>
      <c r="G35" s="87" t="s">
        <v>100</v>
      </c>
      <c r="H35" s="194">
        <f>SUM(H29:H34)</f>
        <v>0</v>
      </c>
    </row>
    <row r="36" spans="1:8" ht="13.8" thickBot="1">
      <c r="A36" s="102"/>
      <c r="B36" s="103"/>
      <c r="C36" s="103"/>
      <c r="D36" s="103"/>
      <c r="E36" s="104"/>
      <c r="F36" s="104"/>
      <c r="G36" s="103"/>
      <c r="H36" s="105"/>
    </row>
    <row r="37" spans="1:8">
      <c r="A37" s="112" t="s">
        <v>79</v>
      </c>
      <c r="B37" s="97" t="s">
        <v>80</v>
      </c>
      <c r="C37" s="97">
        <f>SUM(C3:C9)/8</f>
        <v>0</v>
      </c>
      <c r="D37" s="97" t="s">
        <v>76</v>
      </c>
      <c r="E37" s="106">
        <v>3.5</v>
      </c>
      <c r="F37" s="106">
        <f>C37*E37</f>
        <v>0</v>
      </c>
      <c r="G37" s="97">
        <v>0.33</v>
      </c>
      <c r="H37" s="107">
        <f>C37*G37</f>
        <v>0</v>
      </c>
    </row>
    <row r="38" spans="1:8">
      <c r="A38" s="93"/>
      <c r="B38" s="72"/>
      <c r="C38" s="72"/>
      <c r="D38" s="72"/>
      <c r="E38" s="87" t="s">
        <v>100</v>
      </c>
      <c r="F38" s="88">
        <f>SUM(F37)</f>
        <v>0</v>
      </c>
      <c r="G38" s="87" t="s">
        <v>100</v>
      </c>
      <c r="H38" s="194">
        <f>SUM(H37)</f>
        <v>0</v>
      </c>
    </row>
    <row r="39" spans="1:8" ht="13.8" thickBot="1">
      <c r="A39" s="102"/>
      <c r="B39" s="103"/>
      <c r="C39" s="103"/>
      <c r="D39" s="103"/>
      <c r="E39" s="104"/>
      <c r="F39" s="104"/>
      <c r="G39" s="103"/>
      <c r="H39" s="105"/>
    </row>
    <row r="40" spans="1:8">
      <c r="A40" s="112" t="s">
        <v>81</v>
      </c>
      <c r="B40" s="97" t="s">
        <v>67</v>
      </c>
      <c r="C40" s="96"/>
      <c r="D40" s="97" t="s">
        <v>76</v>
      </c>
      <c r="E40" s="106">
        <v>0.69</v>
      </c>
      <c r="F40" s="106">
        <f t="shared" ref="F40:F45" si="8">C40*E40</f>
        <v>0</v>
      </c>
      <c r="G40" s="97" t="s">
        <v>82</v>
      </c>
      <c r="H40" s="107">
        <v>0</v>
      </c>
    </row>
    <row r="41" spans="1:8">
      <c r="A41" s="93"/>
      <c r="B41" s="72" t="s">
        <v>69</v>
      </c>
      <c r="C41" s="71"/>
      <c r="D41" s="72" t="s">
        <v>76</v>
      </c>
      <c r="E41" s="78">
        <v>0.79</v>
      </c>
      <c r="F41" s="78">
        <f t="shared" si="8"/>
        <v>0</v>
      </c>
      <c r="G41" s="72" t="s">
        <v>82</v>
      </c>
      <c r="H41" s="79">
        <v>0</v>
      </c>
    </row>
    <row r="42" spans="1:8">
      <c r="A42" s="93"/>
      <c r="B42" s="72" t="s">
        <v>70</v>
      </c>
      <c r="C42" s="71"/>
      <c r="D42" s="72" t="s">
        <v>76</v>
      </c>
      <c r="E42" s="78">
        <v>1.61</v>
      </c>
      <c r="F42" s="78">
        <f t="shared" si="8"/>
        <v>0</v>
      </c>
      <c r="G42" s="72" t="s">
        <v>82</v>
      </c>
      <c r="H42" s="79">
        <v>0</v>
      </c>
    </row>
    <row r="43" spans="1:8">
      <c r="A43" s="93"/>
      <c r="B43" s="72" t="s">
        <v>72</v>
      </c>
      <c r="C43" s="71"/>
      <c r="D43" s="72" t="s">
        <v>76</v>
      </c>
      <c r="E43" s="330"/>
      <c r="F43" s="78">
        <f t="shared" si="8"/>
        <v>0</v>
      </c>
      <c r="G43" s="72" t="s">
        <v>82</v>
      </c>
      <c r="H43" s="79">
        <v>0</v>
      </c>
    </row>
    <row r="44" spans="1:8">
      <c r="A44" s="93"/>
      <c r="B44" s="72" t="s">
        <v>73</v>
      </c>
      <c r="C44" s="71"/>
      <c r="D44" s="72" t="s">
        <v>76</v>
      </c>
      <c r="E44" s="330"/>
      <c r="F44" s="78">
        <f t="shared" si="8"/>
        <v>0</v>
      </c>
      <c r="G44" s="72" t="s">
        <v>82</v>
      </c>
      <c r="H44" s="79">
        <v>0</v>
      </c>
    </row>
    <row r="45" spans="1:8">
      <c r="A45" s="93"/>
      <c r="B45" s="72" t="s">
        <v>74</v>
      </c>
      <c r="C45" s="71"/>
      <c r="D45" s="72" t="s">
        <v>76</v>
      </c>
      <c r="E45" s="330"/>
      <c r="F45" s="78">
        <f t="shared" si="8"/>
        <v>0</v>
      </c>
      <c r="G45" s="72" t="s">
        <v>82</v>
      </c>
      <c r="H45" s="79">
        <v>0</v>
      </c>
    </row>
    <row r="46" spans="1:8">
      <c r="A46" s="93"/>
      <c r="B46" s="72"/>
      <c r="C46" s="78"/>
      <c r="D46" s="72"/>
      <c r="E46" s="87" t="s">
        <v>100</v>
      </c>
      <c r="F46" s="88">
        <f>SUM(F40:F45)</f>
        <v>0</v>
      </c>
      <c r="G46" s="87" t="s">
        <v>100</v>
      </c>
      <c r="H46" s="194">
        <f>SUM(H40:H45)</f>
        <v>0</v>
      </c>
    </row>
    <row r="47" spans="1:8" ht="13.8" thickBot="1">
      <c r="A47" s="102"/>
      <c r="B47" s="103"/>
      <c r="C47" s="104"/>
      <c r="D47" s="103"/>
      <c r="E47" s="108"/>
      <c r="F47" s="103"/>
      <c r="G47" s="103"/>
      <c r="H47" s="105"/>
    </row>
    <row r="48" spans="1:8">
      <c r="A48" s="111" t="s">
        <v>101</v>
      </c>
      <c r="B48" s="89"/>
      <c r="C48" s="90"/>
      <c r="D48" s="89"/>
      <c r="E48" s="110"/>
      <c r="F48" s="89"/>
      <c r="G48" s="89"/>
      <c r="H48" s="91"/>
    </row>
    <row r="49" spans="1:256">
      <c r="A49" s="109" t="s">
        <v>103</v>
      </c>
      <c r="B49" s="109"/>
      <c r="C49" s="71"/>
      <c r="D49" s="72" t="s">
        <v>76</v>
      </c>
      <c r="E49" s="330">
        <v>75</v>
      </c>
      <c r="F49" s="78">
        <f>C49*E49</f>
        <v>0</v>
      </c>
      <c r="G49" s="72">
        <v>0.5</v>
      </c>
      <c r="H49" s="79">
        <f>C49*G49</f>
        <v>0</v>
      </c>
    </row>
    <row r="50" spans="1:256">
      <c r="A50" s="109" t="s">
        <v>104</v>
      </c>
      <c r="B50" s="109"/>
      <c r="C50" s="71"/>
      <c r="D50" s="72" t="s">
        <v>76</v>
      </c>
      <c r="E50" s="330" t="s">
        <v>102</v>
      </c>
      <c r="F50" s="78"/>
      <c r="G50" s="72">
        <v>0.5</v>
      </c>
      <c r="H50" s="79">
        <f>C50*G50</f>
        <v>0</v>
      </c>
    </row>
    <row r="51" spans="1:256">
      <c r="A51" s="109" t="s">
        <v>105</v>
      </c>
      <c r="B51" s="109"/>
      <c r="C51" s="71"/>
      <c r="D51" s="72"/>
      <c r="E51" s="330" t="s">
        <v>102</v>
      </c>
      <c r="F51" s="78"/>
      <c r="G51" s="72"/>
      <c r="H51" s="79">
        <v>0</v>
      </c>
    </row>
    <row r="52" spans="1:256">
      <c r="A52" s="109" t="s">
        <v>106</v>
      </c>
      <c r="B52" s="109"/>
      <c r="C52" s="71"/>
      <c r="D52" s="72"/>
      <c r="E52" s="330">
        <v>7</v>
      </c>
      <c r="F52" s="78">
        <f>C52*E52</f>
        <v>0</v>
      </c>
      <c r="G52" s="72">
        <v>0.25</v>
      </c>
      <c r="H52" s="79">
        <f>C52*G52</f>
        <v>0</v>
      </c>
    </row>
    <row r="53" spans="1:256">
      <c r="A53" s="109" t="s">
        <v>107</v>
      </c>
      <c r="B53" s="109"/>
      <c r="C53" s="71"/>
      <c r="D53" s="72"/>
      <c r="E53" s="330">
        <v>87</v>
      </c>
      <c r="F53" s="78">
        <f>C53*E53</f>
        <v>0</v>
      </c>
      <c r="G53" s="72">
        <v>0.5</v>
      </c>
      <c r="H53" s="79">
        <f>C53*G53</f>
        <v>0</v>
      </c>
    </row>
    <row r="54" spans="1:256">
      <c r="A54" s="109" t="s">
        <v>108</v>
      </c>
      <c r="B54" s="109"/>
      <c r="C54" s="71"/>
      <c r="D54" s="72"/>
      <c r="E54" s="330">
        <v>34</v>
      </c>
      <c r="F54" s="78">
        <f>C54*E54</f>
        <v>0</v>
      </c>
      <c r="G54" s="72">
        <v>0.5</v>
      </c>
      <c r="H54" s="79">
        <f>C54*G54</f>
        <v>0</v>
      </c>
    </row>
    <row r="55" spans="1:256">
      <c r="A55" s="109" t="s">
        <v>109</v>
      </c>
      <c r="B55" s="109"/>
      <c r="C55" s="71"/>
      <c r="D55" s="72"/>
      <c r="E55" s="330" t="s">
        <v>102</v>
      </c>
      <c r="F55" s="78"/>
      <c r="G55" s="72"/>
      <c r="H55" s="79">
        <v>0</v>
      </c>
    </row>
    <row r="56" spans="1:256">
      <c r="A56" s="93"/>
      <c r="B56" s="72"/>
      <c r="C56" s="72"/>
      <c r="D56" s="72"/>
      <c r="E56" s="87" t="s">
        <v>100</v>
      </c>
      <c r="F56" s="88">
        <f>SUM(F49:F55)</f>
        <v>0</v>
      </c>
      <c r="G56" s="87" t="s">
        <v>100</v>
      </c>
      <c r="H56" s="194">
        <f>SUM(H49:H55)</f>
        <v>0</v>
      </c>
    </row>
    <row r="57" spans="1:256" s="300" customFormat="1">
      <c r="A57" s="279"/>
      <c r="B57" s="280"/>
      <c r="C57" s="280"/>
      <c r="D57" s="280"/>
      <c r="E57" s="281"/>
      <c r="F57" s="286"/>
      <c r="G57" s="281"/>
      <c r="H57" s="283"/>
      <c r="I57" s="124"/>
      <c r="J57" s="122"/>
      <c r="K57" s="122"/>
      <c r="L57" s="122"/>
      <c r="M57" s="297"/>
      <c r="N57" s="298"/>
      <c r="O57" s="297"/>
      <c r="P57" s="299"/>
      <c r="Q57" s="124"/>
      <c r="R57" s="122"/>
      <c r="S57" s="122"/>
      <c r="T57" s="122"/>
      <c r="U57" s="297"/>
      <c r="V57" s="298"/>
      <c r="W57" s="297"/>
      <c r="X57" s="299"/>
      <c r="Y57" s="124"/>
      <c r="Z57" s="122"/>
      <c r="AA57" s="122"/>
      <c r="AB57" s="122"/>
      <c r="AC57" s="297"/>
      <c r="AD57" s="298"/>
      <c r="AE57" s="297"/>
      <c r="AF57" s="299"/>
      <c r="AG57" s="124"/>
      <c r="AH57" s="122"/>
      <c r="AI57" s="122"/>
      <c r="AJ57" s="122"/>
      <c r="AK57" s="297"/>
      <c r="AL57" s="298"/>
      <c r="AM57" s="297"/>
      <c r="AN57" s="299"/>
      <c r="AO57" s="124"/>
      <c r="AP57" s="122"/>
      <c r="AQ57" s="122"/>
      <c r="AR57" s="122"/>
      <c r="AS57" s="297"/>
      <c r="AT57" s="298"/>
      <c r="AU57" s="297"/>
      <c r="AV57" s="299"/>
      <c r="AW57" s="124"/>
      <c r="AX57" s="122"/>
      <c r="AY57" s="122"/>
      <c r="AZ57" s="122"/>
      <c r="BA57" s="297"/>
      <c r="BB57" s="298"/>
      <c r="BC57" s="297"/>
      <c r="BD57" s="299"/>
      <c r="BE57" s="124"/>
      <c r="BF57" s="122"/>
      <c r="BG57" s="122"/>
      <c r="BH57" s="122"/>
      <c r="BI57" s="297"/>
      <c r="BJ57" s="298"/>
      <c r="BK57" s="297"/>
      <c r="BL57" s="299"/>
      <c r="BM57" s="124"/>
      <c r="BN57" s="122"/>
      <c r="BO57" s="122"/>
      <c r="BP57" s="122"/>
      <c r="BQ57" s="297"/>
      <c r="BR57" s="298"/>
      <c r="BS57" s="297"/>
      <c r="BT57" s="299"/>
      <c r="BU57" s="124"/>
      <c r="BV57" s="122"/>
      <c r="BW57" s="122"/>
      <c r="BX57" s="122"/>
      <c r="BY57" s="297"/>
      <c r="BZ57" s="298"/>
      <c r="CA57" s="297"/>
      <c r="CB57" s="299"/>
      <c r="CC57" s="124"/>
      <c r="CD57" s="122"/>
      <c r="CE57" s="122"/>
      <c r="CF57" s="122"/>
      <c r="CG57" s="297"/>
      <c r="CH57" s="298"/>
      <c r="CI57" s="297"/>
      <c r="CJ57" s="299"/>
      <c r="CK57" s="124"/>
      <c r="CL57" s="122"/>
      <c r="CM57" s="122"/>
      <c r="CN57" s="122"/>
      <c r="CO57" s="297"/>
      <c r="CP57" s="298"/>
      <c r="CQ57" s="297"/>
      <c r="CR57" s="299"/>
      <c r="CS57" s="124"/>
      <c r="CT57" s="122"/>
      <c r="CU57" s="122"/>
      <c r="CV57" s="122"/>
      <c r="CW57" s="297"/>
      <c r="CX57" s="298"/>
      <c r="CY57" s="297"/>
      <c r="CZ57" s="299"/>
      <c r="DA57" s="124"/>
      <c r="DB57" s="122"/>
      <c r="DC57" s="122"/>
      <c r="DD57" s="122"/>
      <c r="DE57" s="297"/>
      <c r="DF57" s="298"/>
      <c r="DG57" s="297"/>
      <c r="DH57" s="299"/>
      <c r="DI57" s="124"/>
      <c r="DJ57" s="122"/>
      <c r="DK57" s="122"/>
      <c r="DL57" s="122"/>
      <c r="DM57" s="297"/>
      <c r="DN57" s="298"/>
      <c r="DO57" s="297"/>
      <c r="DP57" s="299"/>
      <c r="DQ57" s="124"/>
      <c r="DR57" s="122"/>
      <c r="DS57" s="122"/>
      <c r="DT57" s="122"/>
      <c r="DU57" s="297"/>
      <c r="DV57" s="298"/>
      <c r="DW57" s="297"/>
      <c r="DX57" s="299"/>
      <c r="DY57" s="124"/>
      <c r="DZ57" s="122"/>
      <c r="EA57" s="122"/>
      <c r="EB57" s="122"/>
      <c r="EC57" s="297"/>
      <c r="ED57" s="298"/>
      <c r="EE57" s="297"/>
      <c r="EF57" s="299"/>
      <c r="EG57" s="124"/>
      <c r="EH57" s="122"/>
      <c r="EI57" s="122"/>
      <c r="EJ57" s="122"/>
      <c r="EK57" s="297"/>
      <c r="EL57" s="298"/>
      <c r="EM57" s="297"/>
      <c r="EN57" s="299"/>
      <c r="EO57" s="124"/>
      <c r="EP57" s="122"/>
      <c r="EQ57" s="122"/>
      <c r="ER57" s="122"/>
      <c r="ES57" s="297"/>
      <c r="ET57" s="298"/>
      <c r="EU57" s="297"/>
      <c r="EV57" s="299"/>
      <c r="EW57" s="124"/>
      <c r="EX57" s="122"/>
      <c r="EY57" s="122"/>
      <c r="EZ57" s="122"/>
      <c r="FA57" s="297"/>
      <c r="FB57" s="298"/>
      <c r="FC57" s="297"/>
      <c r="FD57" s="299"/>
      <c r="FE57" s="124"/>
      <c r="FF57" s="122"/>
      <c r="FG57" s="122"/>
      <c r="FH57" s="122"/>
      <c r="FI57" s="297"/>
      <c r="FJ57" s="298"/>
      <c r="FK57" s="297"/>
      <c r="FL57" s="299"/>
      <c r="FM57" s="124"/>
      <c r="FN57" s="122"/>
      <c r="FO57" s="122"/>
      <c r="FP57" s="122"/>
      <c r="FQ57" s="297"/>
      <c r="FR57" s="298"/>
      <c r="FS57" s="297"/>
      <c r="FT57" s="299"/>
      <c r="FU57" s="124"/>
      <c r="FV57" s="122"/>
      <c r="FW57" s="122"/>
      <c r="FX57" s="122"/>
      <c r="FY57" s="297"/>
      <c r="FZ57" s="298"/>
      <c r="GA57" s="297"/>
      <c r="GB57" s="299"/>
      <c r="GC57" s="124"/>
      <c r="GD57" s="122"/>
      <c r="GE57" s="122"/>
      <c r="GF57" s="122"/>
      <c r="GG57" s="297"/>
      <c r="GH57" s="298"/>
      <c r="GI57" s="297"/>
      <c r="GJ57" s="299"/>
      <c r="GK57" s="124"/>
      <c r="GL57" s="122"/>
      <c r="GM57" s="122"/>
      <c r="GN57" s="122"/>
      <c r="GO57" s="297"/>
      <c r="GP57" s="298"/>
      <c r="GQ57" s="297"/>
      <c r="GR57" s="299"/>
      <c r="GS57" s="124"/>
      <c r="GT57" s="122"/>
      <c r="GU57" s="122"/>
      <c r="GV57" s="122"/>
      <c r="GW57" s="297"/>
      <c r="GX57" s="298"/>
      <c r="GY57" s="297"/>
      <c r="GZ57" s="299"/>
      <c r="HA57" s="124"/>
      <c r="HB57" s="122"/>
      <c r="HC57" s="122"/>
      <c r="HD57" s="122"/>
      <c r="HE57" s="297"/>
      <c r="HF57" s="298"/>
      <c r="HG57" s="297"/>
      <c r="HH57" s="299"/>
      <c r="HI57" s="124"/>
      <c r="HJ57" s="122"/>
      <c r="HK57" s="122"/>
      <c r="HL57" s="122"/>
      <c r="HM57" s="297"/>
      <c r="HN57" s="298"/>
      <c r="HO57" s="297"/>
      <c r="HP57" s="299"/>
      <c r="HQ57" s="124"/>
      <c r="HR57" s="122"/>
      <c r="HS57" s="122"/>
      <c r="HT57" s="122"/>
      <c r="HU57" s="297"/>
      <c r="HV57" s="298"/>
      <c r="HW57" s="297"/>
      <c r="HX57" s="299"/>
      <c r="HY57" s="124"/>
      <c r="HZ57" s="122"/>
      <c r="IA57" s="122"/>
      <c r="IB57" s="122"/>
      <c r="IC57" s="297"/>
      <c r="ID57" s="298"/>
      <c r="IE57" s="297"/>
      <c r="IF57" s="299"/>
      <c r="IG57" s="124"/>
      <c r="IH57" s="122"/>
      <c r="II57" s="122"/>
      <c r="IJ57" s="122"/>
      <c r="IK57" s="297"/>
      <c r="IL57" s="298"/>
      <c r="IM57" s="297"/>
      <c r="IN57" s="299"/>
      <c r="IO57" s="124"/>
      <c r="IP57" s="122"/>
      <c r="IQ57" s="122"/>
      <c r="IR57" s="122"/>
      <c r="IS57" s="297"/>
      <c r="IT57" s="298"/>
      <c r="IU57" s="297"/>
      <c r="IV57" s="299"/>
    </row>
    <row r="58" spans="1:256" s="300" customFormat="1" ht="13.8" thickBot="1">
      <c r="A58" s="876" t="s">
        <v>193</v>
      </c>
      <c r="B58" s="877"/>
      <c r="C58" s="877"/>
      <c r="D58" s="877"/>
      <c r="E58" s="877"/>
      <c r="F58" s="287">
        <f>(F56+F46+F38+F27+F19+F10+F35)*0.06</f>
        <v>0</v>
      </c>
      <c r="G58" s="288"/>
      <c r="H58" s="289"/>
      <c r="I58" s="878"/>
      <c r="J58" s="879"/>
      <c r="K58" s="879"/>
      <c r="L58" s="879"/>
      <c r="M58" s="879"/>
      <c r="N58" s="298"/>
      <c r="O58" s="297"/>
      <c r="P58" s="299"/>
      <c r="Q58" s="878"/>
      <c r="R58" s="879"/>
      <c r="S58" s="879"/>
      <c r="T58" s="879"/>
      <c r="U58" s="879"/>
      <c r="V58" s="298"/>
      <c r="W58" s="297"/>
      <c r="X58" s="299"/>
      <c r="Y58" s="878"/>
      <c r="Z58" s="879"/>
      <c r="AA58" s="879"/>
      <c r="AB58" s="879"/>
      <c r="AC58" s="879"/>
      <c r="AD58" s="298"/>
      <c r="AE58" s="297"/>
      <c r="AF58" s="299"/>
      <c r="AG58" s="878"/>
      <c r="AH58" s="879"/>
      <c r="AI58" s="879"/>
      <c r="AJ58" s="879"/>
      <c r="AK58" s="879"/>
      <c r="AL58" s="298"/>
      <c r="AM58" s="297"/>
      <c r="AN58" s="299"/>
      <c r="AO58" s="878"/>
      <c r="AP58" s="879"/>
      <c r="AQ58" s="879"/>
      <c r="AR58" s="879"/>
      <c r="AS58" s="879"/>
      <c r="AT58" s="298"/>
      <c r="AU58" s="297"/>
      <c r="AV58" s="299"/>
      <c r="AW58" s="878"/>
      <c r="AX58" s="879"/>
      <c r="AY58" s="879"/>
      <c r="AZ58" s="879"/>
      <c r="BA58" s="879"/>
      <c r="BB58" s="298"/>
      <c r="BC58" s="297"/>
      <c r="BD58" s="299"/>
      <c r="BE58" s="878"/>
      <c r="BF58" s="879"/>
      <c r="BG58" s="879"/>
      <c r="BH58" s="879"/>
      <c r="BI58" s="879"/>
      <c r="BJ58" s="298"/>
      <c r="BK58" s="297"/>
      <c r="BL58" s="299"/>
      <c r="BM58" s="878"/>
      <c r="BN58" s="879"/>
      <c r="BO58" s="879"/>
      <c r="BP58" s="879"/>
      <c r="BQ58" s="879"/>
      <c r="BR58" s="298"/>
      <c r="BS58" s="297"/>
      <c r="BT58" s="299"/>
      <c r="BU58" s="878"/>
      <c r="BV58" s="879"/>
      <c r="BW58" s="879"/>
      <c r="BX58" s="879"/>
      <c r="BY58" s="879"/>
      <c r="BZ58" s="298"/>
      <c r="CA58" s="297"/>
      <c r="CB58" s="299"/>
      <c r="CC58" s="878"/>
      <c r="CD58" s="879"/>
      <c r="CE58" s="879"/>
      <c r="CF58" s="879"/>
      <c r="CG58" s="879"/>
      <c r="CH58" s="298"/>
      <c r="CI58" s="297"/>
      <c r="CJ58" s="299"/>
      <c r="CK58" s="878"/>
      <c r="CL58" s="879"/>
      <c r="CM58" s="879"/>
      <c r="CN58" s="879"/>
      <c r="CO58" s="879"/>
      <c r="CP58" s="298"/>
      <c r="CQ58" s="297"/>
      <c r="CR58" s="299"/>
      <c r="CS58" s="878"/>
      <c r="CT58" s="879"/>
      <c r="CU58" s="879"/>
      <c r="CV58" s="879"/>
      <c r="CW58" s="879"/>
      <c r="CX58" s="298"/>
      <c r="CY58" s="297"/>
      <c r="CZ58" s="299"/>
      <c r="DA58" s="878"/>
      <c r="DB58" s="879"/>
      <c r="DC58" s="879"/>
      <c r="DD58" s="879"/>
      <c r="DE58" s="879"/>
      <c r="DF58" s="298"/>
      <c r="DG58" s="297"/>
      <c r="DH58" s="299"/>
      <c r="DI58" s="878"/>
      <c r="DJ58" s="879"/>
      <c r="DK58" s="879"/>
      <c r="DL58" s="879"/>
      <c r="DM58" s="879"/>
      <c r="DN58" s="298"/>
      <c r="DO58" s="297"/>
      <c r="DP58" s="299"/>
      <c r="DQ58" s="878"/>
      <c r="DR58" s="879"/>
      <c r="DS58" s="879"/>
      <c r="DT58" s="879"/>
      <c r="DU58" s="879"/>
      <c r="DV58" s="298"/>
      <c r="DW58" s="297"/>
      <c r="DX58" s="299"/>
      <c r="DY58" s="878"/>
      <c r="DZ58" s="879"/>
      <c r="EA58" s="879"/>
      <c r="EB58" s="879"/>
      <c r="EC58" s="879"/>
      <c r="ED58" s="298"/>
      <c r="EE58" s="297"/>
      <c r="EF58" s="299"/>
      <c r="EG58" s="878"/>
      <c r="EH58" s="879"/>
      <c r="EI58" s="879"/>
      <c r="EJ58" s="879"/>
      <c r="EK58" s="879"/>
      <c r="EL58" s="298"/>
      <c r="EM58" s="297"/>
      <c r="EN58" s="299"/>
      <c r="EO58" s="878"/>
      <c r="EP58" s="879"/>
      <c r="EQ58" s="879"/>
      <c r="ER58" s="879"/>
      <c r="ES58" s="879"/>
      <c r="ET58" s="298"/>
      <c r="EU58" s="297"/>
      <c r="EV58" s="299"/>
      <c r="EW58" s="878"/>
      <c r="EX58" s="879"/>
      <c r="EY58" s="879"/>
      <c r="EZ58" s="879"/>
      <c r="FA58" s="879"/>
      <c r="FB58" s="298"/>
      <c r="FC58" s="297"/>
      <c r="FD58" s="299"/>
      <c r="FE58" s="878"/>
      <c r="FF58" s="879"/>
      <c r="FG58" s="879"/>
      <c r="FH58" s="879"/>
      <c r="FI58" s="879"/>
      <c r="FJ58" s="298"/>
      <c r="FK58" s="297"/>
      <c r="FL58" s="299"/>
      <c r="FM58" s="878"/>
      <c r="FN58" s="879"/>
      <c r="FO58" s="879"/>
      <c r="FP58" s="879"/>
      <c r="FQ58" s="879"/>
      <c r="FR58" s="298"/>
      <c r="FS58" s="297"/>
      <c r="FT58" s="299"/>
      <c r="FU58" s="878"/>
      <c r="FV58" s="879"/>
      <c r="FW58" s="879"/>
      <c r="FX58" s="879"/>
      <c r="FY58" s="879"/>
      <c r="FZ58" s="298"/>
      <c r="GA58" s="297"/>
      <c r="GB58" s="299"/>
      <c r="GC58" s="878"/>
      <c r="GD58" s="879"/>
      <c r="GE58" s="879"/>
      <c r="GF58" s="879"/>
      <c r="GG58" s="879"/>
      <c r="GH58" s="298"/>
      <c r="GI58" s="297"/>
      <c r="GJ58" s="299"/>
      <c r="GK58" s="878"/>
      <c r="GL58" s="879"/>
      <c r="GM58" s="879"/>
      <c r="GN58" s="879"/>
      <c r="GO58" s="879"/>
      <c r="GP58" s="298"/>
      <c r="GQ58" s="297"/>
      <c r="GR58" s="299"/>
      <c r="GS58" s="878"/>
      <c r="GT58" s="879"/>
      <c r="GU58" s="879"/>
      <c r="GV58" s="879"/>
      <c r="GW58" s="879"/>
      <c r="GX58" s="298"/>
      <c r="GY58" s="297"/>
      <c r="GZ58" s="299"/>
      <c r="HA58" s="878"/>
      <c r="HB58" s="879"/>
      <c r="HC58" s="879"/>
      <c r="HD58" s="879"/>
      <c r="HE58" s="879"/>
      <c r="HF58" s="298"/>
      <c r="HG58" s="297"/>
      <c r="HH58" s="299"/>
      <c r="HI58" s="878"/>
      <c r="HJ58" s="879"/>
      <c r="HK58" s="879"/>
      <c r="HL58" s="879"/>
      <c r="HM58" s="879"/>
      <c r="HN58" s="298"/>
      <c r="HO58" s="297"/>
      <c r="HP58" s="299"/>
      <c r="HQ58" s="878"/>
      <c r="HR58" s="879"/>
      <c r="HS58" s="879"/>
      <c r="HT58" s="879"/>
      <c r="HU58" s="879"/>
      <c r="HV58" s="298"/>
      <c r="HW58" s="297"/>
      <c r="HX58" s="299"/>
      <c r="HY58" s="878"/>
      <c r="HZ58" s="879"/>
      <c r="IA58" s="879"/>
      <c r="IB58" s="879"/>
      <c r="IC58" s="879"/>
      <c r="ID58" s="298"/>
      <c r="IE58" s="297"/>
      <c r="IF58" s="299"/>
      <c r="IG58" s="878"/>
      <c r="IH58" s="879"/>
      <c r="II58" s="879"/>
      <c r="IJ58" s="879"/>
      <c r="IK58" s="879"/>
      <c r="IL58" s="298"/>
      <c r="IM58" s="297"/>
      <c r="IN58" s="299"/>
      <c r="IO58" s="878"/>
      <c r="IP58" s="879"/>
      <c r="IQ58" s="879"/>
      <c r="IR58" s="879"/>
      <c r="IS58" s="879"/>
      <c r="IT58" s="298"/>
      <c r="IU58" s="297"/>
      <c r="IV58" s="299"/>
    </row>
    <row r="59" spans="1:256" s="300" customFormat="1" ht="13.8" thickBot="1">
      <c r="A59" s="293" t="s">
        <v>197</v>
      </c>
      <c r="B59" s="290"/>
      <c r="C59" s="290"/>
      <c r="D59" s="290"/>
      <c r="E59" s="290"/>
      <c r="F59" s="294"/>
      <c r="G59" s="281"/>
      <c r="H59" s="283"/>
      <c r="I59" s="121"/>
      <c r="J59" s="124"/>
      <c r="K59" s="124"/>
      <c r="L59" s="124"/>
      <c r="M59" s="124"/>
      <c r="N59" s="298"/>
      <c r="O59" s="297"/>
      <c r="P59" s="299"/>
      <c r="Q59" s="121"/>
      <c r="R59" s="124"/>
      <c r="S59" s="124"/>
      <c r="T59" s="124"/>
      <c r="U59" s="124"/>
      <c r="V59" s="298"/>
      <c r="W59" s="297"/>
      <c r="X59" s="299"/>
      <c r="Y59" s="121"/>
      <c r="Z59" s="124"/>
      <c r="AA59" s="124"/>
      <c r="AB59" s="124"/>
      <c r="AC59" s="124"/>
      <c r="AD59" s="298"/>
      <c r="AE59" s="297"/>
      <c r="AF59" s="299"/>
      <c r="AG59" s="121"/>
      <c r="AH59" s="124"/>
      <c r="AI59" s="124"/>
      <c r="AJ59" s="124"/>
      <c r="AK59" s="124"/>
      <c r="AL59" s="298"/>
      <c r="AM59" s="297"/>
      <c r="AN59" s="299"/>
      <c r="AO59" s="121"/>
      <c r="AP59" s="124"/>
      <c r="AQ59" s="124"/>
      <c r="AR59" s="124"/>
      <c r="AS59" s="124"/>
      <c r="AT59" s="298"/>
      <c r="AU59" s="297"/>
      <c r="AV59" s="299"/>
      <c r="AW59" s="121"/>
      <c r="AX59" s="124"/>
      <c r="AY59" s="124"/>
      <c r="AZ59" s="124"/>
      <c r="BA59" s="124"/>
      <c r="BB59" s="298"/>
      <c r="BC59" s="297"/>
      <c r="BD59" s="299"/>
      <c r="BE59" s="121"/>
      <c r="BF59" s="124"/>
      <c r="BG59" s="124"/>
      <c r="BH59" s="124"/>
      <c r="BI59" s="124"/>
      <c r="BJ59" s="298"/>
      <c r="BK59" s="297"/>
      <c r="BL59" s="299"/>
      <c r="BM59" s="121"/>
      <c r="BN59" s="124"/>
      <c r="BO59" s="124"/>
      <c r="BP59" s="124"/>
      <c r="BQ59" s="124"/>
      <c r="BR59" s="298"/>
      <c r="BS59" s="297"/>
      <c r="BT59" s="299"/>
      <c r="BU59" s="121"/>
      <c r="BV59" s="124"/>
      <c r="BW59" s="124"/>
      <c r="BX59" s="124"/>
      <c r="BY59" s="124"/>
      <c r="BZ59" s="298"/>
      <c r="CA59" s="297"/>
      <c r="CB59" s="299"/>
      <c r="CC59" s="121"/>
      <c r="CD59" s="124"/>
      <c r="CE59" s="124"/>
      <c r="CF59" s="124"/>
      <c r="CG59" s="124"/>
      <c r="CH59" s="298"/>
      <c r="CI59" s="297"/>
      <c r="CJ59" s="299"/>
      <c r="CK59" s="121"/>
      <c r="CL59" s="124"/>
      <c r="CM59" s="124"/>
      <c r="CN59" s="124"/>
      <c r="CO59" s="124"/>
      <c r="CP59" s="298"/>
      <c r="CQ59" s="297"/>
      <c r="CR59" s="299"/>
      <c r="CS59" s="121"/>
      <c r="CT59" s="124"/>
      <c r="CU59" s="124"/>
      <c r="CV59" s="124"/>
      <c r="CW59" s="124"/>
      <c r="CX59" s="298"/>
      <c r="CY59" s="297"/>
      <c r="CZ59" s="299"/>
      <c r="DA59" s="121"/>
      <c r="DB59" s="124"/>
      <c r="DC59" s="124"/>
      <c r="DD59" s="124"/>
      <c r="DE59" s="124"/>
      <c r="DF59" s="298"/>
      <c r="DG59" s="297"/>
      <c r="DH59" s="299"/>
      <c r="DI59" s="121"/>
      <c r="DJ59" s="124"/>
      <c r="DK59" s="124"/>
      <c r="DL59" s="124"/>
      <c r="DM59" s="124"/>
      <c r="DN59" s="298"/>
      <c r="DO59" s="297"/>
      <c r="DP59" s="299"/>
      <c r="DQ59" s="121"/>
      <c r="DR59" s="124"/>
      <c r="DS59" s="124"/>
      <c r="DT59" s="124"/>
      <c r="DU59" s="124"/>
      <c r="DV59" s="298"/>
      <c r="DW59" s="297"/>
      <c r="DX59" s="299"/>
      <c r="DY59" s="121"/>
      <c r="DZ59" s="124"/>
      <c r="EA59" s="124"/>
      <c r="EB59" s="124"/>
      <c r="EC59" s="124"/>
      <c r="ED59" s="298"/>
      <c r="EE59" s="297"/>
      <c r="EF59" s="299"/>
      <c r="EG59" s="121"/>
      <c r="EH59" s="124"/>
      <c r="EI59" s="124"/>
      <c r="EJ59" s="124"/>
      <c r="EK59" s="124"/>
      <c r="EL59" s="298"/>
      <c r="EM59" s="297"/>
      <c r="EN59" s="299"/>
      <c r="EO59" s="121"/>
      <c r="EP59" s="124"/>
      <c r="EQ59" s="124"/>
      <c r="ER59" s="124"/>
      <c r="ES59" s="124"/>
      <c r="ET59" s="298"/>
      <c r="EU59" s="297"/>
      <c r="EV59" s="299"/>
      <c r="EW59" s="121"/>
      <c r="EX59" s="124"/>
      <c r="EY59" s="124"/>
      <c r="EZ59" s="124"/>
      <c r="FA59" s="124"/>
      <c r="FB59" s="298"/>
      <c r="FC59" s="297"/>
      <c r="FD59" s="299"/>
      <c r="FE59" s="121"/>
      <c r="FF59" s="124"/>
      <c r="FG59" s="124"/>
      <c r="FH59" s="124"/>
      <c r="FI59" s="124"/>
      <c r="FJ59" s="298"/>
      <c r="FK59" s="297"/>
      <c r="FL59" s="299"/>
      <c r="FM59" s="121"/>
      <c r="FN59" s="124"/>
      <c r="FO59" s="124"/>
      <c r="FP59" s="124"/>
      <c r="FQ59" s="124"/>
      <c r="FR59" s="298"/>
      <c r="FS59" s="297"/>
      <c r="FT59" s="299"/>
      <c r="FU59" s="121"/>
      <c r="FV59" s="124"/>
      <c r="FW59" s="124"/>
      <c r="FX59" s="124"/>
      <c r="FY59" s="124"/>
      <c r="FZ59" s="298"/>
      <c r="GA59" s="297"/>
      <c r="GB59" s="299"/>
      <c r="GC59" s="121"/>
      <c r="GD59" s="124"/>
      <c r="GE59" s="124"/>
      <c r="GF59" s="124"/>
      <c r="GG59" s="124"/>
      <c r="GH59" s="298"/>
      <c r="GI59" s="297"/>
      <c r="GJ59" s="299"/>
      <c r="GK59" s="121"/>
      <c r="GL59" s="124"/>
      <c r="GM59" s="124"/>
      <c r="GN59" s="124"/>
      <c r="GO59" s="124"/>
      <c r="GP59" s="298"/>
      <c r="GQ59" s="297"/>
      <c r="GR59" s="299"/>
      <c r="GS59" s="121"/>
      <c r="GT59" s="124"/>
      <c r="GU59" s="124"/>
      <c r="GV59" s="124"/>
      <c r="GW59" s="124"/>
      <c r="GX59" s="298"/>
      <c r="GY59" s="297"/>
      <c r="GZ59" s="299"/>
      <c r="HA59" s="121"/>
      <c r="HB59" s="124"/>
      <c r="HC59" s="124"/>
      <c r="HD59" s="124"/>
      <c r="HE59" s="124"/>
      <c r="HF59" s="298"/>
      <c r="HG59" s="297"/>
      <c r="HH59" s="299"/>
      <c r="HI59" s="121"/>
      <c r="HJ59" s="124"/>
      <c r="HK59" s="124"/>
      <c r="HL59" s="124"/>
      <c r="HM59" s="124"/>
      <c r="HN59" s="298"/>
      <c r="HO59" s="297"/>
      <c r="HP59" s="299"/>
      <c r="HQ59" s="121"/>
      <c r="HR59" s="124"/>
      <c r="HS59" s="124"/>
      <c r="HT59" s="124"/>
      <c r="HU59" s="124"/>
      <c r="HV59" s="298"/>
      <c r="HW59" s="297"/>
      <c r="HX59" s="299"/>
      <c r="HY59" s="121"/>
      <c r="HZ59" s="124"/>
      <c r="IA59" s="124"/>
      <c r="IB59" s="124"/>
      <c r="IC59" s="124"/>
      <c r="ID59" s="298"/>
      <c r="IE59" s="297"/>
      <c r="IF59" s="299"/>
      <c r="IG59" s="121"/>
      <c r="IH59" s="124"/>
      <c r="II59" s="124"/>
      <c r="IJ59" s="124"/>
      <c r="IK59" s="124"/>
      <c r="IL59" s="298"/>
      <c r="IM59" s="297"/>
      <c r="IN59" s="299"/>
      <c r="IO59" s="121"/>
      <c r="IP59" s="124"/>
      <c r="IQ59" s="124"/>
      <c r="IR59" s="124"/>
      <c r="IS59" s="124"/>
      <c r="IT59" s="298"/>
      <c r="IU59" s="297"/>
      <c r="IV59" s="299"/>
    </row>
    <row r="60" spans="1:256" s="300" customFormat="1" ht="13.8" thickBot="1">
      <c r="A60" s="279" t="s">
        <v>194</v>
      </c>
      <c r="B60" s="280"/>
      <c r="C60" s="280"/>
      <c r="D60" s="280"/>
      <c r="E60" s="281"/>
      <c r="F60" s="307">
        <v>0</v>
      </c>
      <c r="G60" s="335"/>
      <c r="H60" s="336"/>
      <c r="I60" s="124"/>
      <c r="J60" s="122"/>
      <c r="K60" s="122"/>
      <c r="L60" s="122"/>
      <c r="M60" s="297"/>
      <c r="N60" s="299"/>
      <c r="O60" s="297"/>
      <c r="P60" s="299"/>
      <c r="Q60" s="124"/>
      <c r="R60" s="122"/>
      <c r="S60" s="122"/>
      <c r="T60" s="122"/>
      <c r="U60" s="297"/>
      <c r="V60" s="299"/>
      <c r="W60" s="297"/>
      <c r="X60" s="299"/>
      <c r="Y60" s="124"/>
      <c r="Z60" s="122"/>
      <c r="AA60" s="122"/>
      <c r="AB60" s="122"/>
      <c r="AC60" s="297"/>
      <c r="AD60" s="299"/>
      <c r="AE60" s="297"/>
      <c r="AF60" s="299"/>
      <c r="AG60" s="124"/>
      <c r="AH60" s="122"/>
      <c r="AI60" s="122"/>
      <c r="AJ60" s="122"/>
      <c r="AK60" s="297"/>
      <c r="AL60" s="299"/>
      <c r="AM60" s="297"/>
      <c r="AN60" s="299"/>
      <c r="AO60" s="124"/>
      <c r="AP60" s="122"/>
      <c r="AQ60" s="122"/>
      <c r="AR60" s="122"/>
      <c r="AS60" s="297"/>
      <c r="AT60" s="299"/>
      <c r="AU60" s="297"/>
      <c r="AV60" s="299"/>
      <c r="AW60" s="124"/>
      <c r="AX60" s="122"/>
      <c r="AY60" s="122"/>
      <c r="AZ60" s="122"/>
      <c r="BA60" s="297"/>
      <c r="BB60" s="299"/>
      <c r="BC60" s="297"/>
      <c r="BD60" s="299"/>
      <c r="BE60" s="124"/>
      <c r="BF60" s="122"/>
      <c r="BG60" s="122"/>
      <c r="BH60" s="122"/>
      <c r="BI60" s="297"/>
      <c r="BJ60" s="299"/>
      <c r="BK60" s="297"/>
      <c r="BL60" s="299"/>
      <c r="BM60" s="124"/>
      <c r="BN60" s="122"/>
      <c r="BO60" s="122"/>
      <c r="BP60" s="122"/>
      <c r="BQ60" s="297"/>
      <c r="BR60" s="299"/>
      <c r="BS60" s="297"/>
      <c r="BT60" s="299"/>
      <c r="BU60" s="124"/>
      <c r="BV60" s="122"/>
      <c r="BW60" s="122"/>
      <c r="BX60" s="122"/>
      <c r="BY60" s="297"/>
      <c r="BZ60" s="299"/>
      <c r="CA60" s="297"/>
      <c r="CB60" s="299"/>
      <c r="CC60" s="124"/>
      <c r="CD60" s="122"/>
      <c r="CE60" s="122"/>
      <c r="CF60" s="122"/>
      <c r="CG60" s="297"/>
      <c r="CH60" s="299"/>
      <c r="CI60" s="297"/>
      <c r="CJ60" s="299"/>
      <c r="CK60" s="124"/>
      <c r="CL60" s="122"/>
      <c r="CM60" s="122"/>
      <c r="CN60" s="122"/>
      <c r="CO60" s="297"/>
      <c r="CP60" s="299"/>
      <c r="CQ60" s="297"/>
      <c r="CR60" s="299"/>
      <c r="CS60" s="124"/>
      <c r="CT60" s="122"/>
      <c r="CU60" s="122"/>
      <c r="CV60" s="122"/>
      <c r="CW60" s="297"/>
      <c r="CX60" s="299"/>
      <c r="CY60" s="297"/>
      <c r="CZ60" s="299"/>
      <c r="DA60" s="124"/>
      <c r="DB60" s="122"/>
      <c r="DC60" s="122"/>
      <c r="DD60" s="122"/>
      <c r="DE60" s="297"/>
      <c r="DF60" s="299"/>
      <c r="DG60" s="297"/>
      <c r="DH60" s="299"/>
      <c r="DI60" s="124"/>
      <c r="DJ60" s="122"/>
      <c r="DK60" s="122"/>
      <c r="DL60" s="122"/>
      <c r="DM60" s="297"/>
      <c r="DN60" s="299"/>
      <c r="DO60" s="297"/>
      <c r="DP60" s="299"/>
      <c r="DQ60" s="124"/>
      <c r="DR60" s="122"/>
      <c r="DS60" s="122"/>
      <c r="DT60" s="122"/>
      <c r="DU60" s="297"/>
      <c r="DV60" s="299"/>
      <c r="DW60" s="297"/>
      <c r="DX60" s="299"/>
      <c r="DY60" s="124"/>
      <c r="DZ60" s="122"/>
      <c r="EA60" s="122"/>
      <c r="EB60" s="122"/>
      <c r="EC60" s="297"/>
      <c r="ED60" s="299"/>
      <c r="EE60" s="297"/>
      <c r="EF60" s="299"/>
      <c r="EG60" s="124"/>
      <c r="EH60" s="122"/>
      <c r="EI60" s="122"/>
      <c r="EJ60" s="122"/>
      <c r="EK60" s="297"/>
      <c r="EL60" s="299"/>
      <c r="EM60" s="297"/>
      <c r="EN60" s="299"/>
      <c r="EO60" s="124"/>
      <c r="EP60" s="122"/>
      <c r="EQ60" s="122"/>
      <c r="ER60" s="122"/>
      <c r="ES60" s="297"/>
      <c r="ET60" s="299"/>
      <c r="EU60" s="297"/>
      <c r="EV60" s="299"/>
      <c r="EW60" s="124"/>
      <c r="EX60" s="122"/>
      <c r="EY60" s="122"/>
      <c r="EZ60" s="122"/>
      <c r="FA60" s="297"/>
      <c r="FB60" s="299"/>
      <c r="FC60" s="297"/>
      <c r="FD60" s="299"/>
      <c r="FE60" s="124"/>
      <c r="FF60" s="122"/>
      <c r="FG60" s="122"/>
      <c r="FH60" s="122"/>
      <c r="FI60" s="297"/>
      <c r="FJ60" s="299"/>
      <c r="FK60" s="297"/>
      <c r="FL60" s="299"/>
      <c r="FM60" s="124"/>
      <c r="FN60" s="122"/>
      <c r="FO60" s="122"/>
      <c r="FP60" s="122"/>
      <c r="FQ60" s="297"/>
      <c r="FR60" s="299"/>
      <c r="FS60" s="297"/>
      <c r="FT60" s="299"/>
      <c r="FU60" s="124"/>
      <c r="FV60" s="122"/>
      <c r="FW60" s="122"/>
      <c r="FX60" s="122"/>
      <c r="FY60" s="297"/>
      <c r="FZ60" s="299"/>
      <c r="GA60" s="297"/>
      <c r="GB60" s="299"/>
      <c r="GC60" s="124"/>
      <c r="GD60" s="122"/>
      <c r="GE60" s="122"/>
      <c r="GF60" s="122"/>
      <c r="GG60" s="297"/>
      <c r="GH60" s="299"/>
      <c r="GI60" s="297"/>
      <c r="GJ60" s="299"/>
      <c r="GK60" s="124"/>
      <c r="GL60" s="122"/>
      <c r="GM60" s="122"/>
      <c r="GN60" s="122"/>
      <c r="GO60" s="297"/>
      <c r="GP60" s="299"/>
      <c r="GQ60" s="297"/>
      <c r="GR60" s="299"/>
      <c r="GS60" s="124"/>
      <c r="GT60" s="122"/>
      <c r="GU60" s="122"/>
      <c r="GV60" s="122"/>
      <c r="GW60" s="297"/>
      <c r="GX60" s="299"/>
      <c r="GY60" s="297"/>
      <c r="GZ60" s="299"/>
      <c r="HA60" s="124"/>
      <c r="HB60" s="122"/>
      <c r="HC60" s="122"/>
      <c r="HD60" s="122"/>
      <c r="HE60" s="297"/>
      <c r="HF60" s="299"/>
      <c r="HG60" s="297"/>
      <c r="HH60" s="299"/>
      <c r="HI60" s="124"/>
      <c r="HJ60" s="122"/>
      <c r="HK60" s="122"/>
      <c r="HL60" s="122"/>
      <c r="HM60" s="297"/>
      <c r="HN60" s="299"/>
      <c r="HO60" s="297"/>
      <c r="HP60" s="299"/>
      <c r="HQ60" s="124"/>
      <c r="HR60" s="122"/>
      <c r="HS60" s="122"/>
      <c r="HT60" s="122"/>
      <c r="HU60" s="297"/>
      <c r="HV60" s="299"/>
      <c r="HW60" s="297"/>
      <c r="HX60" s="299"/>
      <c r="HY60" s="124"/>
      <c r="HZ60" s="122"/>
      <c r="IA60" s="122"/>
      <c r="IB60" s="122"/>
      <c r="IC60" s="297"/>
      <c r="ID60" s="299"/>
      <c r="IE60" s="297"/>
      <c r="IF60" s="299"/>
      <c r="IG60" s="124"/>
      <c r="IH60" s="122"/>
      <c r="II60" s="122"/>
      <c r="IJ60" s="122"/>
      <c r="IK60" s="297"/>
      <c r="IL60" s="299"/>
      <c r="IM60" s="297"/>
      <c r="IN60" s="299"/>
      <c r="IO60" s="124"/>
      <c r="IP60" s="122"/>
      <c r="IQ60" s="122"/>
      <c r="IR60" s="122"/>
      <c r="IS60" s="297"/>
      <c r="IT60" s="299"/>
      <c r="IU60" s="297"/>
      <c r="IV60" s="299"/>
    </row>
    <row r="61" spans="1:256" s="300" customFormat="1" ht="13.8" thickBot="1">
      <c r="A61" s="290" t="s">
        <v>196</v>
      </c>
      <c r="B61" s="280"/>
      <c r="C61" s="280"/>
      <c r="D61" s="280"/>
      <c r="E61" s="281"/>
      <c r="F61" s="307">
        <f>(H56+H46+H38+H35+H27+H19+H10)*0.24</f>
        <v>0</v>
      </c>
      <c r="G61" s="335"/>
      <c r="H61" s="336"/>
      <c r="I61" s="124"/>
      <c r="J61" s="122"/>
      <c r="K61" s="122"/>
      <c r="L61" s="122"/>
      <c r="M61" s="297"/>
      <c r="N61" s="299"/>
      <c r="O61" s="297"/>
      <c r="P61" s="299"/>
      <c r="Q61" s="124"/>
      <c r="R61" s="122"/>
      <c r="S61" s="122"/>
      <c r="T61" s="122"/>
      <c r="U61" s="297"/>
      <c r="V61" s="299"/>
      <c r="W61" s="297"/>
      <c r="X61" s="299"/>
      <c r="Y61" s="124"/>
      <c r="Z61" s="122"/>
      <c r="AA61" s="122"/>
      <c r="AB61" s="122"/>
      <c r="AC61" s="297"/>
      <c r="AD61" s="299"/>
      <c r="AE61" s="297"/>
      <c r="AF61" s="299"/>
      <c r="AG61" s="124"/>
      <c r="AH61" s="122"/>
      <c r="AI61" s="122"/>
      <c r="AJ61" s="122"/>
      <c r="AK61" s="297"/>
      <c r="AL61" s="299"/>
      <c r="AM61" s="297"/>
      <c r="AN61" s="299"/>
      <c r="AO61" s="124"/>
      <c r="AP61" s="122"/>
      <c r="AQ61" s="122"/>
      <c r="AR61" s="122"/>
      <c r="AS61" s="297"/>
      <c r="AT61" s="299"/>
      <c r="AU61" s="297"/>
      <c r="AV61" s="299"/>
      <c r="AW61" s="124"/>
      <c r="AX61" s="122"/>
      <c r="AY61" s="122"/>
      <c r="AZ61" s="122"/>
      <c r="BA61" s="297"/>
      <c r="BB61" s="299"/>
      <c r="BC61" s="297"/>
      <c r="BD61" s="299"/>
      <c r="BE61" s="124"/>
      <c r="BF61" s="122"/>
      <c r="BG61" s="122"/>
      <c r="BH61" s="122"/>
      <c r="BI61" s="297"/>
      <c r="BJ61" s="299"/>
      <c r="BK61" s="297"/>
      <c r="BL61" s="299"/>
      <c r="BM61" s="124"/>
      <c r="BN61" s="122"/>
      <c r="BO61" s="122"/>
      <c r="BP61" s="122"/>
      <c r="BQ61" s="297"/>
      <c r="BR61" s="299"/>
      <c r="BS61" s="297"/>
      <c r="BT61" s="299"/>
      <c r="BU61" s="124"/>
      <c r="BV61" s="122"/>
      <c r="BW61" s="122"/>
      <c r="BX61" s="122"/>
      <c r="BY61" s="297"/>
      <c r="BZ61" s="299"/>
      <c r="CA61" s="297"/>
      <c r="CB61" s="299"/>
      <c r="CC61" s="124"/>
      <c r="CD61" s="122"/>
      <c r="CE61" s="122"/>
      <c r="CF61" s="122"/>
      <c r="CG61" s="297"/>
      <c r="CH61" s="299"/>
      <c r="CI61" s="297"/>
      <c r="CJ61" s="299"/>
      <c r="CK61" s="124"/>
      <c r="CL61" s="122"/>
      <c r="CM61" s="122"/>
      <c r="CN61" s="122"/>
      <c r="CO61" s="297"/>
      <c r="CP61" s="299"/>
      <c r="CQ61" s="297"/>
      <c r="CR61" s="299"/>
      <c r="CS61" s="124"/>
      <c r="CT61" s="122"/>
      <c r="CU61" s="122"/>
      <c r="CV61" s="122"/>
      <c r="CW61" s="297"/>
      <c r="CX61" s="299"/>
      <c r="CY61" s="297"/>
      <c r="CZ61" s="299"/>
      <c r="DA61" s="124"/>
      <c r="DB61" s="122"/>
      <c r="DC61" s="122"/>
      <c r="DD61" s="122"/>
      <c r="DE61" s="297"/>
      <c r="DF61" s="299"/>
      <c r="DG61" s="297"/>
      <c r="DH61" s="299"/>
      <c r="DI61" s="124"/>
      <c r="DJ61" s="122"/>
      <c r="DK61" s="122"/>
      <c r="DL61" s="122"/>
      <c r="DM61" s="297"/>
      <c r="DN61" s="299"/>
      <c r="DO61" s="297"/>
      <c r="DP61" s="299"/>
      <c r="DQ61" s="124"/>
      <c r="DR61" s="122"/>
      <c r="DS61" s="122"/>
      <c r="DT61" s="122"/>
      <c r="DU61" s="297"/>
      <c r="DV61" s="299"/>
      <c r="DW61" s="297"/>
      <c r="DX61" s="299"/>
      <c r="DY61" s="124"/>
      <c r="DZ61" s="122"/>
      <c r="EA61" s="122"/>
      <c r="EB61" s="122"/>
      <c r="EC61" s="297"/>
      <c r="ED61" s="299"/>
      <c r="EE61" s="297"/>
      <c r="EF61" s="299"/>
      <c r="EG61" s="124"/>
      <c r="EH61" s="122"/>
      <c r="EI61" s="122"/>
      <c r="EJ61" s="122"/>
      <c r="EK61" s="297"/>
      <c r="EL61" s="299"/>
      <c r="EM61" s="297"/>
      <c r="EN61" s="299"/>
      <c r="EO61" s="124"/>
      <c r="EP61" s="122"/>
      <c r="EQ61" s="122"/>
      <c r="ER61" s="122"/>
      <c r="ES61" s="297"/>
      <c r="ET61" s="299"/>
      <c r="EU61" s="297"/>
      <c r="EV61" s="299"/>
      <c r="EW61" s="124"/>
      <c r="EX61" s="122"/>
      <c r="EY61" s="122"/>
      <c r="EZ61" s="122"/>
      <c r="FA61" s="297"/>
      <c r="FB61" s="299"/>
      <c r="FC61" s="297"/>
      <c r="FD61" s="299"/>
      <c r="FE61" s="124"/>
      <c r="FF61" s="122"/>
      <c r="FG61" s="122"/>
      <c r="FH61" s="122"/>
      <c r="FI61" s="297"/>
      <c r="FJ61" s="299"/>
      <c r="FK61" s="297"/>
      <c r="FL61" s="299"/>
      <c r="FM61" s="124"/>
      <c r="FN61" s="122"/>
      <c r="FO61" s="122"/>
      <c r="FP61" s="122"/>
      <c r="FQ61" s="297"/>
      <c r="FR61" s="299"/>
      <c r="FS61" s="297"/>
      <c r="FT61" s="299"/>
      <c r="FU61" s="124"/>
      <c r="FV61" s="122"/>
      <c r="FW61" s="122"/>
      <c r="FX61" s="122"/>
      <c r="FY61" s="297"/>
      <c r="FZ61" s="299"/>
      <c r="GA61" s="297"/>
      <c r="GB61" s="299"/>
      <c r="GC61" s="124"/>
      <c r="GD61" s="122"/>
      <c r="GE61" s="122"/>
      <c r="GF61" s="122"/>
      <c r="GG61" s="297"/>
      <c r="GH61" s="299"/>
      <c r="GI61" s="297"/>
      <c r="GJ61" s="299"/>
      <c r="GK61" s="124"/>
      <c r="GL61" s="122"/>
      <c r="GM61" s="122"/>
      <c r="GN61" s="122"/>
      <c r="GO61" s="297"/>
      <c r="GP61" s="299"/>
      <c r="GQ61" s="297"/>
      <c r="GR61" s="299"/>
      <c r="GS61" s="124"/>
      <c r="GT61" s="122"/>
      <c r="GU61" s="122"/>
      <c r="GV61" s="122"/>
      <c r="GW61" s="297"/>
      <c r="GX61" s="299"/>
      <c r="GY61" s="297"/>
      <c r="GZ61" s="299"/>
      <c r="HA61" s="124"/>
      <c r="HB61" s="122"/>
      <c r="HC61" s="122"/>
      <c r="HD61" s="122"/>
      <c r="HE61" s="297"/>
      <c r="HF61" s="299"/>
      <c r="HG61" s="297"/>
      <c r="HH61" s="299"/>
      <c r="HI61" s="124"/>
      <c r="HJ61" s="122"/>
      <c r="HK61" s="122"/>
      <c r="HL61" s="122"/>
      <c r="HM61" s="297"/>
      <c r="HN61" s="299"/>
      <c r="HO61" s="297"/>
      <c r="HP61" s="299"/>
      <c r="HQ61" s="124"/>
      <c r="HR61" s="122"/>
      <c r="HS61" s="122"/>
      <c r="HT61" s="122"/>
      <c r="HU61" s="297"/>
      <c r="HV61" s="299"/>
      <c r="HW61" s="297"/>
      <c r="HX61" s="299"/>
      <c r="HY61" s="124"/>
      <c r="HZ61" s="122"/>
      <c r="IA61" s="122"/>
      <c r="IB61" s="122"/>
      <c r="IC61" s="297"/>
      <c r="ID61" s="299"/>
      <c r="IE61" s="297"/>
      <c r="IF61" s="299"/>
      <c r="IG61" s="124"/>
      <c r="IH61" s="122"/>
      <c r="II61" s="122"/>
      <c r="IJ61" s="122"/>
      <c r="IK61" s="297"/>
      <c r="IL61" s="299"/>
      <c r="IM61" s="297"/>
      <c r="IN61" s="299"/>
      <c r="IO61" s="124"/>
      <c r="IP61" s="122"/>
      <c r="IQ61" s="122"/>
      <c r="IR61" s="122"/>
      <c r="IS61" s="297"/>
      <c r="IT61" s="299"/>
      <c r="IU61" s="297"/>
      <c r="IV61" s="299"/>
    </row>
    <row r="62" spans="1:256" s="300" customFormat="1" ht="13.8" thickBot="1">
      <c r="A62" s="290" t="s">
        <v>195</v>
      </c>
      <c r="B62" s="280"/>
      <c r="C62" s="280"/>
      <c r="D62" s="280"/>
      <c r="E62" s="281"/>
      <c r="F62" s="307">
        <f>(H56+H46+H38+H27+H19+H10)* 0.33</f>
        <v>0</v>
      </c>
      <c r="G62" s="335"/>
      <c r="H62" s="336"/>
      <c r="I62" s="124"/>
      <c r="J62" s="122"/>
      <c r="K62" s="122"/>
      <c r="L62" s="122"/>
      <c r="M62" s="297"/>
      <c r="N62" s="299"/>
      <c r="O62" s="297"/>
      <c r="P62" s="299"/>
      <c r="Q62" s="124"/>
      <c r="R62" s="122"/>
      <c r="S62" s="122"/>
      <c r="T62" s="122"/>
      <c r="U62" s="297"/>
      <c r="V62" s="299"/>
      <c r="W62" s="297"/>
      <c r="X62" s="299"/>
      <c r="Y62" s="124"/>
      <c r="Z62" s="122"/>
      <c r="AA62" s="122"/>
      <c r="AB62" s="122"/>
      <c r="AC62" s="297"/>
      <c r="AD62" s="299"/>
      <c r="AE62" s="297"/>
      <c r="AF62" s="299"/>
      <c r="AG62" s="124"/>
      <c r="AH62" s="122"/>
      <c r="AI62" s="122"/>
      <c r="AJ62" s="122"/>
      <c r="AK62" s="297"/>
      <c r="AL62" s="299"/>
      <c r="AM62" s="297"/>
      <c r="AN62" s="299"/>
      <c r="AO62" s="124"/>
      <c r="AP62" s="122"/>
      <c r="AQ62" s="122"/>
      <c r="AR62" s="122"/>
      <c r="AS62" s="297"/>
      <c r="AT62" s="299"/>
      <c r="AU62" s="297"/>
      <c r="AV62" s="299"/>
      <c r="AW62" s="124"/>
      <c r="AX62" s="122"/>
      <c r="AY62" s="122"/>
      <c r="AZ62" s="122"/>
      <c r="BA62" s="297"/>
      <c r="BB62" s="299"/>
      <c r="BC62" s="297"/>
      <c r="BD62" s="299"/>
      <c r="BE62" s="124"/>
      <c r="BF62" s="122"/>
      <c r="BG62" s="122"/>
      <c r="BH62" s="122"/>
      <c r="BI62" s="297"/>
      <c r="BJ62" s="299"/>
      <c r="BK62" s="297"/>
      <c r="BL62" s="299"/>
      <c r="BM62" s="124"/>
      <c r="BN62" s="122"/>
      <c r="BO62" s="122"/>
      <c r="BP62" s="122"/>
      <c r="BQ62" s="297"/>
      <c r="BR62" s="299"/>
      <c r="BS62" s="297"/>
      <c r="BT62" s="299"/>
      <c r="BU62" s="124"/>
      <c r="BV62" s="122"/>
      <c r="BW62" s="122"/>
      <c r="BX62" s="122"/>
      <c r="BY62" s="297"/>
      <c r="BZ62" s="299"/>
      <c r="CA62" s="297"/>
      <c r="CB62" s="299"/>
      <c r="CC62" s="124"/>
      <c r="CD62" s="122"/>
      <c r="CE62" s="122"/>
      <c r="CF62" s="122"/>
      <c r="CG62" s="297"/>
      <c r="CH62" s="299"/>
      <c r="CI62" s="297"/>
      <c r="CJ62" s="299"/>
      <c r="CK62" s="124"/>
      <c r="CL62" s="122"/>
      <c r="CM62" s="122"/>
      <c r="CN62" s="122"/>
      <c r="CO62" s="297"/>
      <c r="CP62" s="299"/>
      <c r="CQ62" s="297"/>
      <c r="CR62" s="299"/>
      <c r="CS62" s="124"/>
      <c r="CT62" s="122"/>
      <c r="CU62" s="122"/>
      <c r="CV62" s="122"/>
      <c r="CW62" s="297"/>
      <c r="CX62" s="299"/>
      <c r="CY62" s="297"/>
      <c r="CZ62" s="299"/>
      <c r="DA62" s="124"/>
      <c r="DB62" s="122"/>
      <c r="DC62" s="122"/>
      <c r="DD62" s="122"/>
      <c r="DE62" s="297"/>
      <c r="DF62" s="299"/>
      <c r="DG62" s="297"/>
      <c r="DH62" s="299"/>
      <c r="DI62" s="124"/>
      <c r="DJ62" s="122"/>
      <c r="DK62" s="122"/>
      <c r="DL62" s="122"/>
      <c r="DM62" s="297"/>
      <c r="DN62" s="299"/>
      <c r="DO62" s="297"/>
      <c r="DP62" s="299"/>
      <c r="DQ62" s="124"/>
      <c r="DR62" s="122"/>
      <c r="DS62" s="122"/>
      <c r="DT62" s="122"/>
      <c r="DU62" s="297"/>
      <c r="DV62" s="299"/>
      <c r="DW62" s="297"/>
      <c r="DX62" s="299"/>
      <c r="DY62" s="124"/>
      <c r="DZ62" s="122"/>
      <c r="EA62" s="122"/>
      <c r="EB62" s="122"/>
      <c r="EC62" s="297"/>
      <c r="ED62" s="299"/>
      <c r="EE62" s="297"/>
      <c r="EF62" s="299"/>
      <c r="EG62" s="124"/>
      <c r="EH62" s="122"/>
      <c r="EI62" s="122"/>
      <c r="EJ62" s="122"/>
      <c r="EK62" s="297"/>
      <c r="EL62" s="299"/>
      <c r="EM62" s="297"/>
      <c r="EN62" s="299"/>
      <c r="EO62" s="124"/>
      <c r="EP62" s="122"/>
      <c r="EQ62" s="122"/>
      <c r="ER62" s="122"/>
      <c r="ES62" s="297"/>
      <c r="ET62" s="299"/>
      <c r="EU62" s="297"/>
      <c r="EV62" s="299"/>
      <c r="EW62" s="124"/>
      <c r="EX62" s="122"/>
      <c r="EY62" s="122"/>
      <c r="EZ62" s="122"/>
      <c r="FA62" s="297"/>
      <c r="FB62" s="299"/>
      <c r="FC62" s="297"/>
      <c r="FD62" s="299"/>
      <c r="FE62" s="124"/>
      <c r="FF62" s="122"/>
      <c r="FG62" s="122"/>
      <c r="FH62" s="122"/>
      <c r="FI62" s="297"/>
      <c r="FJ62" s="299"/>
      <c r="FK62" s="297"/>
      <c r="FL62" s="299"/>
      <c r="FM62" s="124"/>
      <c r="FN62" s="122"/>
      <c r="FO62" s="122"/>
      <c r="FP62" s="122"/>
      <c r="FQ62" s="297"/>
      <c r="FR62" s="299"/>
      <c r="FS62" s="297"/>
      <c r="FT62" s="299"/>
      <c r="FU62" s="124"/>
      <c r="FV62" s="122"/>
      <c r="FW62" s="122"/>
      <c r="FX62" s="122"/>
      <c r="FY62" s="297"/>
      <c r="FZ62" s="299"/>
      <c r="GA62" s="297"/>
      <c r="GB62" s="299"/>
      <c r="GC62" s="124"/>
      <c r="GD62" s="122"/>
      <c r="GE62" s="122"/>
      <c r="GF62" s="122"/>
      <c r="GG62" s="297"/>
      <c r="GH62" s="299"/>
      <c r="GI62" s="297"/>
      <c r="GJ62" s="299"/>
      <c r="GK62" s="124"/>
      <c r="GL62" s="122"/>
      <c r="GM62" s="122"/>
      <c r="GN62" s="122"/>
      <c r="GO62" s="297"/>
      <c r="GP62" s="299"/>
      <c r="GQ62" s="297"/>
      <c r="GR62" s="299"/>
      <c r="GS62" s="124"/>
      <c r="GT62" s="122"/>
      <c r="GU62" s="122"/>
      <c r="GV62" s="122"/>
      <c r="GW62" s="297"/>
      <c r="GX62" s="299"/>
      <c r="GY62" s="297"/>
      <c r="GZ62" s="299"/>
      <c r="HA62" s="124"/>
      <c r="HB62" s="122"/>
      <c r="HC62" s="122"/>
      <c r="HD62" s="122"/>
      <c r="HE62" s="297"/>
      <c r="HF62" s="299"/>
      <c r="HG62" s="297"/>
      <c r="HH62" s="299"/>
      <c r="HI62" s="124"/>
      <c r="HJ62" s="122"/>
      <c r="HK62" s="122"/>
      <c r="HL62" s="122"/>
      <c r="HM62" s="297"/>
      <c r="HN62" s="299"/>
      <c r="HO62" s="297"/>
      <c r="HP62" s="299"/>
      <c r="HQ62" s="124"/>
      <c r="HR62" s="122"/>
      <c r="HS62" s="122"/>
      <c r="HT62" s="122"/>
      <c r="HU62" s="297"/>
      <c r="HV62" s="299"/>
      <c r="HW62" s="297"/>
      <c r="HX62" s="299"/>
      <c r="HY62" s="124"/>
      <c r="HZ62" s="122"/>
      <c r="IA62" s="122"/>
      <c r="IB62" s="122"/>
      <c r="IC62" s="297"/>
      <c r="ID62" s="299"/>
      <c r="IE62" s="297"/>
      <c r="IF62" s="299"/>
      <c r="IG62" s="124"/>
      <c r="IH62" s="122"/>
      <c r="II62" s="122"/>
      <c r="IJ62" s="122"/>
      <c r="IK62" s="297"/>
      <c r="IL62" s="299"/>
      <c r="IM62" s="297"/>
      <c r="IN62" s="299"/>
      <c r="IO62" s="124"/>
      <c r="IP62" s="122"/>
      <c r="IQ62" s="122"/>
      <c r="IR62" s="122"/>
      <c r="IS62" s="297"/>
      <c r="IT62" s="299"/>
      <c r="IU62" s="297"/>
      <c r="IV62" s="299"/>
    </row>
    <row r="63" spans="1:256" s="300" customFormat="1">
      <c r="A63" s="291"/>
      <c r="B63" s="291"/>
      <c r="C63" s="291"/>
      <c r="D63" s="291"/>
      <c r="E63" s="291"/>
      <c r="F63" s="291"/>
      <c r="G63" s="291"/>
      <c r="H63" s="291"/>
    </row>
    <row r="64" spans="1:256" ht="13.8" thickBot="1">
      <c r="A64" s="279"/>
      <c r="B64" s="280"/>
      <c r="C64" s="280"/>
      <c r="D64" s="280"/>
      <c r="E64" s="281"/>
      <c r="F64" s="295"/>
      <c r="G64" s="281"/>
      <c r="H64" s="296"/>
    </row>
    <row r="65" spans="1:8" ht="13.8" thickBot="1">
      <c r="A65" s="80" t="s">
        <v>35</v>
      </c>
      <c r="B65" s="80"/>
      <c r="C65" s="80"/>
      <c r="D65" s="80"/>
      <c r="E65" s="80"/>
      <c r="F65" s="81">
        <f>SUM(F3:F9,F12:F18,F21:F26,F29:F34,F37,F40:F45,F49:F55)</f>
        <v>0</v>
      </c>
      <c r="G65" s="80"/>
      <c r="H65" s="195">
        <f>SUM(H3:H9,H12:H18,H21:H26,H29:H34,H37,H40:H45,H49:H55,H60:H62)</f>
        <v>0</v>
      </c>
    </row>
    <row r="66" spans="1:8">
      <c r="A66" s="73"/>
      <c r="B66" s="73"/>
      <c r="C66" s="73"/>
      <c r="D66" s="73"/>
      <c r="E66" s="73"/>
      <c r="F66" s="73"/>
      <c r="G66" s="73"/>
      <c r="H66" s="73"/>
    </row>
    <row r="67" spans="1:8">
      <c r="A67" s="73"/>
      <c r="B67" s="73"/>
      <c r="C67" s="73"/>
      <c r="D67" s="73"/>
      <c r="E67" s="73"/>
      <c r="F67" s="73"/>
      <c r="G67" s="73"/>
      <c r="H67" s="73"/>
    </row>
    <row r="68" spans="1:8">
      <c r="A68" s="73"/>
      <c r="B68" s="73"/>
      <c r="C68" s="73"/>
      <c r="D68" s="73"/>
      <c r="E68" s="73"/>
      <c r="F68" s="73"/>
      <c r="G68" s="73"/>
      <c r="H68" s="73"/>
    </row>
    <row r="69" spans="1:8">
      <c r="A69" s="73"/>
      <c r="B69" s="73"/>
      <c r="C69" s="73"/>
      <c r="D69" s="73"/>
      <c r="E69" s="73"/>
      <c r="F69" s="73"/>
      <c r="G69" s="73"/>
      <c r="H69" s="73"/>
    </row>
    <row r="70" spans="1:8">
      <c r="A70" s="73"/>
      <c r="B70" s="73"/>
      <c r="C70" s="73"/>
      <c r="D70" s="73"/>
      <c r="E70" s="73"/>
      <c r="F70" s="73"/>
      <c r="G70" s="73"/>
      <c r="H70" s="73"/>
    </row>
    <row r="71" spans="1:8">
      <c r="A71" s="73"/>
      <c r="B71" s="73"/>
      <c r="C71" s="73"/>
      <c r="D71" s="73"/>
      <c r="E71" s="73"/>
      <c r="F71" s="73"/>
      <c r="G71" s="73"/>
      <c r="H71" s="73"/>
    </row>
    <row r="72" spans="1:8">
      <c r="A72" s="73"/>
      <c r="B72" s="73"/>
      <c r="C72" s="73"/>
      <c r="D72" s="73"/>
      <c r="E72" s="73"/>
      <c r="F72" s="73"/>
      <c r="G72" s="73"/>
      <c r="H72" s="73"/>
    </row>
    <row r="73" spans="1:8">
      <c r="A73" s="73"/>
      <c r="B73" s="73"/>
      <c r="C73" s="73"/>
      <c r="D73" s="73"/>
      <c r="E73" s="73"/>
      <c r="F73" s="73"/>
      <c r="G73" s="73"/>
      <c r="H73" s="73"/>
    </row>
    <row r="74" spans="1:8">
      <c r="A74" s="73"/>
      <c r="B74" s="73"/>
      <c r="C74" s="73"/>
      <c r="D74" s="73"/>
      <c r="E74" s="73"/>
      <c r="F74" s="73"/>
      <c r="G74" s="73"/>
      <c r="H74" s="73"/>
    </row>
    <row r="75" spans="1:8">
      <c r="A75" s="73"/>
      <c r="B75" s="73"/>
      <c r="C75" s="73"/>
      <c r="D75" s="73"/>
      <c r="E75" s="73"/>
      <c r="F75" s="73"/>
      <c r="G75" s="73"/>
      <c r="H75" s="73"/>
    </row>
    <row r="76" spans="1:8">
      <c r="A76" s="73"/>
      <c r="B76" s="73"/>
      <c r="C76" s="73"/>
      <c r="D76" s="73"/>
      <c r="E76" s="73"/>
      <c r="F76" s="73"/>
      <c r="G76" s="73"/>
      <c r="H76" s="73"/>
    </row>
  </sheetData>
  <sheetProtection sheet="1" objects="1" scenarios="1" selectLockedCells="1"/>
  <mergeCells count="32">
    <mergeCell ref="IO58:IS58"/>
    <mergeCell ref="GK58:GO58"/>
    <mergeCell ref="GS58:GW58"/>
    <mergeCell ref="HA58:HE58"/>
    <mergeCell ref="HI58:HM58"/>
    <mergeCell ref="HQ58:HU58"/>
    <mergeCell ref="HY58:IC58"/>
    <mergeCell ref="IG58:IK58"/>
    <mergeCell ref="FU58:FY58"/>
    <mergeCell ref="GC58:GG58"/>
    <mergeCell ref="CS58:CW58"/>
    <mergeCell ref="DA58:DE58"/>
    <mergeCell ref="DI58:DM58"/>
    <mergeCell ref="DQ58:DU58"/>
    <mergeCell ref="DY58:EC58"/>
    <mergeCell ref="EG58:EK58"/>
    <mergeCell ref="EO58:ES58"/>
    <mergeCell ref="EW58:FA58"/>
    <mergeCell ref="FE58:FI58"/>
    <mergeCell ref="FM58:FQ58"/>
    <mergeCell ref="CK58:CO58"/>
    <mergeCell ref="AW58:BA58"/>
    <mergeCell ref="BE58:BI58"/>
    <mergeCell ref="A58:E58"/>
    <mergeCell ref="I58:M58"/>
    <mergeCell ref="Q58:U58"/>
    <mergeCell ref="Y58:AC58"/>
    <mergeCell ref="AG58:AK58"/>
    <mergeCell ref="AO58:AS58"/>
    <mergeCell ref="BM58:BQ58"/>
    <mergeCell ref="BU58:BY58"/>
    <mergeCell ref="CC58:CG58"/>
  </mergeCells>
  <phoneticPr fontId="40" type="noConversion"/>
  <printOptions horizontalCentered="1" headings="1" gridLines="1" gridLinesSet="0"/>
  <pageMargins left="0" right="0" top="0" bottom="0" header="0" footer="0"/>
  <pageSetup scale="91" orientation="portrait" blackAndWhite="1" horizontalDpi="300" verticalDpi="300" r:id="rId1"/>
  <headerFooter alignWithMargins="0"/>
  <rowBreaks count="1" manualBreakCount="1">
    <brk id="27" max="7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5432DBC3730A43B2C01A2B7A6E810B" ma:contentTypeVersion="13" ma:contentTypeDescription="Create a new document." ma:contentTypeScope="" ma:versionID="072fa34274356beeab2907ea51b9b5e9">
  <xsd:schema xmlns:xsd="http://www.w3.org/2001/XMLSchema" xmlns:xs="http://www.w3.org/2001/XMLSchema" xmlns:p="http://schemas.microsoft.com/office/2006/metadata/properties" xmlns:ns3="aaff1c7c-814e-4e31-b710-7f52ad153731" xmlns:ns4="665bac25-9bbe-41e2-b48c-766794cb8b55" targetNamespace="http://schemas.microsoft.com/office/2006/metadata/properties" ma:root="true" ma:fieldsID="ddca9be73d131b1bd03135f2748b97ef" ns3:_="" ns4:_="">
    <xsd:import namespace="aaff1c7c-814e-4e31-b710-7f52ad153731"/>
    <xsd:import namespace="665bac25-9bbe-41e2-b48c-766794cb8b5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ff1c7c-814e-4e31-b710-7f52ad15373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5bac25-9bbe-41e2-b48c-766794cb8b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2CE90BE-6478-47CE-AEF1-16A2E17628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ff1c7c-814e-4e31-b710-7f52ad153731"/>
    <ds:schemaRef ds:uri="665bac25-9bbe-41e2-b48c-766794cb8b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4BBE646-AED3-4454-9E3F-C450CB9EB97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91AA0C9-9C02-4434-8D13-A831C3268632}">
  <ds:schemaRefs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aaff1c7c-814e-4e31-b710-7f52ad153731"/>
    <ds:schemaRef ds:uri="http://schemas.openxmlformats.org/package/2006/metadata/core-properties"/>
    <ds:schemaRef ds:uri="665bac25-9bbe-41e2-b48c-766794cb8b55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33</vt:i4>
      </vt:variant>
    </vt:vector>
  </HeadingPairs>
  <TitlesOfParts>
    <vt:vector size="46" baseType="lpstr">
      <vt:lpstr>ADMINISTRATION</vt:lpstr>
      <vt:lpstr>SUMMARY</vt:lpstr>
      <vt:lpstr>MainForm</vt:lpstr>
      <vt:lpstr>GeneralConditions</vt:lpstr>
      <vt:lpstr>ReferPipe</vt:lpstr>
      <vt:lpstr>Assemblies</vt:lpstr>
      <vt:lpstr>CntrlAssembly</vt:lpstr>
      <vt:lpstr>BLACK_GAS_PIPE</vt:lpstr>
      <vt:lpstr>GALV_GAS_PIPE</vt:lpstr>
      <vt:lpstr>COPPER_WATER_PIPE</vt:lpstr>
      <vt:lpstr>SOV Worksheet (2)</vt:lpstr>
      <vt:lpstr>PRICING_SHEETS</vt:lpstr>
      <vt:lpstr>Budget</vt:lpstr>
      <vt:lpstr>BIMHrs</vt:lpstr>
      <vt:lpstr>BTDetAlt1</vt:lpstr>
      <vt:lpstr>BTDetAlt2</vt:lpstr>
      <vt:lpstr>BTDetAlt3</vt:lpstr>
      <vt:lpstr>BTDetAlt4</vt:lpstr>
      <vt:lpstr>BTDetHrs</vt:lpstr>
      <vt:lpstr>BThrs</vt:lpstr>
      <vt:lpstr>BTRate</vt:lpstr>
      <vt:lpstr>DetHrs</vt:lpstr>
      <vt:lpstr>GCBT</vt:lpstr>
      <vt:lpstr>GCcost</vt:lpstr>
      <vt:lpstr>GCLC</vt:lpstr>
      <vt:lpstr>GP</vt:lpstr>
      <vt:lpstr>LCDetAlt1</vt:lpstr>
      <vt:lpstr>LCDetAlt2</vt:lpstr>
      <vt:lpstr>LCDetAlt3</vt:lpstr>
      <vt:lpstr>LCDetAlt4</vt:lpstr>
      <vt:lpstr>LCDetHrs</vt:lpstr>
      <vt:lpstr>LCHrs</vt:lpstr>
      <vt:lpstr>LCRate</vt:lpstr>
      <vt:lpstr>PermitCost</vt:lpstr>
      <vt:lpstr>PermitRatio</vt:lpstr>
      <vt:lpstr>BLACK_GAS_PIPE!Print_Area</vt:lpstr>
      <vt:lpstr>Budget!Print_Area</vt:lpstr>
      <vt:lpstr>COPPER_WATER_PIPE!Print_Area</vt:lpstr>
      <vt:lpstr>GALV_GAS_PIPE!Print_Area</vt:lpstr>
      <vt:lpstr>PRICING_SHEETS!Print_Area</vt:lpstr>
      <vt:lpstr>ReferPipe!Print_Area</vt:lpstr>
      <vt:lpstr>'SOV Worksheet (2)'!Print_Area</vt:lpstr>
      <vt:lpstr>SUMMARY!Print_Area</vt:lpstr>
      <vt:lpstr>Thrs</vt:lpstr>
      <vt:lpstr>TotCost</vt:lpstr>
      <vt:lpstr>Tothrs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Happe</dc:creator>
  <dc:description>V01 and added formula and controls to the admin page   6/3/09 - revised SOV to frontload and readjusted catagories</dc:description>
  <cp:lastModifiedBy>Noah Blankenship</cp:lastModifiedBy>
  <cp:lastPrinted>2019-10-16T16:44:14Z</cp:lastPrinted>
  <dcterms:created xsi:type="dcterms:W3CDTF">1998-03-28T15:15:47Z</dcterms:created>
  <dcterms:modified xsi:type="dcterms:W3CDTF">2020-06-07T22:26:41Z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0x0101005E5432DBC3730A43B2C01A2B7A6E810B</vt:lpwstr>
  </property>
</Properties>
</file>