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" sheetId="1" state="visible" r:id="rId2"/>
    <sheet name="pb" sheetId="2" state="visible" r:id="rId3"/>
    <sheet name="DADOS" sheetId="3" state="visible" r:id="rId4"/>
    <sheet name="ORÇAMENTO" sheetId="4" state="visible" r:id="rId5"/>
    <sheet name="Encadernação" sheetId="5" state="visible" r:id="rId6"/>
    <sheet name="CAUCULO DE IMPRESSÃO" sheetId="6" state="visible" r:id="rId7"/>
    <sheet name="Laminação" sheetId="7" state="visible" r:id="rId8"/>
    <sheet name="Papéis" sheetId="8" state="visible" r:id="rId9"/>
    <sheet name="Etiquetas" sheetId="9" state="visible" r:id="rId10"/>
    <sheet name="HP 7110 BULK" sheetId="10" state="visible" r:id="rId11"/>
    <sheet name="Espirais" sheetId="11" state="visible" r:id="rId12"/>
    <sheet name="Capas" sheetId="12" state="visible" r:id="rId13"/>
    <sheet name="Grampos" sheetId="13" state="visible" r:id="rId14"/>
  </sheets>
  <definedNames>
    <definedName function="false" hidden="true" localSheetId="9" name="_xlnm._FilterDatabase" vbProcedure="false">'HP 7110 BULK'!$N$5:$O$10</definedName>
    <definedName function="false" hidden="false" name="Cobertura" vbProcedure="false">cor!$B:$B</definedName>
    <definedName function="false" hidden="false" name="CUSTO" vbProcedure="false">'CAUCULO DE IMPRESSÃO'!$F:$F</definedName>
    <definedName function="false" hidden="false" name="gramatura" vbProcedure="false">Papéis!$B:$B</definedName>
    <definedName function="false" hidden="false" name="img_cor" vbProcedure="false">cor!$A$4</definedName>
    <definedName function="false" hidden="false" name="img_pb" vbProcedure="false">pb!$A$4</definedName>
    <definedName function="false" hidden="false" name="IMPRESSÕES" vbProcedure="false">'CAUCULO DE IMPRESSÃO'!$D:$D</definedName>
    <definedName function="false" hidden="false" name="LUCRO" vbProcedure="false">'CAUCULO DE IMPRESSÃO'!$J:$J</definedName>
    <definedName function="false" hidden="false" name="materialbase" vbProcedure="false">Papéis!$A:$A</definedName>
    <definedName function="false" hidden="false" name="papel" vbProcedure="false">'CAUCULO DE IMPRESSÃO'!$A:$A</definedName>
    <definedName function="false" hidden="false" name="preco_a3" vbProcedure="false">Papéis!$I:$I</definedName>
    <definedName function="false" hidden="false" name="preco_a4" vbProcedure="false">Papéis!$J:$J</definedName>
    <definedName function="false" hidden="false" name="preco_a5" vbProcedure="false">Papéis!$K:$K</definedName>
    <definedName function="false" hidden="false" name="preco_a6" vbProcedure="false">Papéis!$L:$L</definedName>
    <definedName function="false" hidden="false" name="print_a3" vbProcedure="false">cor!$C:$C</definedName>
    <definedName function="false" hidden="false" name="print_a3_PB" vbProcedure="false">pb!$C:$C</definedName>
    <definedName function="false" hidden="false" name="print_a4" vbProcedure="false">cor!$D:$D</definedName>
    <definedName function="false" hidden="false" name="print_a4_PB" vbProcedure="false">pb!$D:$D</definedName>
    <definedName function="false" hidden="false" name="SegmentaçãodeDados_Cor" vbProcedure="false">#N/A</definedName>
    <definedName function="false" hidden="false" name="SegmentaçãodeDados_Formato" vbProcedure="false">#N/A</definedName>
    <definedName function="false" hidden="false" name="SegmentaçãodeDados_Gram" vbProcedure="false">#N/A</definedName>
    <definedName function="false" hidden="false" name="SegmentaçãodeDados_Material_Base" vbProcedure="false">#N/A</definedName>
    <definedName function="false" hidden="false" name="SegmentaçãodeDados_QTDE_FOLHAS" vbProcedure="false">#N/A</definedName>
    <definedName function="false" hidden="false" name="tct_img_cor" vbProcedure="false">cor!$A$3</definedName>
    <definedName function="false" hidden="false" name="tinta" vbProcedure="false">'CAUCULO DE IMPRESSÃO'!$C:$C</definedName>
    <definedName function="false" hidden="false" name="tipo" vbProcedure="false">cor!$A:$A</definedName>
    <definedName function="false" hidden="false" name="tipo_pb" vbProcedure="false">pb!$A:$A</definedName>
    <definedName function="false" hidden="false" name="tipo_print" vbProcedure="false">cor!$A$1</definedName>
    <definedName function="false" hidden="false" name="tipo_print_pb" vbProcedure="false">pb!$A$1</definedName>
    <definedName function="false" hidden="false" name="txt_cor" vbProcedure="false">cor!$A$2</definedName>
    <definedName function="false" hidden="false" name="txt_img_pb" vbProcedure="false">pb!$A$3</definedName>
    <definedName function="false" hidden="false" name="txt_pb" vbProcedure="false">pb!$A$2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<sst xmlns="http://schemas.openxmlformats.org/spreadsheetml/2006/main" count="724" uniqueCount="250">
  <si>
    <t xml:space="preserve">tipo</t>
  </si>
  <si>
    <t xml:space="preserve">cobertura</t>
  </si>
  <si>
    <t xml:space="preserve">PRINT_A3</t>
  </si>
  <si>
    <t xml:space="preserve">PRINT_A4</t>
  </si>
  <si>
    <t xml:space="preserve">PRINT_A5</t>
  </si>
  <si>
    <t xml:space="preserve">PRINT_A6</t>
  </si>
  <si>
    <t xml:space="preserve">PRINT_A7</t>
  </si>
  <si>
    <t xml:space="preserve">PRINT_A8</t>
  </si>
  <si>
    <t xml:space="preserve">PRINT_A9</t>
  </si>
  <si>
    <t xml:space="preserve">PRINT_A10</t>
  </si>
  <si>
    <t xml:space="preserve">Calculadora de custo de impressão </t>
  </si>
  <si>
    <t xml:space="preserve">TXT_COR</t>
  </si>
  <si>
    <t xml:space="preserve">Foto</t>
  </si>
  <si>
    <t xml:space="preserve">TXT_IMG_COR</t>
  </si>
  <si>
    <t xml:space="preserve">Media Produção mensal em A4</t>
  </si>
  <si>
    <t xml:space="preserve">IMG_COR</t>
  </si>
  <si>
    <t xml:space="preserve">Descrição</t>
  </si>
  <si>
    <t xml:space="preserve">Venda Padrão</t>
  </si>
  <si>
    <t xml:space="preserve">Durabilidade (5%)</t>
  </si>
  <si>
    <t xml:space="preserve">Durabilidade </t>
  </si>
  <si>
    <t xml:space="preserve">Cpp</t>
  </si>
  <si>
    <t xml:space="preserve">Toner Preto </t>
  </si>
  <si>
    <t xml:space="preserve">Toner Cian</t>
  </si>
  <si>
    <t xml:space="preserve">Toner Magenta </t>
  </si>
  <si>
    <t xml:space="preserve">Toner Amarelo</t>
  </si>
  <si>
    <t xml:space="preserve">Cilindro Preto </t>
  </si>
  <si>
    <t xml:space="preserve">Cilindro Cian</t>
  </si>
  <si>
    <t xml:space="preserve">Cilindro Magenta </t>
  </si>
  <si>
    <t xml:space="preserve">Cilindro Amarelo</t>
  </si>
  <si>
    <t xml:space="preserve"> Reveladora Preto</t>
  </si>
  <si>
    <t xml:space="preserve">Reveladora Cian</t>
  </si>
  <si>
    <t xml:space="preserve">Reveladora Magenta</t>
  </si>
  <si>
    <t xml:space="preserve">Reveladora Amarelo</t>
  </si>
  <si>
    <t xml:space="preserve">Esteira transf ITB</t>
  </si>
  <si>
    <t xml:space="preserve">Dispenser</t>
  </si>
  <si>
    <t xml:space="preserve">Total</t>
  </si>
  <si>
    <t xml:space="preserve">Custo Mensal </t>
  </si>
  <si>
    <t xml:space="preserve">tipo_pb</t>
  </si>
  <si>
    <t xml:space="preserve">COBERTURA</t>
  </si>
  <si>
    <t xml:space="preserve">PRINT_A3_PB</t>
  </si>
  <si>
    <t xml:space="preserve">PRINT_A4_PB</t>
  </si>
  <si>
    <t xml:space="preserve">PRINT_A5_PB</t>
  </si>
  <si>
    <t xml:space="preserve">PRINT_A6_PB</t>
  </si>
  <si>
    <t xml:space="preserve">PRINT_A7_PB</t>
  </si>
  <si>
    <t xml:space="preserve">PRINT_A8_PB</t>
  </si>
  <si>
    <t xml:space="preserve">PRINT_A9_PB</t>
  </si>
  <si>
    <t xml:space="preserve">PRINT_A10_PB</t>
  </si>
  <si>
    <t xml:space="preserve">TXT_PB</t>
  </si>
  <si>
    <t xml:space="preserve">TXT_IMG_PB</t>
  </si>
  <si>
    <t xml:space="preserve">IMG_PB</t>
  </si>
  <si>
    <t xml:space="preserve">FORMULAS</t>
  </si>
  <si>
    <t xml:space="preserve">DESC_FORMULA</t>
  </si>
  <si>
    <t xml:space="preserve">Base</t>
  </si>
  <si>
    <t xml:space="preserve">GRAMATURAS</t>
  </si>
  <si>
    <t xml:space="preserve">COR_BASE</t>
  </si>
  <si>
    <t xml:space="preserve">FORMATOS</t>
  </si>
  <si>
    <t xml:space="preserve">QTDE_FLS</t>
  </si>
  <si>
    <t xml:space="preserve">FrVr</t>
  </si>
  <si>
    <t xml:space="preserve"> =SE([@[F/V]] = "SIM";(O3+('HP 7110 BULK'!O13*2))*[@IMPRESSÕES];(O3+'HP 7110 BULK'!O13)*[@IMPRESSÕES])</t>
  </si>
  <si>
    <t xml:space="preserve">Cálculo de print frente e verso</t>
  </si>
  <si>
    <t xml:space="preserve">Papel Fotográfico a prova d'água</t>
  </si>
  <si>
    <t xml:space="preserve">Branco</t>
  </si>
  <si>
    <t xml:space="preserve">A3+</t>
  </si>
  <si>
    <t xml:space="preserve">SIM</t>
  </si>
  <si>
    <t xml:space="preserve"> =(O3+'HP 7110 BULK'!O13)*[@IMPRESSÕES])</t>
  </si>
  <si>
    <t xml:space="preserve">cálculo de print frente</t>
  </si>
  <si>
    <t xml:space="preserve">Papel Fotográfico Adesivo Brilhante a prova d'água</t>
  </si>
  <si>
    <t xml:space="preserve">Alcalino</t>
  </si>
  <si>
    <t xml:space="preserve">A3</t>
  </si>
  <si>
    <t xml:space="preserve">NÃO</t>
  </si>
  <si>
    <t xml:space="preserve">=SE([@[F/V]] = "SIM";ARREDONDAR.PARA.CIMA(([@[R$ TINTA]]+([@PAPEL]/2));1);ARREDONDAR.PARA.CIMA(([@[R$ TINTA]]+[@PAPEL]);1))</t>
  </si>
  <si>
    <t xml:space="preserve">Cálculo de custo de impressão arredondado pra cima</t>
  </si>
  <si>
    <t xml:space="preserve">Papel Fotográfico Brilhante</t>
  </si>
  <si>
    <t xml:space="preserve">Amarelo</t>
  </si>
  <si>
    <t xml:space="preserve">A4</t>
  </si>
  <si>
    <t xml:space="preserve">Papel Fotográfico Brilhante a prova d'água</t>
  </si>
  <si>
    <t xml:space="preserve">Marfim</t>
  </si>
  <si>
    <t xml:space="preserve">A5</t>
  </si>
  <si>
    <t xml:space="preserve">Papel Fotográfico Brilhante a prova d'água Dupla Face</t>
  </si>
  <si>
    <t xml:space="preserve">Verde</t>
  </si>
  <si>
    <t xml:space="preserve">A6</t>
  </si>
  <si>
    <t xml:space="preserve">Papel Fotográfico Brilhante Dupla Face</t>
  </si>
  <si>
    <t xml:space="preserve">Azul</t>
  </si>
  <si>
    <t xml:space="preserve">F1</t>
  </si>
  <si>
    <t xml:space="preserve">Papel OffSet</t>
  </si>
  <si>
    <t xml:space="preserve">Rosa</t>
  </si>
  <si>
    <t xml:space="preserve">Papel sulfite</t>
  </si>
  <si>
    <t xml:space="preserve">ITEM</t>
  </si>
  <si>
    <t xml:space="preserve">ESPECIFICAÇÕES</t>
  </si>
  <si>
    <t xml:space="preserve">VALOR_UNIT</t>
  </si>
  <si>
    <t xml:space="preserve">TAMANHO/FORMATO</t>
  </si>
  <si>
    <t xml:space="preserve">ENCADERNAÇÃO</t>
  </si>
  <si>
    <t xml:space="preserve">ORIENTAÇÃO DA IMPRESSÃO</t>
  </si>
  <si>
    <t xml:space="preserve">PAPEL CAPA</t>
  </si>
  <si>
    <t xml:space="preserve">OPÇÕES DE CAPA</t>
  </si>
  <si>
    <t xml:space="preserve">LADOS DE IMPRESSÃO DA CAPA</t>
  </si>
  <si>
    <t xml:space="preserve">ACABAMENTO DA CAPA</t>
  </si>
  <si>
    <t xml:space="preserve">REVESTIMENTO DA CAPA</t>
  </si>
  <si>
    <t xml:space="preserve">PAPEL DO MIOLO</t>
  </si>
  <si>
    <t xml:space="preserve">LADOS DE IMPRESSÃO DO MIOLO</t>
  </si>
  <si>
    <t xml:space="preserve">PÁGINAS PRETO E BRANCO</t>
  </si>
  <si>
    <t xml:space="preserve">PÁGINAS COLORIDAS</t>
  </si>
  <si>
    <t xml:space="preserve">PÁGINAS COM FOTO</t>
  </si>
  <si>
    <t xml:space="preserve">PROJETO GRÁFICO</t>
  </si>
  <si>
    <t xml:space="preserve">DIAGRAMAÇÃO</t>
  </si>
  <si>
    <t xml:space="preserve">CRIAÇÃO DE CAPA</t>
  </si>
  <si>
    <t xml:space="preserve">IMPRESSÃO</t>
  </si>
  <si>
    <t xml:space="preserve">SUBTOTAL</t>
  </si>
  <si>
    <t xml:space="preserve">COM DESCONTO</t>
  </si>
  <si>
    <t xml:space="preserve">LUCRO</t>
  </si>
  <si>
    <t xml:space="preserve">unit</t>
  </si>
  <si>
    <t xml:space="preserve">TAM</t>
  </si>
  <si>
    <t xml:space="preserve">R$ TINTA</t>
  </si>
  <si>
    <t xml:space="preserve">PAPEL</t>
  </si>
  <si>
    <t xml:space="preserve">IMPRESSÕES</t>
  </si>
  <si>
    <t xml:space="preserve">F/V</t>
  </si>
  <si>
    <t xml:space="preserve">CUSTO</t>
  </si>
  <si>
    <t xml:space="preserve">VENDA A VISTA</t>
  </si>
  <si>
    <t xml:space="preserve">VENDA CARTÃO</t>
  </si>
  <si>
    <t xml:space="preserve">Preço Unitário</t>
  </si>
  <si>
    <t xml:space="preserve">COBRADO</t>
  </si>
  <si>
    <t xml:space="preserve">CUSTO PAPEL</t>
  </si>
  <si>
    <t xml:space="preserve">CUSTO TINTA</t>
  </si>
  <si>
    <t xml:space="preserve">VALOR DO DESCONTO</t>
  </si>
  <si>
    <t xml:space="preserve">CUSTO REAL</t>
  </si>
  <si>
    <t xml:space="preserve">ETIQUETAS</t>
  </si>
  <si>
    <t xml:space="preserve">Qtde de Etiquetas</t>
  </si>
  <si>
    <t xml:space="preserve">Material Base</t>
  </si>
  <si>
    <t xml:space="preserve">Gram</t>
  </si>
  <si>
    <t xml:space="preserve">Cor</t>
  </si>
  <si>
    <t xml:space="preserve">Formato</t>
  </si>
  <si>
    <t xml:space="preserve">Preço PCT</t>
  </si>
  <si>
    <t xml:space="preserve">FRETE</t>
  </si>
  <si>
    <t xml:space="preserve">Qtd PCT</t>
  </si>
  <si>
    <t xml:space="preserve">Qtd de Resmas</t>
  </si>
  <si>
    <t xml:space="preserve">VL Unit</t>
  </si>
  <si>
    <t xml:space="preserve">Preço A3</t>
  </si>
  <si>
    <t xml:space="preserve">Preço A4</t>
  </si>
  <si>
    <t xml:space="preserve">Preço A5</t>
  </si>
  <si>
    <t xml:space="preserve">Preço A6</t>
  </si>
  <si>
    <t xml:space="preserve">Marca</t>
  </si>
  <si>
    <t xml:space="preserve">Fornecedor</t>
  </si>
  <si>
    <t xml:space="preserve">Plastificação</t>
  </si>
  <si>
    <t xml:space="preserve">Spiral</t>
  </si>
  <si>
    <t xml:space="preserve">Kalunga</t>
  </si>
  <si>
    <t xml:space="preserve">Polaseal</t>
  </si>
  <si>
    <t xml:space="preserve">Mares</t>
  </si>
  <si>
    <t xml:space="preserve">Loja Alfa</t>
  </si>
  <si>
    <t xml:space="preserve">Cartolina</t>
  </si>
  <si>
    <t xml:space="preserve">50x66</t>
  </si>
  <si>
    <t xml:space="preserve">Impimanet</t>
  </si>
  <si>
    <t xml:space="preserve">MasterPrint</t>
  </si>
  <si>
    <t xml:space="preserve">Jota</t>
  </si>
  <si>
    <t xml:space="preserve">PAPEL FOTOGRÁFICO AUTO ADESIVO MATTE FOSCO</t>
  </si>
  <si>
    <t xml:space="preserve">Alfa</t>
  </si>
  <si>
    <t xml:space="preserve">HP Office Ipaper</t>
  </si>
  <si>
    <t xml:space="preserve">Refação</t>
  </si>
  <si>
    <t xml:space="preserve">PAPEL FOTOGRÁFICO MATTE</t>
  </si>
  <si>
    <t xml:space="preserve">AMV Papéis</t>
  </si>
  <si>
    <t xml:space="preserve">Phandora</t>
  </si>
  <si>
    <t xml:space="preserve">Lojas Americanas</t>
  </si>
  <si>
    <t xml:space="preserve">Canson</t>
  </si>
  <si>
    <t xml:space="preserve">Extra</t>
  </si>
  <si>
    <t xml:space="preserve">Chamex</t>
  </si>
  <si>
    <t xml:space="preserve">MRTI</t>
  </si>
  <si>
    <t xml:space="preserve">Americanas</t>
  </si>
  <si>
    <t xml:space="preserve">Assis</t>
  </si>
  <si>
    <t xml:space="preserve">Papel Kraft</t>
  </si>
  <si>
    <t xml:space="preserve">Kraft</t>
  </si>
  <si>
    <t xml:space="preserve">MAT_BAS_ETQ</t>
  </si>
  <si>
    <t xml:space="preserve">CÓD_ETQ</t>
  </si>
  <si>
    <t xml:space="preserve">COR_ETQ</t>
  </si>
  <si>
    <t xml:space="preserve">FORM_ETQ</t>
  </si>
  <si>
    <t xml:space="preserve">TAM_TAG_ETQ</t>
  </si>
  <si>
    <t xml:space="preserve">CUSTO_PCT_ETQ</t>
  </si>
  <si>
    <t xml:space="preserve">FRETE_ETQ</t>
  </si>
  <si>
    <t xml:space="preserve">QTD_fls_PCT_ETQ</t>
  </si>
  <si>
    <t xml:space="preserve">TAGS_por_FLS_ETQ</t>
  </si>
  <si>
    <t xml:space="preserve">TAGS_PCT_ETQ</t>
  </si>
  <si>
    <t xml:space="preserve">UNIT_FLS_ETQ</t>
  </si>
  <si>
    <t xml:space="preserve">UNIT_ETQ</t>
  </si>
  <si>
    <t xml:space="preserve">MARCA_ETQ</t>
  </si>
  <si>
    <t xml:space="preserve">FORN_ETQ</t>
  </si>
  <si>
    <t xml:space="preserve">Etiqueta 9,0x32,0 A5Q-932 Pimaco PT 840 UN</t>
  </si>
  <si>
    <t xml:space="preserve">A5-Q932</t>
  </si>
  <si>
    <t xml:space="preserve">9x32</t>
  </si>
  <si>
    <t xml:space="preserve">Pimaco</t>
  </si>
  <si>
    <t xml:space="preserve">Etiqueta 9,0x32mm Q-932 Pimaco PT 105 UN</t>
  </si>
  <si>
    <t xml:space="preserve">Q-932</t>
  </si>
  <si>
    <t xml:space="preserve">Obs: as celulas em vermelho podem ser alteradas  com o valor pago e durabilidade dos suprimentos, altere tambem o % de cobertura e  volume mensal produzido </t>
  </si>
  <si>
    <t xml:space="preserve">Analise de custos de impressão</t>
  </si>
  <si>
    <t xml:space="preserve">Tipo de impressão</t>
  </si>
  <si>
    <t xml:space="preserve">Cobertura</t>
  </si>
  <si>
    <t xml:space="preserve">Modelo </t>
  </si>
  <si>
    <t xml:space="preserve">Custo A3</t>
  </si>
  <si>
    <t xml:space="preserve">Custo A4</t>
  </si>
  <si>
    <t xml:space="preserve">Custo A5</t>
  </si>
  <si>
    <t xml:space="preserve">Custo A6</t>
  </si>
  <si>
    <t xml:space="preserve">Texto PB</t>
  </si>
  <si>
    <t xml:space="preserve">CUSTOS </t>
  </si>
  <si>
    <t xml:space="preserve">Textos com fotos PB</t>
  </si>
  <si>
    <t xml:space="preserve">FRENTE E VERSO</t>
  </si>
  <si>
    <t xml:space="preserve">Textos com fotos Cor</t>
  </si>
  <si>
    <t xml:space="preserve">Timbrado</t>
  </si>
  <si>
    <t xml:space="preserve">Custos Mensal</t>
  </si>
  <si>
    <t xml:space="preserve">Lucro Mensal 20%</t>
  </si>
  <si>
    <t xml:space="preserve">EQUIPAMENTO</t>
  </si>
  <si>
    <t xml:space="preserve">QTDE FOLHAS</t>
  </si>
  <si>
    <t xml:space="preserve">MEDIDA</t>
  </si>
  <si>
    <t xml:space="preserve">FORN</t>
  </si>
  <si>
    <t xml:space="preserve">PREÇO PCT</t>
  </si>
  <si>
    <t xml:space="preserve">PREÇO UNIT</t>
  </si>
  <si>
    <t xml:space="preserve">VENDA À VISTA</t>
  </si>
  <si>
    <t xml:space="preserve">NOME</t>
  </si>
  <si>
    <t xml:space="preserve">cod</t>
  </si>
  <si>
    <t xml:space="preserve">kit custo</t>
  </si>
  <si>
    <t xml:space="preserve">kit venda</t>
  </si>
  <si>
    <t xml:space="preserve">7 mm</t>
  </si>
  <si>
    <t xml:space="preserve">Plaspiral</t>
  </si>
  <si>
    <t xml:space="preserve">Preta</t>
  </si>
  <si>
    <t xml:space="preserve">9 mm</t>
  </si>
  <si>
    <t xml:space="preserve">PRETO</t>
  </si>
  <si>
    <t xml:space="preserve">12 mm</t>
  </si>
  <si>
    <t xml:space="preserve">14 mm</t>
  </si>
  <si>
    <t xml:space="preserve">17 mm</t>
  </si>
  <si>
    <t xml:space="preserve">20 mm</t>
  </si>
  <si>
    <t xml:space="preserve">Estúdio Refação</t>
  </si>
  <si>
    <t xml:space="preserve">25 mm</t>
  </si>
  <si>
    <t xml:space="preserve">29 mm</t>
  </si>
  <si>
    <t xml:space="preserve">33 mm</t>
  </si>
  <si>
    <t xml:space="preserve">40 mm</t>
  </si>
  <si>
    <t xml:space="preserve">50 mm</t>
  </si>
  <si>
    <t xml:space="preserve">CAPA/CONTRA</t>
  </si>
  <si>
    <t xml:space="preserve">COR</t>
  </si>
  <si>
    <t xml:space="preserve">MARCA</t>
  </si>
  <si>
    <t xml:space="preserve">MODELO</t>
  </si>
  <si>
    <t xml:space="preserve">PCT</t>
  </si>
  <si>
    <t xml:space="preserve">UNIT</t>
  </si>
  <si>
    <t xml:space="preserve">À VISTA</t>
  </si>
  <si>
    <t xml:space="preserve">CARTÃO</t>
  </si>
  <si>
    <t xml:space="preserve">Capa</t>
  </si>
  <si>
    <t xml:space="preserve">Transparente</t>
  </si>
  <si>
    <t xml:space="preserve">Line</t>
  </si>
  <si>
    <t xml:space="preserve">Contra Capa</t>
  </si>
  <si>
    <t xml:space="preserve">Couro</t>
  </si>
  <si>
    <t xml:space="preserve">Vermelho</t>
  </si>
  <si>
    <t xml:space="preserve">Cristal Transparente</t>
  </si>
  <si>
    <t xml:space="preserve">Fumê Transparente</t>
  </si>
  <si>
    <t xml:space="preserve">Preto</t>
  </si>
  <si>
    <t xml:space="preserve">Azul Transparente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</si>
</sst>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&quot; R$ &quot;* #,##0.00\ ;&quot;-R$ &quot;* #,##0.00\ ;&quot; R$ &quot;* \-#\ ;@\ "/>
    <numFmt numFmtId="166" formatCode="@"/>
    <numFmt numFmtId="167" formatCode="0.00%"/>
    <numFmt numFmtId="168" formatCode="#,##0.00"/>
    <numFmt numFmtId="169" formatCode="* #,##0.00\ ;\-* #,##0.00\ ;* \-#\ ;@\ "/>
    <numFmt numFmtId="170" formatCode="* #,##0.0\ ;\-* #,##0.0\ ;* \-#\ ;@\ "/>
    <numFmt numFmtId="171" formatCode="#,##0;[RED]#,##0"/>
    <numFmt numFmtId="172" formatCode="&quot;R$ &quot;#,##0.00;[RED]&quot;R$ &quot;#,##0.00"/>
    <numFmt numFmtId="173" formatCode="* #,##0\ ;\-* #,##0\ ;* \-#\ ;@\ "/>
    <numFmt numFmtId="174" formatCode="[$R$-416]\ #,##0.000;[RED]\-[$R$-416]\ #,##0.000"/>
    <numFmt numFmtId="175" formatCode="* #,##0.0000\ ;\-* #,##0.0000\ ;* \-#\ ;@\ "/>
    <numFmt numFmtId="176" formatCode="[$R$-416]\ #,##0.00;[RED]\-[$R$-416]\ #,##0.00"/>
    <numFmt numFmtId="177" formatCode="#,##0.00\ ;\(#,##0.00\)"/>
    <numFmt numFmtId="178" formatCode="&quot;R$ &quot;#,##0.00;[RED]&quot;-R$ &quot;#,##0.00"/>
    <numFmt numFmtId="179" formatCode="#,##0"/>
    <numFmt numFmtId="180" formatCode="0\g"/>
    <numFmt numFmtId="181" formatCode="0;[RED]0"/>
    <numFmt numFmtId="182" formatCode="0&quot; folhas&quot;"/>
    <numFmt numFmtId="183" formatCode="&quot;R$ &quot;#,##0.00"/>
    <numFmt numFmtId="184" formatCode="[$R$-416]\ * #,##0.00\ ;\-[$R$-416]\ * #,##0.00\ ;[$R$-416]\ * \-#\ ;@\ "/>
    <numFmt numFmtId="185" formatCode="&quot; R$ &quot;* #,##0.000\ ;&quot;-R$ &quot;* #,##0.000\ ;&quot; R$ &quot;* \-#\ ;@\ "/>
    <numFmt numFmtId="186" formatCode="0&quot; meses&quot;"/>
    <numFmt numFmtId="187" formatCode="0&quot; mm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FFFF00"/>
      <name val="Liberation Sans Narrow"/>
      <family val="2"/>
      <charset val="1"/>
    </font>
    <font>
      <b val="true"/>
      <sz val="14"/>
      <color rgb="FFFFFF00"/>
      <name val="Arial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.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D0D0D"/>
      <name val="Calibri"/>
      <family val="2"/>
      <charset val="1"/>
    </font>
    <font>
      <sz val="11"/>
      <name val="Times New Roman"/>
      <family val="0"/>
    </font>
    <font>
      <sz val="10"/>
      <color rgb="FF000000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4"/>
      <color rgb="FFFFFF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000000"/>
        <bgColor rgb="FF0D0D0D"/>
      </patternFill>
    </fill>
    <fill>
      <patternFill patternType="solid">
        <fgColor rgb="FFFF0000"/>
        <bgColor rgb="FF9C0006"/>
      </patternFill>
    </fill>
    <fill>
      <patternFill patternType="solid">
        <fgColor rgb="FF4472C4"/>
        <bgColor rgb="FF666699"/>
      </patternFill>
    </fill>
    <fill>
      <patternFill patternType="solid">
        <fgColor rgb="FF4A452A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6EFCE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4" borderId="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4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7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0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1" fillId="4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2" fillId="4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2" fillId="4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1" fillId="4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2" fillId="4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9" fillId="5" borderId="1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9" fillId="5" borderId="18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0" borderId="0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1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1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0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17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4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4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11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4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3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3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2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3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3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4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9" fillId="5" borderId="1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9" fillId="5" borderId="18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12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12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12" fillId="0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TableStyleLight1" xfId="21"/>
    <cellStyle name="Excel Built-in Explanatory Text" xfId="22"/>
  </cellStyles>
  <dxfs count="115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0D0D0D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DDE182"/>
        </patternFill>
      </fill>
    </dxf>
    <dxf>
      <fill>
        <patternFill patternType="solid">
          <fgColor rgb="FFE0E283"/>
        </patternFill>
      </fill>
    </dxf>
    <dxf>
      <fill>
        <patternFill patternType="solid">
          <fgColor rgb="FFE6E483"/>
        </patternFill>
      </fill>
    </dxf>
    <dxf>
      <fill>
        <patternFill patternType="solid">
          <fgColor rgb="FFF1E784"/>
        </patternFill>
      </fill>
    </dxf>
    <dxf>
      <fill>
        <patternFill patternType="solid">
          <fgColor rgb="FFF2E884"/>
        </patternFill>
      </fill>
    </dxf>
    <dxf>
      <fill>
        <patternFill patternType="solid">
          <fgColor rgb="FFF4E884"/>
        </patternFill>
      </fill>
    </dxf>
    <dxf>
      <fill>
        <patternFill patternType="solid">
          <fgColor rgb="FFF7E984"/>
        </patternFill>
      </fill>
    </dxf>
    <dxf>
      <fill>
        <patternFill patternType="solid">
          <fgColor rgb="FFF86D6B"/>
        </patternFill>
      </fill>
    </dxf>
    <dxf>
      <fill>
        <patternFill patternType="solid">
          <fgColor rgb="FFF8716C"/>
        </patternFill>
      </fill>
    </dxf>
    <dxf>
      <fill>
        <patternFill patternType="solid">
          <fgColor rgb="FFF8726C"/>
        </patternFill>
      </fill>
    </dxf>
    <dxf>
      <fill>
        <patternFill patternType="solid">
          <fgColor rgb="FFF97F6F"/>
        </patternFill>
      </fill>
    </dxf>
    <dxf>
      <fill>
        <patternFill patternType="solid">
          <fgColor rgb="FFF9816F"/>
        </patternFill>
      </fill>
    </dxf>
    <dxf>
      <fill>
        <patternFill patternType="solid">
          <fgColor rgb="FFF98871"/>
        </patternFill>
      </fill>
    </dxf>
    <dxf>
      <fill>
        <patternFill patternType="solid">
          <fgColor rgb="FFF98A71"/>
        </patternFill>
      </fill>
    </dxf>
    <dxf>
      <fill>
        <patternFill patternType="solid">
          <fgColor rgb="FFF9EA84"/>
        </patternFill>
      </fill>
    </dxf>
    <dxf>
      <fill>
        <patternFill patternType="solid">
          <fgColor rgb="FFFA9072"/>
        </patternFill>
      </fill>
    </dxf>
    <dxf>
      <fill>
        <patternFill patternType="solid">
          <fgColor rgb="FFFA9272"/>
        </patternFill>
      </fill>
    </dxf>
    <dxf>
      <fill>
        <patternFill patternType="solid">
          <fgColor rgb="FFFA9874"/>
        </patternFill>
      </fill>
    </dxf>
    <dxf>
      <fill>
        <patternFill patternType="solid">
          <fgColor rgb="FFFA9A74"/>
        </patternFill>
      </fill>
    </dxf>
    <dxf>
      <fill>
        <patternFill patternType="solid">
          <fgColor rgb="FFFAA075"/>
        </patternFill>
      </fill>
    </dxf>
    <dxf>
      <fill>
        <patternFill patternType="solid">
          <fgColor rgb="FFFAEA84"/>
        </patternFill>
      </fill>
    </dxf>
    <dxf>
      <fill>
        <patternFill patternType="solid">
          <fgColor rgb="FFFBA576"/>
        </patternFill>
      </fill>
    </dxf>
    <dxf>
      <fill>
        <patternFill patternType="solid">
          <fgColor rgb="FFFBA877"/>
        </patternFill>
      </fill>
    </dxf>
    <dxf>
      <fill>
        <patternFill patternType="solid">
          <fgColor rgb="FFFBA977"/>
        </patternFill>
      </fill>
    </dxf>
    <dxf>
      <fill>
        <patternFill patternType="solid">
          <fgColor rgb="FFFBAA77"/>
        </patternFill>
      </fill>
    </dxf>
    <dxf>
      <fill>
        <patternFill patternType="solid">
          <fgColor rgb="FFFBAE78"/>
        </patternFill>
      </fill>
    </dxf>
    <dxf>
      <fill>
        <patternFill patternType="solid">
          <fgColor rgb="FFFBAF78"/>
        </patternFill>
      </fill>
    </dxf>
    <dxf>
      <fill>
        <patternFill patternType="solid">
          <fgColor rgb="FFFBEA84"/>
        </patternFill>
      </fill>
    </dxf>
    <dxf>
      <fill>
        <patternFill patternType="solid">
          <fgColor rgb="FFFCB77A"/>
        </patternFill>
      </fill>
    </dxf>
    <dxf>
      <fill>
        <patternFill patternType="solid">
          <fgColor rgb="FFFDCC7E"/>
        </patternFill>
      </fill>
    </dxf>
    <dxf>
      <fill>
        <patternFill patternType="solid">
          <fgColor rgb="FFFDD780"/>
        </patternFill>
      </fill>
    </dxf>
    <dxf>
      <fill>
        <patternFill patternType="solid">
          <fgColor rgb="FFFDEB84"/>
        </patternFill>
      </fill>
    </dxf>
    <dxf>
      <fill>
        <patternFill patternType="solid">
          <fgColor rgb="FFFEE082"/>
        </patternFill>
      </fill>
    </dxf>
    <dxf>
      <fill>
        <patternFill patternType="solid">
          <fgColor rgb="FFFEE783"/>
        </patternFill>
      </fill>
    </dxf>
    <dxf>
      <fill>
        <patternFill patternType="solid">
          <fgColor rgb="FFFEEA83"/>
        </patternFill>
      </fill>
    </dxf>
    <dxf>
      <fill>
        <patternFill patternType="solid">
          <fgColor rgb="FFFEEB84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F3E884"/>
        </patternFill>
      </fill>
    </dxf>
    <dxf>
      <fill>
        <patternFill patternType="solid">
          <fgColor rgb="FFF6E984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86A6B"/>
        </patternFill>
      </fill>
    </dxf>
    <dxf>
      <fill>
        <patternFill patternType="solid">
          <fgColor rgb="FFF86B6B"/>
        </patternFill>
      </fill>
    </dxf>
    <dxf>
      <fill>
        <patternFill patternType="solid">
          <fgColor rgb="FFF8736C"/>
        </patternFill>
      </fill>
    </dxf>
    <dxf>
      <fill>
        <patternFill patternType="solid">
          <fgColor rgb="FFF8766D"/>
        </patternFill>
      </fill>
    </dxf>
    <dxf>
      <fill>
        <patternFill patternType="solid">
          <fgColor rgb="FFF8776D"/>
        </patternFill>
      </fill>
    </dxf>
    <dxf>
      <fill>
        <patternFill patternType="solid">
          <fgColor rgb="FFF87A6E"/>
        </patternFill>
      </fill>
    </dxf>
    <dxf>
      <fill>
        <patternFill patternType="solid">
          <fgColor rgb="FFF87B6E"/>
        </patternFill>
      </fill>
    </dxf>
    <dxf>
      <fill>
        <patternFill patternType="solid">
          <fgColor rgb="FFF97E6F"/>
        </patternFill>
      </fill>
    </dxf>
    <dxf>
      <fill>
        <patternFill patternType="solid">
          <fgColor rgb="FFF9826F"/>
        </patternFill>
      </fill>
    </dxf>
    <dxf>
      <fill>
        <patternFill patternType="solid">
          <fgColor rgb="FFF98470"/>
        </patternFill>
      </fill>
    </dxf>
    <dxf>
      <fill>
        <patternFill patternType="solid">
          <fgColor rgb="FFF98670"/>
        </patternFill>
      </fill>
    </dxf>
    <dxf>
      <fill>
        <patternFill patternType="solid">
          <fgColor rgb="FFF98971"/>
        </patternFill>
      </fill>
    </dxf>
    <dxf>
      <fill>
        <patternFill patternType="solid">
          <fgColor rgb="FFFA8E72"/>
        </patternFill>
      </fill>
    </dxf>
    <dxf>
      <fill>
        <patternFill patternType="solid">
          <fgColor rgb="FFFA9D75"/>
        </patternFill>
      </fill>
    </dxf>
    <dxf>
      <fill>
        <patternFill patternType="solid">
          <fgColor rgb="FFFBA276"/>
        </patternFill>
      </fill>
    </dxf>
    <dxf>
      <fill>
        <patternFill patternType="solid">
          <fgColor rgb="FFFBA776"/>
        </patternFill>
      </fill>
    </dxf>
    <dxf>
      <fill>
        <patternFill patternType="solid">
          <fgColor rgb="FFFBAD78"/>
        </patternFill>
      </fill>
    </dxf>
    <dxf>
      <fill>
        <patternFill patternType="solid">
          <fgColor rgb="FFFCB579"/>
        </patternFill>
      </fill>
    </dxf>
    <dxf>
      <fill>
        <patternFill patternType="solid">
          <fgColor rgb="FFFCC17C"/>
        </patternFill>
      </fill>
    </dxf>
    <dxf>
      <fill>
        <patternFill patternType="solid">
          <fgColor rgb="FFFCC27C"/>
        </patternFill>
      </fill>
    </dxf>
    <dxf>
      <fill>
        <patternFill patternType="solid">
          <fgColor rgb="FFFCEA84"/>
        </patternFill>
      </fill>
    </dxf>
    <dxf>
      <fill>
        <patternFill patternType="solid">
          <fgColor rgb="FFFDC67C"/>
        </patternFill>
      </fill>
    </dxf>
    <dxf>
      <fill>
        <patternFill patternType="solid">
          <fgColor rgb="FFFDCA7D"/>
        </patternFill>
      </fill>
    </dxf>
    <dxf>
      <fill>
        <patternFill patternType="solid">
          <fgColor rgb="FFFDD680"/>
        </patternFill>
      </fill>
    </dxf>
    <dxf>
      <fill>
        <patternFill patternType="solid">
          <fgColor rgb="FFFEE683"/>
        </patternFill>
      </fill>
    </dxf>
    <dxf>
      <fill>
        <patternFill patternType="solid">
          <fgColor rgb="FFFEE883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99D153"/>
        </patternFill>
      </fill>
    </dxf>
    <dxf>
      <fill>
        <patternFill patternType="solid">
          <fgColor rgb="FFA5D459"/>
        </patternFill>
      </fill>
    </dxf>
    <dxf>
      <fill>
        <patternFill patternType="solid">
          <fgColor rgb="FFAED75D"/>
        </patternFill>
      </fill>
    </dxf>
    <dxf>
      <fill>
        <patternFill patternType="solid">
          <fgColor rgb="FFB8D962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C6160C"/>
        </patternFill>
      </fill>
    </dxf>
    <dxf>
      <fill>
        <patternFill patternType="solid">
          <fgColor rgb="FFC6DD69"/>
        </patternFill>
      </fill>
    </dxf>
    <dxf>
      <fill>
        <patternFill patternType="solid">
          <fgColor rgb="FFE07643"/>
        </patternFill>
      </fill>
    </dxf>
    <dxf>
      <fill>
        <patternFill patternType="solid">
          <fgColor rgb="FFF2B767"/>
        </patternFill>
      </fill>
    </dxf>
    <dxf>
      <fill>
        <patternFill patternType="solid">
          <fgColor rgb="FFF6E87F"/>
        </patternFill>
      </fill>
    </dxf>
    <dxf>
      <fill>
        <patternFill patternType="solid">
          <fgColor rgb="FFFAD87A"/>
        </patternFill>
      </fill>
    </dxf>
    <dxf>
      <fill>
        <patternFill patternType="solid">
          <fgColor rgb="FFFEE682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419040</xdr:colOff>
      <xdr:row>14</xdr:row>
      <xdr:rowOff>57600</xdr:rowOff>
    </xdr:from>
    <xdr:to>
      <xdr:col>6</xdr:col>
      <xdr:colOff>419400</xdr:colOff>
      <xdr:row>14</xdr:row>
      <xdr:rowOff>59400</xdr:rowOff>
    </xdr:to>
    <xdr:pic>
      <xdr:nvPicPr>
        <xdr:cNvPr id="0" name="Tinta 1" descr=""/>
        <xdr:cNvPicPr/>
      </xdr:nvPicPr>
      <xdr:blipFill>
        <a:blip r:embed="rId1"/>
        <a:stretch/>
      </xdr:blipFill>
      <xdr:spPr>
        <a:xfrm>
          <a:off x="7990200" y="2654280"/>
          <a:ext cx="360" cy="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114120</xdr:colOff>
      <xdr:row>63</xdr:row>
      <xdr:rowOff>43200</xdr:rowOff>
    </xdr:from>
    <xdr:to>
      <xdr:col>17</xdr:col>
      <xdr:colOff>389160</xdr:colOff>
      <xdr:row>83</xdr:row>
      <xdr:rowOff>55440</xdr:rowOff>
    </xdr:to>
    <xdr:sp>
      <xdr:nvSpPr>
        <xdr:cNvPr id="1" name=""/>
        <xdr:cNvSpPr/>
      </xdr:nvSpPr>
      <xdr:spPr>
        <a:xfrm>
          <a:off x="16346520" y="2040840"/>
          <a:ext cx="4199400" cy="3517560"/>
        </a:xfrm>
        <a:prstGeom prst="rect">
          <a:avLst/>
        </a:prstGeom>
        <a:solidFill>
          <a:srgbClr val="ffffff"/>
        </a:solidFill>
        <a:ln w="0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 slicer da tabela. As segmentações de dados da tabela não são suportadas nesta versão do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Se a forma tiver sido modificada em uma versão anterior do Excel, ou se a pasta de trabalho foi salva no Excel 2007 ou anterior, a segmentação de dados não pode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700920</xdr:colOff>
      <xdr:row>74</xdr:row>
      <xdr:rowOff>32040</xdr:rowOff>
    </xdr:from>
    <xdr:to>
      <xdr:col>11</xdr:col>
      <xdr:colOff>175320</xdr:colOff>
      <xdr:row>85</xdr:row>
      <xdr:rowOff>85680</xdr:rowOff>
    </xdr:to>
    <xdr:sp>
      <xdr:nvSpPr>
        <xdr:cNvPr id="2" name=""/>
        <xdr:cNvSpPr/>
      </xdr:nvSpPr>
      <xdr:spPr>
        <a:xfrm>
          <a:off x="11002680" y="3957480"/>
          <a:ext cx="2890440" cy="1981800"/>
        </a:xfrm>
        <a:prstGeom prst="rect">
          <a:avLst/>
        </a:prstGeom>
        <a:solidFill>
          <a:srgbClr val="ffffff"/>
        </a:solidFill>
        <a:ln w="0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 slicer da tabela. As segmentações de dados da tabela não são suportadas nesta versão do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Se a forma tiver sido modificada em uma versão anterior do Excel, ou se a pasta de trabalho foi salva no Excel 2007 ou anterior, a segmentação de dados não pode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155520</xdr:colOff>
      <xdr:row>77</xdr:row>
      <xdr:rowOff>65880</xdr:rowOff>
    </xdr:from>
    <xdr:to>
      <xdr:col>13</xdr:col>
      <xdr:colOff>24480</xdr:colOff>
      <xdr:row>85</xdr:row>
      <xdr:rowOff>97560</xdr:rowOff>
    </xdr:to>
    <xdr:sp>
      <xdr:nvSpPr>
        <xdr:cNvPr id="3" name=""/>
        <xdr:cNvSpPr/>
      </xdr:nvSpPr>
      <xdr:spPr>
        <a:xfrm>
          <a:off x="13873320" y="4517280"/>
          <a:ext cx="2383560" cy="1433880"/>
        </a:xfrm>
        <a:prstGeom prst="rect">
          <a:avLst/>
        </a:prstGeom>
        <a:solidFill>
          <a:srgbClr val="ffffff"/>
        </a:solidFill>
        <a:ln w="0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 slicer da tabela. As segmentações de dados da tabela não são suportadas nesta versão do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Se a forma tiver sido modificada em uma versão anterior do Excel, ou se a pasta de trabalho foi salva no Excel 2007 ou anterior, a segmentação de dados não pode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179280</xdr:colOff>
      <xdr:row>72</xdr:row>
      <xdr:rowOff>25200</xdr:rowOff>
    </xdr:from>
    <xdr:to>
      <xdr:col>13</xdr:col>
      <xdr:colOff>48240</xdr:colOff>
      <xdr:row>77</xdr:row>
      <xdr:rowOff>35280</xdr:rowOff>
    </xdr:to>
    <xdr:sp>
      <xdr:nvSpPr>
        <xdr:cNvPr id="4" name=""/>
        <xdr:cNvSpPr/>
      </xdr:nvSpPr>
      <xdr:spPr>
        <a:xfrm>
          <a:off x="13897080" y="3600360"/>
          <a:ext cx="2383560" cy="886320"/>
        </a:xfrm>
        <a:prstGeom prst="rect">
          <a:avLst/>
        </a:prstGeom>
        <a:solidFill>
          <a:srgbClr val="ffffff"/>
        </a:solidFill>
        <a:ln w="0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 slicer da tabela. As segmentações de dados da tabela não são suportadas nesta versão do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Se a forma tiver sido modificada em uma versão anterior do Excel, ou se a pasta de trabalho foi salva no Excel 2007 ou anterior, a segmentação de dados não pode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152280</xdr:colOff>
      <xdr:row>29</xdr:row>
      <xdr:rowOff>112320</xdr:rowOff>
    </xdr:from>
    <xdr:to>
      <xdr:col>10</xdr:col>
      <xdr:colOff>975240</xdr:colOff>
      <xdr:row>37</xdr:row>
      <xdr:rowOff>99360</xdr:rowOff>
    </xdr:to>
    <xdr:sp>
      <xdr:nvSpPr>
        <xdr:cNvPr id="5" name=""/>
        <xdr:cNvSpPr/>
      </xdr:nvSpPr>
      <xdr:spPr>
        <a:xfrm>
          <a:off x="9446040" y="3133800"/>
          <a:ext cx="4290120" cy="1388880"/>
        </a:xfrm>
        <a:prstGeom prst="rect">
          <a:avLst/>
        </a:prstGeom>
        <a:solidFill>
          <a:srgbClr val="ffffff"/>
        </a:solidFill>
        <a:ln w="0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 slicer da tabela. As segmentações de dados da tabela não são suportadas nesta versão do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Se a forma tiver sido modificada em uma versão anterior do Excel, ou se a pasta de trabalho foi salva no Excel 2007 ou anterior, a segmentação de dados não pode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1:J6" headerRowCount="1" totalsRowCount="0" totalsRowShown="0">
  <autoFilter ref="A1:J6"/>
  <tableColumns count="10">
    <tableColumn id="1" name="TAM"/>
    <tableColumn id="2" name="R$ TINTA"/>
    <tableColumn id="3" name="PAPEL"/>
    <tableColumn id="4" name="IMPRESSÕES"/>
    <tableColumn id="5" name="F/V"/>
    <tableColumn id="6" name="CUSTO"/>
    <tableColumn id="7" name="VENDA A VISTA"/>
    <tableColumn id="8" name="VENDA CARTÃO"/>
    <tableColumn id="9" name="Preço Unitário"/>
    <tableColumn id="10" name="LUCRO"/>
  </tableColumns>
</table>
</file>

<file path=xl/tables/table2.xml><?xml version="1.0" encoding="utf-8"?>
<table xmlns="http://schemas.openxmlformats.org/spreadsheetml/2006/main" id="2" name="Tabela18" displayName="Tabela18" ref="A11:J16" headerRowCount="1" totalsRowCount="0" totalsRowShown="0">
  <autoFilter ref="A11:J16"/>
  <tableColumns count="10">
    <tableColumn id="1" name="Qtde de Etiquetas"/>
    <tableColumn id="2" name="R$ TINTA"/>
    <tableColumn id="3" name="PAPEL"/>
    <tableColumn id="4" name="IMPRESSÕES"/>
    <tableColumn id="5" name="F/V"/>
    <tableColumn id="6" name="CUSTO"/>
    <tableColumn id="7" name="VENDA A VISTA"/>
    <tableColumn id="8" name="VENDA CARTÃO"/>
    <tableColumn id="9" name="Preço Unitário"/>
    <tableColumn id="10" name="LUCRO"/>
  </tableColumns>
</table>
</file>

<file path=xl/tables/table3.xml><?xml version="1.0" encoding="utf-8"?>
<table xmlns="http://schemas.openxmlformats.org/spreadsheetml/2006/main" id="3" name="Tabela2" displayName="Tabela2" ref="A1:N58" headerRowCount="1" totalsRowCount="0" totalsRowShown="0">
  <autoFilter ref="A1:N58">
    <filterColumn colId="0">
      <filters>
        <filter val="Papel sulfite"/>
      </filters>
    </filterColumn>
    <filterColumn colId="2">
      <filters>
        <filter val="Branco"/>
      </filters>
    </filterColumn>
    <filterColumn colId="1">
      <filters>
        <filter val="75g"/>
      </filters>
    </filterColumn>
  </autoFilter>
  <tableColumns count="14">
    <tableColumn id="1" name="Material Base"/>
    <tableColumn id="2" name="Gram"/>
    <tableColumn id="3" name="Cor"/>
    <tableColumn id="4" name="Formato"/>
    <tableColumn id="5" name="Preço PCT"/>
    <tableColumn id="6" name="FRETE"/>
    <tableColumn id="7" name="Qtd PCT"/>
    <tableColumn id="8" name="Qtd de Resmas"/>
    <tableColumn id="9" name="Preço A3"/>
    <tableColumn id="10" name="Preço A4"/>
    <tableColumn id="11" name="Preço A5"/>
    <tableColumn id="12" name="Preço A6"/>
    <tableColumn id="13" name="Marca"/>
    <tableColumn id="14" name="Fornecedor"/>
  </tableColumns>
</table>
</file>

<file path=xl/tables/table4.xml><?xml version="1.0" encoding="utf-8"?>
<table xmlns="http://schemas.openxmlformats.org/spreadsheetml/2006/main" id="4" name="Tabela3" displayName="Tabela3" ref="A1:O7" headerRowCount="1" totalsRowCount="0" totalsRowShown="0">
  <autoFilter ref="A1:O7"/>
  <tableColumns count="15">
    <tableColumn id="1" name="Material Base"/>
    <tableColumn id="2" name="Gram"/>
    <tableColumn id="3" name="Cor"/>
    <tableColumn id="4" name="Formato"/>
    <tableColumn id="5" name="Preço PCT"/>
    <tableColumn id="6" name="FRETE"/>
    <tableColumn id="7" name="Qtd PCT"/>
    <tableColumn id="8" name="Qtd de Resmas"/>
    <tableColumn id="9" name="VL Unit"/>
    <tableColumn id="10" name="Preço A3"/>
    <tableColumn id="11" name="Preço A4"/>
    <tableColumn id="12" name="Preço A5"/>
    <tableColumn id="13" name="Preço A6"/>
    <tableColumn id="14" name="Marca"/>
    <tableColumn id="15" name="Fornecedor"/>
  </tableColumns>
</table>
</file>

<file path=xl/tables/table5.xml><?xml version="1.0" encoding="utf-8"?>
<table xmlns="http://schemas.openxmlformats.org/spreadsheetml/2006/main" id="5" name="Tabela4" displayName="Tabela4" ref="A2:N16" headerRowCount="1" totalsRowCount="0" totalsRowShown="0">
  <autoFilter ref="A2:N16">
    <filterColumn colId="0">
      <filters>
        <filter val="140 folhas"/>
      </filters>
    </filterColumn>
  </autoFilter>
  <tableColumns count="14">
    <tableColumn id="1" name="QTDE FOLHAS"/>
    <tableColumn id="2" name="MEDIDA"/>
    <tableColumn id="3" name="Marca"/>
    <tableColumn id="4" name="FORN"/>
    <tableColumn id="5" name="Cor"/>
    <tableColumn id="6" name="Qtd PCT"/>
    <tableColumn id="7" name="PREÇO PCT"/>
    <tableColumn id="8" name="PREÇO UNIT"/>
    <tableColumn id="9" name="VENDA À VISTA"/>
    <tableColumn id="10" name="VENDA CARTÃO"/>
    <tableColumn id="11" name="NOME"/>
    <tableColumn id="12" name="cod"/>
    <tableColumn id="13" name="kit custo"/>
    <tableColumn id="14" name="kit venda"/>
  </tableColumns>
</table>
</file>

<file path=xl/tables/table6.xml><?xml version="1.0" encoding="utf-8"?>
<table xmlns="http://schemas.openxmlformats.org/spreadsheetml/2006/main" id="6" name="Tabela5" displayName="Tabela5" ref="A1:F3" headerRowCount="1" totalsRowCount="0" totalsRowShown="0">
  <autoFilter ref="A1:F3"/>
  <tableColumns count="6">
    <tableColumn id="1" name="IMPRESSÃO"/>
    <tableColumn id="2" name="ENCADERNAÇÃO"/>
    <tableColumn id="3" name="SUBTOTAL"/>
    <tableColumn id="4" name="COM DESCONTO"/>
    <tableColumn id="5" name="LUCRO"/>
    <tableColumn id="6" name="unit"/>
  </tableColumns>
</table>
</file>

<file path=xl/tables/table7.xml><?xml version="1.0" encoding="utf-8"?>
<table xmlns="http://schemas.openxmlformats.org/spreadsheetml/2006/main" id="7" name="Tabela6" displayName="Tabela6" ref="A1:N13" headerRowCount="1" totalsRowCount="0" totalsRowShown="0">
  <autoFilter ref="A1:N13">
    <filterColumn colId="2">
      <filters>
        <filter val="Cristal Transparente"/>
        <filter val="Preto"/>
      </filters>
    </filterColumn>
    <filterColumn colId="12">
      <filters>
        <filter val="Capa para Encadernação Cristal Transparente Line A4"/>
        <filter val="Contra Capa para Encadernação Preto Couro A4"/>
      </filters>
    </filterColumn>
  </autoFilter>
  <tableColumns count="14">
    <tableColumn id="1" name="TAM"/>
    <tableColumn id="2" name="CAPA/CONTRA"/>
    <tableColumn id="3" name="COR"/>
    <tableColumn id="4" name="MARCA"/>
    <tableColumn id="5" name="MODELO"/>
    <tableColumn id="6" name="FORN"/>
    <tableColumn id="7" name="PCT"/>
    <tableColumn id="8" name="PREÇO PCT"/>
    <tableColumn id="9" name="UNIT"/>
    <tableColumn id="10" name="À VISTA"/>
    <tableColumn id="11" name="CARTÃO"/>
    <tableColumn id="12" name="LUCRO"/>
    <tableColumn id="13" name="NOME"/>
    <tableColumn id="14" name="cod"/>
  </tableColumns>
</table>
</file>

<file path=xl/tables/table8.xml><?xml version="1.0" encoding="utf-8"?>
<table xmlns="http://schemas.openxmlformats.org/spreadsheetml/2006/main" id="8" name="Tabela8" displayName="Tabela8" ref="A1:N4" headerRowCount="1" totalsRowCount="0" totalsRowShown="0">
  <autoFilter ref="A1:N4"/>
  <tableColumns count="14">
    <tableColumn id="1" name="MAT_BAS_ETQ"/>
    <tableColumn id="2" name="CÓD_ETQ"/>
    <tableColumn id="3" name="COR_ETQ"/>
    <tableColumn id="4" name="FORM_ETQ"/>
    <tableColumn id="5" name="TAM_TAG_ETQ"/>
    <tableColumn id="6" name="CUSTO_PCT_ETQ"/>
    <tableColumn id="7" name="FRETE_ETQ"/>
    <tableColumn id="8" name="QTD_fls_PCT_ETQ"/>
    <tableColumn id="9" name="TAGS_por_FLS_ETQ"/>
    <tableColumn id="10" name="TAGS_PCT_ETQ"/>
    <tableColumn id="11" name="UNIT_FLS_ETQ"/>
    <tableColumn id="12" name="UNIT_ETQ"/>
    <tableColumn id="13" name="MARCA_ETQ"/>
    <tableColumn id="14" name="FORN_ETQ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2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2" width="12.67"/>
    <col collapsed="false" customWidth="true" hidden="false" outlineLevel="0" max="10" min="3" style="3" width="12.67"/>
    <col collapsed="false" customWidth="false" hidden="false" outlineLevel="0" max="11" min="11" style="4" width="8.53"/>
    <col collapsed="false" customWidth="true" hidden="false" outlineLevel="0" max="12" min="12" style="4" width="21.71"/>
    <col collapsed="false" customWidth="true" hidden="false" outlineLevel="0" max="13" min="13" style="4" width="26.57"/>
    <col collapsed="false" customWidth="true" hidden="false" outlineLevel="0" max="14" min="14" style="4" width="18.85"/>
    <col collapsed="false" customWidth="true" hidden="false" outlineLevel="0" max="15" min="15" style="4" width="17"/>
    <col collapsed="false" customWidth="true" hidden="false" outlineLevel="0" max="16" min="16" style="4" width="11"/>
    <col collapsed="false" customWidth="true" hidden="false" outlineLevel="0" max="17" min="17" style="4" width="11.09"/>
    <col collapsed="false" customWidth="false" hidden="false" outlineLevel="0" max="1013" min="18" style="4" width="8.53"/>
    <col collapsed="false" customWidth="true" hidden="false" outlineLevel="0" max="1024" min="1014" style="4" width="9.14"/>
  </cols>
  <sheetData>
    <row r="1" customFormat="false" ht="27.95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L1" s="8" t="s">
        <v>10</v>
      </c>
      <c r="M1" s="8"/>
      <c r="N1" s="8"/>
      <c r="O1" s="8"/>
      <c r="P1" s="8"/>
    </row>
    <row r="2" customFormat="false" ht="16.15" hidden="false" customHeight="false" outlineLevel="0" collapsed="false">
      <c r="A2" s="9" t="s">
        <v>11</v>
      </c>
      <c r="B2" s="10" t="n">
        <v>0</v>
      </c>
      <c r="C2" s="11" t="n">
        <f aca="false">D2*2</f>
        <v>1.196</v>
      </c>
      <c r="D2" s="11" t="n">
        <f aca="false">$Q$20/(1-B2)</f>
        <v>0.598</v>
      </c>
      <c r="E2" s="11" t="n">
        <f aca="false">D2/2</f>
        <v>0.299</v>
      </c>
      <c r="F2" s="11" t="n">
        <f aca="false">D2/4</f>
        <v>0.1495</v>
      </c>
      <c r="G2" s="11" t="n">
        <f aca="false">D2/8</f>
        <v>0.07475</v>
      </c>
      <c r="H2" s="11" t="n">
        <f aca="false">D2/16</f>
        <v>0.037375</v>
      </c>
      <c r="I2" s="11" t="n">
        <f aca="false">D2/32</f>
        <v>0.0186875</v>
      </c>
      <c r="J2" s="11" t="n">
        <f aca="false">D2/64</f>
        <v>0.00934375</v>
      </c>
      <c r="L2" s="12" t="n">
        <v>39</v>
      </c>
      <c r="M2" s="13" t="s">
        <v>12</v>
      </c>
      <c r="N2" s="13"/>
      <c r="O2" s="14"/>
      <c r="P2" s="15"/>
    </row>
    <row r="3" customFormat="false" ht="18" hidden="false" customHeight="true" outlineLevel="0" collapsed="false">
      <c r="A3" s="9" t="s">
        <v>13</v>
      </c>
      <c r="B3" s="16" t="n">
        <v>0.3</v>
      </c>
      <c r="C3" s="11" t="n">
        <f aca="false">D3*2</f>
        <v>1.70857142857143</v>
      </c>
      <c r="D3" s="11" t="n">
        <f aca="false">$Q$20/(1-B3)</f>
        <v>0.854285714285714</v>
      </c>
      <c r="E3" s="11" t="n">
        <f aca="false">D3/2</f>
        <v>0.427142857142857</v>
      </c>
      <c r="F3" s="11" t="n">
        <f aca="false">D3/4</f>
        <v>0.213571428571429</v>
      </c>
      <c r="G3" s="11" t="n">
        <f aca="false">D3/8</f>
        <v>0.106785714285714</v>
      </c>
      <c r="H3" s="11" t="n">
        <f aca="false">D3/16</f>
        <v>0.0533928571428571</v>
      </c>
      <c r="I3" s="11" t="n">
        <f aca="false">D3/32</f>
        <v>0.0266964285714286</v>
      </c>
      <c r="J3" s="11" t="n">
        <f aca="false">D3/64</f>
        <v>0.0133482142857143</v>
      </c>
      <c r="K3" s="4" t="n">
        <v>39</v>
      </c>
      <c r="L3" s="17" t="n">
        <v>7500</v>
      </c>
      <c r="M3" s="18" t="s">
        <v>14</v>
      </c>
      <c r="N3" s="18"/>
      <c r="O3" s="14"/>
      <c r="P3" s="15"/>
    </row>
    <row r="4" customFormat="false" ht="17.25" hidden="false" customHeight="true" outlineLevel="0" collapsed="false">
      <c r="A4" s="9" t="s">
        <v>15</v>
      </c>
      <c r="B4" s="16" t="n">
        <v>0.6</v>
      </c>
      <c r="C4" s="11" t="n">
        <f aca="false">D4*2</f>
        <v>2.99</v>
      </c>
      <c r="D4" s="11" t="n">
        <f aca="false">$Q$20/(1-B4)</f>
        <v>1.495</v>
      </c>
      <c r="E4" s="11" t="n">
        <f aca="false">D4/2</f>
        <v>0.7475</v>
      </c>
      <c r="F4" s="11" t="n">
        <f aca="false">D4/4</f>
        <v>0.37375</v>
      </c>
      <c r="G4" s="11" t="n">
        <f aca="false">D4/8</f>
        <v>0.186875</v>
      </c>
      <c r="H4" s="11" t="n">
        <f aca="false">D4/16</f>
        <v>0.0934375</v>
      </c>
      <c r="I4" s="11" t="n">
        <f aca="false">D4/32</f>
        <v>0.04671875</v>
      </c>
      <c r="J4" s="11" t="n">
        <f aca="false">D4/64</f>
        <v>0.023359375</v>
      </c>
      <c r="L4" s="19" t="n">
        <v>0</v>
      </c>
      <c r="M4" s="19"/>
      <c r="N4" s="19"/>
      <c r="O4" s="19"/>
      <c r="P4" s="19"/>
    </row>
    <row r="5" customFormat="false" ht="13.8" hidden="false" customHeight="false" outlineLevel="0" collapsed="false">
      <c r="L5" s="20" t="s">
        <v>16</v>
      </c>
      <c r="M5" s="21" t="s">
        <v>17</v>
      </c>
      <c r="N5" s="22" t="s">
        <v>18</v>
      </c>
      <c r="O5" s="22" t="s">
        <v>19</v>
      </c>
      <c r="P5" s="22" t="s">
        <v>20</v>
      </c>
    </row>
    <row r="6" customFormat="false" ht="15.1" hidden="false" customHeight="false" outlineLevel="0" collapsed="false">
      <c r="L6" s="23" t="s">
        <v>21</v>
      </c>
      <c r="M6" s="24" t="n">
        <v>60</v>
      </c>
      <c r="N6" s="25" t="n">
        <v>7500</v>
      </c>
      <c r="O6" s="26" t="n">
        <f aca="false">(5/$L$2)*N6</f>
        <v>961.538461538462</v>
      </c>
      <c r="P6" s="27" t="n">
        <f aca="false">IF(O6=0,"0",M6/O6)</f>
        <v>0.0624</v>
      </c>
    </row>
    <row r="7" customFormat="false" ht="15.1" hidden="false" customHeight="false" outlineLevel="0" collapsed="false">
      <c r="L7" s="28" t="s">
        <v>22</v>
      </c>
      <c r="M7" s="24" t="n">
        <v>60</v>
      </c>
      <c r="N7" s="25" t="n">
        <v>6000</v>
      </c>
      <c r="O7" s="26" t="n">
        <f aca="false">(5/$L$2)*N7</f>
        <v>769.230769230769</v>
      </c>
      <c r="P7" s="27" t="n">
        <f aca="false">IF(O7=0,"0",M7/O7)</f>
        <v>0.078</v>
      </c>
    </row>
    <row r="8" customFormat="false" ht="15" hidden="false" customHeight="true" outlineLevel="0" collapsed="false">
      <c r="L8" s="28" t="s">
        <v>23</v>
      </c>
      <c r="M8" s="24" t="n">
        <v>60</v>
      </c>
      <c r="N8" s="25" t="n">
        <v>6000</v>
      </c>
      <c r="O8" s="26" t="n">
        <f aca="false">(5/$L$2)*N8</f>
        <v>769.230769230769</v>
      </c>
      <c r="P8" s="27" t="n">
        <f aca="false">IF(O8=0,"0",M8/O8)</f>
        <v>0.078</v>
      </c>
    </row>
    <row r="9" customFormat="false" ht="15" hidden="false" customHeight="true" outlineLevel="0" collapsed="false">
      <c r="L9" s="28" t="s">
        <v>24</v>
      </c>
      <c r="M9" s="24" t="n">
        <v>60</v>
      </c>
      <c r="N9" s="25" t="n">
        <v>6000</v>
      </c>
      <c r="O9" s="26" t="n">
        <f aca="false">(5/$L$2)*N9</f>
        <v>769.230769230769</v>
      </c>
      <c r="P9" s="27" t="n">
        <f aca="false">IF(O9=0,"0",M9/O9)</f>
        <v>0.078</v>
      </c>
    </row>
    <row r="10" customFormat="false" ht="16.5" hidden="false" customHeight="true" outlineLevel="0" collapsed="false">
      <c r="L10" s="28" t="s">
        <v>25</v>
      </c>
      <c r="M10" s="29" t="n">
        <v>0</v>
      </c>
      <c r="N10" s="30" t="n">
        <v>0</v>
      </c>
      <c r="O10" s="26" t="n">
        <f aca="false">(5/$L$2)*N10</f>
        <v>0</v>
      </c>
      <c r="P10" s="27" t="str">
        <f aca="false">IF(O10=0,"0",M10/O10)</f>
        <v>0</v>
      </c>
    </row>
    <row r="11" customFormat="false" ht="15.75" hidden="false" customHeight="true" outlineLevel="0" collapsed="false">
      <c r="L11" s="28" t="s">
        <v>26</v>
      </c>
      <c r="M11" s="29" t="n">
        <v>0</v>
      </c>
      <c r="N11" s="30" t="n">
        <v>0</v>
      </c>
      <c r="O11" s="26" t="n">
        <f aca="false">(5/$L$2)*N11</f>
        <v>0</v>
      </c>
      <c r="P11" s="27" t="str">
        <f aca="false">IF(O11=0,"0",M11/O11)</f>
        <v>0</v>
      </c>
    </row>
    <row r="12" customFormat="false" ht="15.1" hidden="false" customHeight="false" outlineLevel="0" collapsed="false">
      <c r="L12" s="28" t="s">
        <v>27</v>
      </c>
      <c r="M12" s="29" t="n">
        <v>0</v>
      </c>
      <c r="N12" s="30" t="n">
        <v>0</v>
      </c>
      <c r="O12" s="26" t="n">
        <f aca="false">(5/$L$2)*N12</f>
        <v>0</v>
      </c>
      <c r="P12" s="27" t="str">
        <f aca="false">IF(O12=0,"0",M12/O12)</f>
        <v>0</v>
      </c>
    </row>
    <row r="13" customFormat="false" ht="15.1" hidden="false" customHeight="false" outlineLevel="0" collapsed="false">
      <c r="L13" s="28" t="s">
        <v>28</v>
      </c>
      <c r="M13" s="29" t="n">
        <v>0</v>
      </c>
      <c r="N13" s="30" t="n">
        <v>0</v>
      </c>
      <c r="O13" s="26" t="n">
        <f aca="false">(5/$L$2)*N13</f>
        <v>0</v>
      </c>
      <c r="P13" s="27" t="str">
        <f aca="false">IF(O13=0,"0",M13/O13)</f>
        <v>0</v>
      </c>
    </row>
    <row r="14" customFormat="false" ht="15.1" hidden="false" customHeight="false" outlineLevel="0" collapsed="false">
      <c r="L14" s="28" t="s">
        <v>29</v>
      </c>
      <c r="M14" s="29" t="n">
        <v>0</v>
      </c>
      <c r="N14" s="30" t="n">
        <v>0</v>
      </c>
      <c r="O14" s="26" t="n">
        <f aca="false">(5/$L$2)*N14</f>
        <v>0</v>
      </c>
      <c r="P14" s="27" t="str">
        <f aca="false">IF(O14=0,"0",M14/O14)</f>
        <v>0</v>
      </c>
    </row>
    <row r="15" customFormat="false" ht="15.1" hidden="false" customHeight="false" outlineLevel="0" collapsed="false">
      <c r="L15" s="28" t="s">
        <v>30</v>
      </c>
      <c r="M15" s="29" t="n">
        <v>0</v>
      </c>
      <c r="N15" s="30" t="n">
        <v>0</v>
      </c>
      <c r="O15" s="26" t="n">
        <f aca="false">(5/$L$2)*N15</f>
        <v>0</v>
      </c>
      <c r="P15" s="27" t="str">
        <f aca="false">IF(O15=0,"0",M15/O15)</f>
        <v>0</v>
      </c>
    </row>
    <row r="16" customFormat="false" ht="15.1" hidden="false" customHeight="false" outlineLevel="0" collapsed="false">
      <c r="L16" s="28" t="s">
        <v>31</v>
      </c>
      <c r="M16" s="29" t="n">
        <v>0</v>
      </c>
      <c r="N16" s="30" t="n">
        <v>0</v>
      </c>
      <c r="O16" s="26" t="n">
        <f aca="false">(5/$L$2)*N16</f>
        <v>0</v>
      </c>
      <c r="P16" s="27" t="str">
        <f aca="false">IF(O16=0,"0",M16/O16)</f>
        <v>0</v>
      </c>
    </row>
    <row r="17" customFormat="false" ht="18.75" hidden="false" customHeight="true" outlineLevel="0" collapsed="false">
      <c r="L17" s="28" t="s">
        <v>32</v>
      </c>
      <c r="M17" s="29" t="n">
        <v>0</v>
      </c>
      <c r="N17" s="30" t="n">
        <v>0</v>
      </c>
      <c r="O17" s="26" t="n">
        <f aca="false">(5/$L$2)*N17</f>
        <v>0</v>
      </c>
      <c r="P17" s="27" t="str">
        <f aca="false">IF(O17=0,"0",M17/O17)</f>
        <v>0</v>
      </c>
    </row>
    <row r="18" customFormat="false" ht="15.75" hidden="false" customHeight="true" outlineLevel="0" collapsed="false">
      <c r="L18" s="28" t="s">
        <v>33</v>
      </c>
      <c r="M18" s="29" t="n">
        <v>0</v>
      </c>
      <c r="N18" s="30" t="n">
        <v>0</v>
      </c>
      <c r="O18" s="26" t="n">
        <f aca="false">(5/$L$2)*N18</f>
        <v>0</v>
      </c>
      <c r="P18" s="27" t="str">
        <f aca="false">IF(O18=0,"0",M18/O18)</f>
        <v>0</v>
      </c>
    </row>
    <row r="19" customFormat="false" ht="15.1" hidden="false" customHeight="false" outlineLevel="0" collapsed="false">
      <c r="L19" s="28" t="s">
        <v>34</v>
      </c>
      <c r="M19" s="31" t="n">
        <v>20</v>
      </c>
      <c r="N19" s="32" t="n">
        <v>60000</v>
      </c>
      <c r="O19" s="26" t="n">
        <f aca="false">(5/$L$2)*N19</f>
        <v>7692.30769230769</v>
      </c>
      <c r="P19" s="33" t="n">
        <f aca="false">M19/O19</f>
        <v>0.0026</v>
      </c>
    </row>
    <row r="20" customFormat="false" ht="15" hidden="false" customHeight="false" outlineLevel="0" collapsed="false">
      <c r="L20" s="34"/>
      <c r="M20" s="4" t="n">
        <f aca="false">SUM(M6:M19)</f>
        <v>260</v>
      </c>
      <c r="N20" s="4" t="n">
        <f aca="false">SUM(N6:N18)</f>
        <v>25500</v>
      </c>
      <c r="O20" s="35" t="s">
        <v>35</v>
      </c>
      <c r="P20" s="36" t="n">
        <f aca="false">SUM(P6:P19)</f>
        <v>0.299</v>
      </c>
      <c r="Q20" s="37" t="n">
        <f aca="false">P20/(1-50%)</f>
        <v>0.598</v>
      </c>
    </row>
    <row r="21" customFormat="false" ht="15" hidden="false" customHeight="false" outlineLevel="0" collapsed="false">
      <c r="L21" s="34"/>
      <c r="O21" s="35" t="s">
        <v>36</v>
      </c>
      <c r="P21" s="38" t="n">
        <f aca="false">P20*L3</f>
        <v>2242.5</v>
      </c>
    </row>
    <row r="24" customFormat="false" ht="16.15" hidden="false" customHeight="false" outlineLevel="0" collapsed="false">
      <c r="L24" s="39"/>
      <c r="M24" s="39"/>
      <c r="N24" s="39"/>
      <c r="O24" s="39"/>
      <c r="P24" s="39"/>
    </row>
    <row r="25" customFormat="false" ht="13.8" hidden="false" customHeight="false" outlineLevel="0" collapsed="false">
      <c r="L25" s="40"/>
      <c r="M25" s="41"/>
      <c r="N25" s="41"/>
      <c r="O25" s="41"/>
      <c r="P25" s="41"/>
    </row>
    <row r="26" customFormat="false" ht="13.8" hidden="false" customHeight="false" outlineLevel="0" collapsed="false">
      <c r="L26" s="34"/>
      <c r="M26" s="42"/>
      <c r="N26" s="43"/>
      <c r="O26" s="43"/>
      <c r="P26" s="44"/>
    </row>
    <row r="27" customFormat="false" ht="13.8" hidden="false" customHeight="false" outlineLevel="0" collapsed="false">
      <c r="L27" s="34"/>
      <c r="M27" s="42"/>
      <c r="N27" s="43"/>
      <c r="O27" s="43"/>
      <c r="P27" s="44"/>
    </row>
    <row r="28" customFormat="false" ht="13.8" hidden="false" customHeight="false" outlineLevel="0" collapsed="false">
      <c r="L28" s="34"/>
      <c r="M28" s="42"/>
      <c r="N28" s="43"/>
      <c r="O28" s="43"/>
      <c r="P28" s="44"/>
    </row>
    <row r="29" customFormat="false" ht="13.8" hidden="false" customHeight="false" outlineLevel="0" collapsed="false">
      <c r="L29" s="34"/>
      <c r="M29" s="42"/>
      <c r="N29" s="43"/>
      <c r="O29" s="43"/>
      <c r="P29" s="44"/>
    </row>
    <row r="30" customFormat="false" ht="13.8" hidden="false" customHeight="false" outlineLevel="0" collapsed="false">
      <c r="L30" s="34"/>
      <c r="M30" s="42"/>
      <c r="N30" s="43"/>
      <c r="O30" s="43"/>
      <c r="P30" s="44"/>
    </row>
    <row r="31" customFormat="false" ht="13.8" hidden="false" customHeight="false" outlineLevel="0" collapsed="false">
      <c r="L31" s="34"/>
      <c r="M31" s="42"/>
      <c r="N31" s="43"/>
      <c r="O31" s="43"/>
      <c r="P31" s="44"/>
    </row>
    <row r="32" customFormat="false" ht="13.8" hidden="false" customHeight="false" outlineLevel="0" collapsed="false">
      <c r="L32" s="34"/>
      <c r="M32" s="42"/>
      <c r="N32" s="43"/>
      <c r="O32" s="43"/>
      <c r="P32" s="44"/>
    </row>
    <row r="33" customFormat="false" ht="13.8" hidden="false" customHeight="false" outlineLevel="0" collapsed="false">
      <c r="L33" s="34"/>
      <c r="M33" s="42"/>
      <c r="N33" s="43"/>
      <c r="O33" s="43"/>
      <c r="P33" s="44"/>
    </row>
    <row r="34" customFormat="false" ht="13.8" hidden="false" customHeight="false" outlineLevel="0" collapsed="false">
      <c r="L34" s="34"/>
      <c r="M34" s="42"/>
      <c r="N34" s="43"/>
      <c r="O34" s="43"/>
      <c r="P34" s="44"/>
    </row>
    <row r="35" customFormat="false" ht="13.8" hidden="false" customHeight="false" outlineLevel="0" collapsed="false">
      <c r="L35" s="34"/>
      <c r="M35" s="42"/>
      <c r="N35" s="43"/>
      <c r="O35" s="43"/>
      <c r="P35" s="44"/>
    </row>
    <row r="36" customFormat="false" ht="13.8" hidden="false" customHeight="false" outlineLevel="0" collapsed="false">
      <c r="L36" s="34"/>
      <c r="M36" s="42"/>
      <c r="N36" s="43"/>
      <c r="O36" s="43"/>
      <c r="P36" s="44"/>
    </row>
    <row r="37" customFormat="false" ht="13.8" hidden="false" customHeight="false" outlineLevel="0" collapsed="false">
      <c r="L37" s="34"/>
      <c r="M37" s="42"/>
      <c r="N37" s="43"/>
      <c r="O37" s="43"/>
      <c r="P37" s="44"/>
    </row>
    <row r="38" customFormat="false" ht="13.8" hidden="false" customHeight="false" outlineLevel="0" collapsed="false">
      <c r="L38" s="34"/>
      <c r="M38" s="42"/>
      <c r="N38" s="43"/>
      <c r="O38" s="43"/>
      <c r="P38" s="44"/>
    </row>
    <row r="39" customFormat="false" ht="13.8" hidden="false" customHeight="false" outlineLevel="0" collapsed="false">
      <c r="L39" s="34"/>
      <c r="M39" s="42"/>
      <c r="N39" s="43"/>
      <c r="O39" s="43"/>
      <c r="P39" s="44"/>
    </row>
    <row r="40" customFormat="false" ht="17.35" hidden="false" customHeight="false" outlineLevel="0" collapsed="false">
      <c r="L40" s="34"/>
      <c r="M40" s="45"/>
      <c r="N40" s="45"/>
      <c r="O40" s="46"/>
      <c r="P40" s="47"/>
    </row>
    <row r="41" customFormat="false" ht="17.35" hidden="false" customHeight="false" outlineLevel="0" collapsed="false">
      <c r="L41" s="34"/>
      <c r="M41" s="45"/>
      <c r="N41" s="45"/>
      <c r="O41" s="48"/>
      <c r="P41" s="49"/>
    </row>
    <row r="42" customFormat="false" ht="13.8" hidden="false" customHeight="false" outlineLevel="0" collapsed="false">
      <c r="L42" s="45"/>
      <c r="M42" s="45"/>
      <c r="N42" s="45"/>
      <c r="O42" s="45"/>
      <c r="P42" s="45"/>
    </row>
    <row r="43" customFormat="false" ht="16.15" hidden="false" customHeight="false" outlineLevel="0" collapsed="false">
      <c r="L43" s="39"/>
      <c r="M43" s="39"/>
      <c r="N43" s="39"/>
      <c r="O43" s="39"/>
      <c r="P43" s="39"/>
    </row>
    <row r="44" customFormat="false" ht="13.8" hidden="false" customHeight="false" outlineLevel="0" collapsed="false">
      <c r="L44" s="40"/>
      <c r="M44" s="41"/>
      <c r="N44" s="41"/>
      <c r="O44" s="41"/>
      <c r="P44" s="41"/>
    </row>
    <row r="45" customFormat="false" ht="13.8" hidden="false" customHeight="false" outlineLevel="0" collapsed="false">
      <c r="L45" s="34"/>
      <c r="M45" s="50"/>
      <c r="N45" s="51"/>
      <c r="O45" s="43"/>
      <c r="P45" s="44"/>
    </row>
    <row r="46" customFormat="false" ht="13.8" hidden="false" customHeight="false" outlineLevel="0" collapsed="false">
      <c r="L46" s="34"/>
      <c r="M46" s="50"/>
      <c r="N46" s="51"/>
      <c r="O46" s="43"/>
      <c r="P46" s="44"/>
    </row>
    <row r="47" customFormat="false" ht="13.8" hidden="false" customHeight="false" outlineLevel="0" collapsed="false">
      <c r="L47" s="34"/>
      <c r="M47" s="50"/>
      <c r="N47" s="51"/>
      <c r="O47" s="43"/>
      <c r="P47" s="44"/>
    </row>
    <row r="48" customFormat="false" ht="13.8" hidden="false" customHeight="false" outlineLevel="0" collapsed="false">
      <c r="L48" s="34"/>
      <c r="M48" s="50"/>
      <c r="N48" s="51"/>
      <c r="O48" s="43"/>
      <c r="P48" s="44"/>
    </row>
    <row r="49" customFormat="false" ht="13.8" hidden="false" customHeight="false" outlineLevel="0" collapsed="false">
      <c r="L49" s="34"/>
      <c r="M49" s="50"/>
      <c r="N49" s="51"/>
      <c r="O49" s="43"/>
      <c r="P49" s="44"/>
    </row>
    <row r="50" customFormat="false" ht="13.8" hidden="false" customHeight="false" outlineLevel="0" collapsed="false">
      <c r="L50" s="34"/>
      <c r="M50" s="50"/>
      <c r="N50" s="51"/>
      <c r="O50" s="43"/>
      <c r="P50" s="44"/>
    </row>
    <row r="51" customFormat="false" ht="13.8" hidden="false" customHeight="false" outlineLevel="0" collapsed="false">
      <c r="L51" s="34"/>
      <c r="M51" s="50"/>
      <c r="N51" s="51"/>
      <c r="O51" s="43"/>
      <c r="P51" s="44"/>
    </row>
    <row r="52" customFormat="false" ht="13.8" hidden="false" customHeight="false" outlineLevel="0" collapsed="false">
      <c r="L52" s="34"/>
      <c r="M52" s="50"/>
      <c r="N52" s="51"/>
      <c r="O52" s="43"/>
      <c r="P52" s="44"/>
    </row>
    <row r="53" customFormat="false" ht="13.8" hidden="false" customHeight="false" outlineLevel="0" collapsed="false">
      <c r="L53" s="34"/>
      <c r="M53" s="50"/>
      <c r="N53" s="51"/>
      <c r="O53" s="43"/>
      <c r="P53" s="44"/>
    </row>
    <row r="54" customFormat="false" ht="13.8" hidden="false" customHeight="false" outlineLevel="0" collapsed="false">
      <c r="L54" s="34"/>
      <c r="M54" s="50"/>
      <c r="N54" s="51"/>
      <c r="O54" s="43"/>
      <c r="P54" s="44"/>
    </row>
    <row r="55" customFormat="false" ht="13.8" hidden="false" customHeight="false" outlineLevel="0" collapsed="false">
      <c r="L55" s="34"/>
      <c r="M55" s="50"/>
      <c r="N55" s="51"/>
      <c r="O55" s="43"/>
      <c r="P55" s="44"/>
    </row>
    <row r="56" customFormat="false" ht="13.8" hidden="false" customHeight="false" outlineLevel="0" collapsed="false">
      <c r="L56" s="34"/>
      <c r="M56" s="50"/>
      <c r="N56" s="51"/>
      <c r="O56" s="43"/>
      <c r="P56" s="44"/>
    </row>
    <row r="57" customFormat="false" ht="13.8" hidden="false" customHeight="false" outlineLevel="0" collapsed="false">
      <c r="L57" s="34"/>
      <c r="M57" s="50"/>
      <c r="N57" s="51"/>
      <c r="O57" s="43"/>
      <c r="P57" s="44"/>
    </row>
    <row r="58" customFormat="false" ht="13.8" hidden="false" customHeight="false" outlineLevel="0" collapsed="false">
      <c r="L58" s="34"/>
      <c r="M58" s="42"/>
      <c r="N58" s="52"/>
      <c r="O58" s="43"/>
      <c r="P58" s="44"/>
    </row>
    <row r="59" customFormat="false" ht="13.8" hidden="false" customHeight="false" outlineLevel="0" collapsed="false">
      <c r="L59" s="34"/>
      <c r="M59" s="42"/>
      <c r="N59" s="43"/>
      <c r="O59" s="43"/>
      <c r="P59" s="44"/>
    </row>
    <row r="60" customFormat="false" ht="17.35" hidden="false" customHeight="false" outlineLevel="0" collapsed="false">
      <c r="L60" s="34"/>
      <c r="M60" s="45"/>
      <c r="N60" s="45"/>
      <c r="O60" s="46"/>
      <c r="P60" s="47"/>
    </row>
    <row r="61" customFormat="false" ht="15" hidden="false" customHeight="false" outlineLevel="0" collapsed="false">
      <c r="L61" s="45"/>
      <c r="M61" s="45"/>
      <c r="N61" s="45"/>
      <c r="O61" s="48"/>
      <c r="P61" s="53"/>
    </row>
    <row r="62" customFormat="false" ht="13.8" hidden="false" customHeight="false" outlineLevel="0" collapsed="false">
      <c r="L62" s="45"/>
      <c r="M62" s="45"/>
      <c r="N62" s="45"/>
      <c r="O62" s="45"/>
      <c r="P62" s="45"/>
    </row>
  </sheetData>
  <mergeCells count="6">
    <mergeCell ref="L1:P1"/>
    <mergeCell ref="M2:N2"/>
    <mergeCell ref="M3:N3"/>
    <mergeCell ref="L4:P4"/>
    <mergeCell ref="L24:P24"/>
    <mergeCell ref="L43:P43"/>
  </mergeCells>
  <dataValidations count="1">
    <dataValidation allowBlank="true" errorStyle="stop" operator="equal" showDropDown="false" showErrorMessage="true" showInputMessage="true" sqref="M2:N2" type="list">
      <formula1>$N$6:$N$10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6.57"/>
    <col collapsed="false" customWidth="true" hidden="false" outlineLevel="0" max="3" min="3" style="0" width="18.85"/>
    <col collapsed="false" customWidth="true" hidden="false" outlineLevel="0" max="4" min="4" style="0" width="17"/>
    <col collapsed="false" customWidth="true" hidden="false" outlineLevel="0" max="5" min="5" style="0" width="11"/>
    <col collapsed="false" customWidth="true" hidden="true" outlineLevel="0" max="7" min="7" style="0" width="9.14"/>
    <col collapsed="false" customWidth="true" hidden="false" outlineLevel="0" max="8" min="8" style="0" width="22.28"/>
    <col collapsed="false" customWidth="true" hidden="false" outlineLevel="0" max="10" min="9" style="0" width="15.57"/>
    <col collapsed="false" customWidth="true" hidden="false" outlineLevel="0" max="12" min="11" style="0" width="14.28"/>
    <col collapsed="false" customWidth="true" hidden="false" outlineLevel="0" max="14" min="14" style="0" width="26.42"/>
    <col collapsed="false" customWidth="true" hidden="false" outlineLevel="0" max="15" min="15" style="0" width="17.43"/>
  </cols>
  <sheetData>
    <row r="1" customFormat="false" ht="13.8" hidden="false" customHeight="false" outlineLevel="0" collapsed="false">
      <c r="E1" s="102"/>
    </row>
    <row r="2" customFormat="false" ht="28.5" hidden="false" customHeight="true" outlineLevel="0" collapsed="false">
      <c r="A2" s="8" t="s">
        <v>10</v>
      </c>
      <c r="B2" s="8"/>
      <c r="C2" s="8"/>
      <c r="D2" s="8"/>
      <c r="E2" s="8"/>
      <c r="H2" s="103" t="s">
        <v>189</v>
      </c>
      <c r="I2" s="103"/>
      <c r="J2" s="103"/>
      <c r="K2" s="103"/>
      <c r="L2" s="103"/>
    </row>
    <row r="3" customFormat="false" ht="18" hidden="false" customHeight="true" outlineLevel="0" collapsed="false">
      <c r="A3" s="104" t="n">
        <v>32</v>
      </c>
      <c r="B3" s="105" t="s">
        <v>12</v>
      </c>
      <c r="C3" s="105"/>
      <c r="D3" s="106"/>
      <c r="E3" s="107"/>
      <c r="F3" s="108"/>
      <c r="G3" s="108"/>
      <c r="H3" s="103"/>
      <c r="I3" s="103"/>
      <c r="J3" s="103"/>
      <c r="K3" s="103"/>
      <c r="L3" s="103"/>
    </row>
    <row r="4" customFormat="false" ht="17.25" hidden="false" customHeight="true" outlineLevel="0" collapsed="false">
      <c r="A4" s="109" t="n">
        <v>7500</v>
      </c>
      <c r="B4" s="110" t="s">
        <v>14</v>
      </c>
      <c r="C4" s="110"/>
      <c r="D4" s="106"/>
      <c r="E4" s="107"/>
      <c r="F4" s="111"/>
      <c r="G4" s="111"/>
    </row>
    <row r="5" customFormat="false" ht="15" hidden="false" customHeight="false" outlineLevel="0" collapsed="false">
      <c r="A5" s="112" t="n">
        <v>0</v>
      </c>
      <c r="B5" s="112"/>
      <c r="C5" s="112"/>
      <c r="D5" s="112"/>
      <c r="E5" s="112"/>
      <c r="H5" s="113" t="s">
        <v>190</v>
      </c>
      <c r="I5" s="113"/>
      <c r="J5" s="113"/>
      <c r="K5" s="113"/>
      <c r="L5" s="113"/>
      <c r="N5" s="114" t="s">
        <v>191</v>
      </c>
      <c r="O5" s="115" t="s">
        <v>192</v>
      </c>
      <c r="R5" s="0" t="n">
        <v>80</v>
      </c>
      <c r="S5" s="0" t="n">
        <v>44500</v>
      </c>
      <c r="T5" s="0" t="n">
        <v>44500</v>
      </c>
      <c r="U5" s="0" t="n">
        <v>0.001797753</v>
      </c>
    </row>
    <row r="6" customFormat="false" ht="13.8" hidden="false" customHeight="false" outlineLevel="0" collapsed="false">
      <c r="A6" s="20" t="s">
        <v>16</v>
      </c>
      <c r="B6" s="21" t="s">
        <v>17</v>
      </c>
      <c r="C6" s="22" t="s">
        <v>18</v>
      </c>
      <c r="D6" s="22" t="s">
        <v>19</v>
      </c>
      <c r="E6" s="22" t="s">
        <v>20</v>
      </c>
      <c r="H6" s="116" t="s">
        <v>193</v>
      </c>
      <c r="I6" s="117" t="s">
        <v>194</v>
      </c>
      <c r="J6" s="117" t="s">
        <v>195</v>
      </c>
      <c r="K6" s="117" t="s">
        <v>196</v>
      </c>
      <c r="L6" s="118" t="s">
        <v>197</v>
      </c>
      <c r="N6" s="119" t="s">
        <v>198</v>
      </c>
      <c r="O6" s="120" t="n">
        <v>5</v>
      </c>
      <c r="P6" s="121" t="n">
        <f aca="false">B7/(5/O6*C7)</f>
        <v>0.008</v>
      </c>
      <c r="R6" s="0" t="n">
        <v>23</v>
      </c>
      <c r="S6" s="0" t="n">
        <v>11428</v>
      </c>
      <c r="T6" s="0" t="n">
        <v>11428</v>
      </c>
      <c r="U6" s="0" t="n">
        <v>0.002012601</v>
      </c>
    </row>
    <row r="7" customFormat="false" ht="15.1" hidden="false" customHeight="false" outlineLevel="0" collapsed="false">
      <c r="A7" s="122" t="s">
        <v>21</v>
      </c>
      <c r="B7" s="123" t="n">
        <v>60</v>
      </c>
      <c r="C7" s="124" t="n">
        <v>7500</v>
      </c>
      <c r="D7" s="125" t="n">
        <f aca="false">(5/$A$3)*C7</f>
        <v>1171.875</v>
      </c>
      <c r="E7" s="126" t="n">
        <f aca="false">B7/D7</f>
        <v>0.0512</v>
      </c>
      <c r="H7" s="127" t="s">
        <v>199</v>
      </c>
      <c r="I7" s="128" t="n">
        <f aca="false">$J$7*2</f>
        <v>0.4864</v>
      </c>
      <c r="J7" s="128" t="n">
        <f aca="false">E21</f>
        <v>0.2432</v>
      </c>
      <c r="K7" s="128" t="n">
        <f aca="false">$J$7/2</f>
        <v>0.1216</v>
      </c>
      <c r="L7" s="129" t="n">
        <f aca="false">J7/4</f>
        <v>0.0608</v>
      </c>
      <c r="N7" s="119" t="s">
        <v>200</v>
      </c>
      <c r="O7" s="120" t="n">
        <v>15</v>
      </c>
      <c r="P7" s="121" t="n">
        <f aca="false">B8/(5/O7*C8)</f>
        <v>0.03</v>
      </c>
      <c r="R7" s="0" t="n">
        <v>23</v>
      </c>
      <c r="S7" s="0" t="n">
        <v>11428</v>
      </c>
      <c r="T7" s="0" t="n">
        <v>11428</v>
      </c>
      <c r="U7" s="0" t="n">
        <v>0.002012601</v>
      </c>
    </row>
    <row r="8" customFormat="false" ht="15" hidden="false" customHeight="true" outlineLevel="0" collapsed="false">
      <c r="A8" s="130" t="s">
        <v>22</v>
      </c>
      <c r="B8" s="123" t="n">
        <v>60</v>
      </c>
      <c r="C8" s="124" t="n">
        <v>6000</v>
      </c>
      <c r="D8" s="125" t="n">
        <f aca="false">(5/$A$3)*C8</f>
        <v>937.5</v>
      </c>
      <c r="E8" s="131" t="n">
        <f aca="false">B8/D8</f>
        <v>0.064</v>
      </c>
      <c r="H8" s="132" t="s">
        <v>201</v>
      </c>
      <c r="I8" s="133" t="n">
        <f aca="false">I7*2</f>
        <v>0.9728</v>
      </c>
      <c r="J8" s="133" t="n">
        <f aca="false">J7*2</f>
        <v>0.4864</v>
      </c>
      <c r="K8" s="133" t="n">
        <f aca="false">$J$8/2</f>
        <v>0.2432</v>
      </c>
      <c r="L8" s="134" t="n">
        <f aca="false">J8/4</f>
        <v>0.1216</v>
      </c>
      <c r="N8" s="119" t="s">
        <v>202</v>
      </c>
      <c r="O8" s="120" t="n">
        <v>40</v>
      </c>
      <c r="P8" s="121" t="n">
        <f aca="false">B9/(5/O8*C9)</f>
        <v>0.08</v>
      </c>
      <c r="R8" s="0" t="n">
        <v>23</v>
      </c>
      <c r="S8" s="0" t="n">
        <v>11428</v>
      </c>
      <c r="T8" s="0" t="n">
        <v>11428</v>
      </c>
      <c r="U8" s="0" t="n">
        <v>0.002012601</v>
      </c>
    </row>
    <row r="9" customFormat="false" ht="15" hidden="false" customHeight="true" outlineLevel="0" collapsed="false">
      <c r="A9" s="130" t="s">
        <v>23</v>
      </c>
      <c r="B9" s="123" t="n">
        <v>60</v>
      </c>
      <c r="C9" s="124" t="n">
        <v>6000</v>
      </c>
      <c r="D9" s="125" t="n">
        <f aca="false">(5/$A$3)*C9</f>
        <v>937.5</v>
      </c>
      <c r="E9" s="131" t="n">
        <f aca="false">B9/D9</f>
        <v>0.064</v>
      </c>
      <c r="N9" s="119" t="s">
        <v>203</v>
      </c>
      <c r="O9" s="120" t="n">
        <v>50</v>
      </c>
      <c r="P9" s="121" t="n">
        <f aca="false">B10/(5/O9*C10)</f>
        <v>0.1</v>
      </c>
    </row>
    <row r="10" customFormat="false" ht="16.5" hidden="false" customHeight="true" outlineLevel="0" collapsed="false">
      <c r="A10" s="130" t="s">
        <v>24</v>
      </c>
      <c r="B10" s="123" t="n">
        <v>60</v>
      </c>
      <c r="C10" s="124" t="n">
        <v>6000</v>
      </c>
      <c r="D10" s="125" t="n">
        <f aca="false">(5/$A$3)*C10</f>
        <v>937.5</v>
      </c>
      <c r="E10" s="131" t="n">
        <f aca="false">B10/D10</f>
        <v>0.064</v>
      </c>
      <c r="H10" s="135" t="s">
        <v>204</v>
      </c>
      <c r="I10" s="136" t="s">
        <v>68</v>
      </c>
      <c r="J10" s="136" t="s">
        <v>74</v>
      </c>
      <c r="K10" s="136" t="s">
        <v>77</v>
      </c>
      <c r="L10" s="137" t="s">
        <v>80</v>
      </c>
      <c r="N10" s="138" t="s">
        <v>12</v>
      </c>
      <c r="O10" s="139" t="n">
        <v>100</v>
      </c>
      <c r="P10" s="121" t="n">
        <f aca="false">B11/(5/O10*C11)</f>
        <v>0</v>
      </c>
    </row>
    <row r="11" customFormat="false" ht="15.75" hidden="false" customHeight="true" outlineLevel="0" collapsed="false">
      <c r="A11" s="130" t="s">
        <v>25</v>
      </c>
      <c r="B11" s="140" t="n">
        <v>0</v>
      </c>
      <c r="C11" s="141" t="n">
        <v>50000</v>
      </c>
      <c r="D11" s="125" t="n">
        <f aca="false">(5/$A$3)*C11</f>
        <v>7812.5</v>
      </c>
      <c r="E11" s="131" t="n">
        <f aca="false">B11/D11</f>
        <v>0</v>
      </c>
      <c r="H11" s="135"/>
      <c r="I11" s="136"/>
      <c r="J11" s="136"/>
      <c r="K11" s="136"/>
      <c r="L11" s="137"/>
    </row>
    <row r="12" customFormat="false" ht="15.1" hidden="false" customHeight="false" outlineLevel="0" collapsed="false">
      <c r="A12" s="130" t="s">
        <v>26</v>
      </c>
      <c r="B12" s="140" t="n">
        <v>0</v>
      </c>
      <c r="C12" s="141" t="n">
        <v>50000</v>
      </c>
      <c r="D12" s="125" t="n">
        <f aca="false">(5/$A$3)*C12</f>
        <v>7812.5</v>
      </c>
      <c r="E12" s="131" t="n">
        <f aca="false">B12/D12</f>
        <v>0</v>
      </c>
      <c r="H12" s="142" t="n">
        <v>1</v>
      </c>
      <c r="I12" s="143" t="n">
        <f aca="false">($I$7*H12)*$A$4</f>
        <v>3648</v>
      </c>
      <c r="J12" s="144" t="n">
        <f aca="false">($J$7*H12)*$A$4</f>
        <v>1824</v>
      </c>
      <c r="K12" s="144" t="n">
        <f aca="false">($K$7*H12)*$A$4</f>
        <v>912</v>
      </c>
      <c r="L12" s="145" t="n">
        <f aca="false">($L$7*H12)*$A$4</f>
        <v>456</v>
      </c>
      <c r="N12" s="146" t="s">
        <v>68</v>
      </c>
      <c r="O12" s="147" t="n">
        <f aca="false">I7</f>
        <v>0.4864</v>
      </c>
    </row>
    <row r="13" customFormat="false" ht="15.1" hidden="false" customHeight="false" outlineLevel="0" collapsed="false">
      <c r="A13" s="130" t="s">
        <v>27</v>
      </c>
      <c r="B13" s="140" t="n">
        <v>0</v>
      </c>
      <c r="C13" s="141" t="n">
        <v>50000</v>
      </c>
      <c r="D13" s="125" t="n">
        <f aca="false">(5/$A$3)*C13</f>
        <v>7812.5</v>
      </c>
      <c r="E13" s="131" t="n">
        <f aca="false">B13/D13</f>
        <v>0</v>
      </c>
      <c r="H13" s="142" t="n">
        <v>12</v>
      </c>
      <c r="I13" s="143" t="n">
        <f aca="false">($I$7*H13)*$A$4</f>
        <v>43776</v>
      </c>
      <c r="J13" s="144" t="n">
        <f aca="false">($J$7*H13)*$A$4</f>
        <v>21888</v>
      </c>
      <c r="K13" s="144" t="n">
        <f aca="false">($K$7*H13)*$A$4</f>
        <v>10944</v>
      </c>
      <c r="L13" s="145" t="n">
        <f aca="false">($L$7*H13)*$A$4</f>
        <v>5472</v>
      </c>
      <c r="N13" s="146" t="s">
        <v>74</v>
      </c>
      <c r="O13" s="147" t="n">
        <f aca="false">J7</f>
        <v>0.2432</v>
      </c>
    </row>
    <row r="14" customFormat="false" ht="15.1" hidden="false" customHeight="false" outlineLevel="0" collapsed="false">
      <c r="A14" s="130" t="s">
        <v>28</v>
      </c>
      <c r="B14" s="140" t="n">
        <v>0</v>
      </c>
      <c r="C14" s="141" t="n">
        <v>50000</v>
      </c>
      <c r="D14" s="125" t="n">
        <f aca="false">(5/$A$3)*C14</f>
        <v>7812.5</v>
      </c>
      <c r="E14" s="131" t="n">
        <f aca="false">B14/D14</f>
        <v>0</v>
      </c>
      <c r="H14" s="142" t="n">
        <v>24</v>
      </c>
      <c r="I14" s="143" t="n">
        <f aca="false">($I$7*H14)*$A$4</f>
        <v>87552</v>
      </c>
      <c r="J14" s="144" t="n">
        <f aca="false">($J$7*H14)*$A$4</f>
        <v>43776</v>
      </c>
      <c r="K14" s="144" t="n">
        <f aca="false">($K$7*H14)*$A$4</f>
        <v>21888</v>
      </c>
      <c r="L14" s="145" t="n">
        <f aca="false">($L$7*H14)*$A$4</f>
        <v>10944</v>
      </c>
      <c r="N14" s="146" t="s">
        <v>77</v>
      </c>
      <c r="O14" s="147" t="n">
        <f aca="false">K7</f>
        <v>0.1216</v>
      </c>
    </row>
    <row r="15" customFormat="false" ht="15.1" hidden="false" customHeight="false" outlineLevel="0" collapsed="false">
      <c r="A15" s="130" t="s">
        <v>29</v>
      </c>
      <c r="B15" s="140" t="n">
        <v>0</v>
      </c>
      <c r="C15" s="141" t="n">
        <v>100000</v>
      </c>
      <c r="D15" s="125" t="n">
        <f aca="false">(5/$A$3)*C15</f>
        <v>15625</v>
      </c>
      <c r="E15" s="131" t="n">
        <f aca="false">B15/D15</f>
        <v>0</v>
      </c>
      <c r="H15" s="148" t="n">
        <v>36</v>
      </c>
      <c r="I15" s="149" t="n">
        <f aca="false">($I$7*H15)*$A$4</f>
        <v>131328</v>
      </c>
      <c r="J15" s="150" t="n">
        <f aca="false">($J$7*H15)*$A$4</f>
        <v>65664</v>
      </c>
      <c r="K15" s="150" t="n">
        <f aca="false">($K$7*H15)*$A$4</f>
        <v>32832</v>
      </c>
      <c r="L15" s="151" t="n">
        <f aca="false">($L$7*H15)*$A$4</f>
        <v>16416</v>
      </c>
      <c r="N15" s="146" t="s">
        <v>80</v>
      </c>
      <c r="O15" s="147" t="n">
        <f aca="false">L7</f>
        <v>0.0608</v>
      </c>
    </row>
    <row r="16" customFormat="false" ht="15.1" hidden="false" customHeight="false" outlineLevel="0" collapsed="false">
      <c r="A16" s="130" t="s">
        <v>30</v>
      </c>
      <c r="B16" s="140" t="n">
        <v>0</v>
      </c>
      <c r="C16" s="141" t="n">
        <v>100000</v>
      </c>
      <c r="D16" s="125" t="n">
        <f aca="false">(5/$A$3)*C16</f>
        <v>15625</v>
      </c>
      <c r="E16" s="131" t="n">
        <f aca="false">B16/D16</f>
        <v>0</v>
      </c>
    </row>
    <row r="17" customFormat="false" ht="18.75" hidden="false" customHeight="true" outlineLevel="0" collapsed="false">
      <c r="A17" s="130" t="s">
        <v>31</v>
      </c>
      <c r="B17" s="140" t="n">
        <v>0</v>
      </c>
      <c r="C17" s="141" t="n">
        <v>100000</v>
      </c>
      <c r="D17" s="125" t="n">
        <f aca="false">(5/$A$3)*C17</f>
        <v>15625</v>
      </c>
      <c r="E17" s="131" t="n">
        <f aca="false">B17/D17</f>
        <v>0</v>
      </c>
      <c r="H17" s="152" t="s">
        <v>205</v>
      </c>
      <c r="I17" s="153" t="s">
        <v>68</v>
      </c>
      <c r="J17" s="153" t="s">
        <v>74</v>
      </c>
      <c r="K17" s="153" t="s">
        <v>77</v>
      </c>
      <c r="L17" s="154" t="s">
        <v>80</v>
      </c>
    </row>
    <row r="18" customFormat="false" ht="15.75" hidden="false" customHeight="true" outlineLevel="0" collapsed="false">
      <c r="A18" s="130" t="s">
        <v>32</v>
      </c>
      <c r="B18" s="140" t="n">
        <v>0</v>
      </c>
      <c r="C18" s="141" t="n">
        <v>100000</v>
      </c>
      <c r="D18" s="125" t="n">
        <f aca="false">(5/$A$3)*C18</f>
        <v>15625</v>
      </c>
      <c r="E18" s="131" t="n">
        <f aca="false">B18/D18</f>
        <v>0</v>
      </c>
      <c r="H18" s="152"/>
      <c r="I18" s="153"/>
      <c r="J18" s="153"/>
      <c r="K18" s="153"/>
      <c r="L18" s="154"/>
    </row>
    <row r="19" customFormat="false" ht="15.1" hidden="false" customHeight="false" outlineLevel="0" collapsed="false">
      <c r="A19" s="130" t="s">
        <v>33</v>
      </c>
      <c r="B19" s="140" t="n">
        <v>0</v>
      </c>
      <c r="C19" s="141" t="n">
        <v>100000</v>
      </c>
      <c r="D19" s="125" t="n">
        <f aca="false">(5/$A$3)*C19</f>
        <v>15625</v>
      </c>
      <c r="E19" s="131" t="n">
        <f aca="false">B19/D19</f>
        <v>0</v>
      </c>
      <c r="H19" s="142" t="n">
        <v>1</v>
      </c>
      <c r="I19" s="155" t="n">
        <f aca="false">I12/(1-50%)-I12</f>
        <v>3648</v>
      </c>
      <c r="J19" s="155" t="n">
        <f aca="false">J12/(1-50%)-J12</f>
        <v>1824</v>
      </c>
      <c r="K19" s="155" t="n">
        <f aca="false">K12/(1-50%)-K12</f>
        <v>912</v>
      </c>
      <c r="L19" s="155" t="n">
        <f aca="false">L12/(1-50%)-L12</f>
        <v>456</v>
      </c>
    </row>
    <row r="20" customFormat="false" ht="15.1" hidden="false" customHeight="false" outlineLevel="0" collapsed="false">
      <c r="A20" s="130" t="s">
        <v>34</v>
      </c>
      <c r="B20" s="156" t="n">
        <v>0</v>
      </c>
      <c r="C20" s="157" t="n">
        <v>60000</v>
      </c>
      <c r="D20" s="125" t="n">
        <f aca="false">(5/$A$3)*C20</f>
        <v>9375</v>
      </c>
      <c r="E20" s="158" t="n">
        <f aca="false">B20/D20</f>
        <v>0</v>
      </c>
      <c r="H20" s="142" t="n">
        <v>12</v>
      </c>
      <c r="I20" s="155" t="n">
        <f aca="false">I19*12</f>
        <v>43776</v>
      </c>
      <c r="J20" s="155" t="n">
        <f aca="false">J19*12</f>
        <v>21888</v>
      </c>
      <c r="K20" s="155" t="n">
        <f aca="false">K19*12</f>
        <v>10944</v>
      </c>
      <c r="L20" s="155" t="n">
        <f aca="false">L19*12</f>
        <v>5472</v>
      </c>
    </row>
    <row r="21" customFormat="false" ht="15" hidden="false" customHeight="false" outlineLevel="0" collapsed="false">
      <c r="A21" s="159"/>
      <c r="D21" s="160" t="s">
        <v>35</v>
      </c>
      <c r="E21" s="161" t="n">
        <f aca="false">SUM(E7:E20)</f>
        <v>0.2432</v>
      </c>
      <c r="H21" s="142" t="n">
        <v>24</v>
      </c>
      <c r="I21" s="155" t="n">
        <f aca="false">I19*24</f>
        <v>87552</v>
      </c>
      <c r="J21" s="155" t="n">
        <f aca="false">J19*24</f>
        <v>43776</v>
      </c>
      <c r="K21" s="155" t="n">
        <f aca="false">K19*24</f>
        <v>21888</v>
      </c>
      <c r="L21" s="155" t="n">
        <f aca="false">L19*24</f>
        <v>10944</v>
      </c>
    </row>
    <row r="22" customFormat="false" ht="15" hidden="false" customHeight="false" outlineLevel="0" collapsed="false">
      <c r="A22" s="159"/>
      <c r="D22" s="160" t="s">
        <v>36</v>
      </c>
      <c r="E22" s="162" t="n">
        <f aca="false">E21*A4</f>
        <v>1824</v>
      </c>
      <c r="H22" s="148" t="n">
        <v>36</v>
      </c>
      <c r="I22" s="163" t="n">
        <f aca="false">I19*36</f>
        <v>131328</v>
      </c>
      <c r="J22" s="163" t="n">
        <f aca="false">J19*36</f>
        <v>65664</v>
      </c>
      <c r="K22" s="163" t="n">
        <f aca="false">K19*36</f>
        <v>32832</v>
      </c>
      <c r="L22" s="163" t="n">
        <f aca="false">L19*36</f>
        <v>16416</v>
      </c>
    </row>
    <row r="23" customFormat="false" ht="16.15" hidden="false" customHeight="false" outlineLevel="0" collapsed="false">
      <c r="G23" s="164"/>
    </row>
    <row r="24" customFormat="false" ht="16.15" hidden="false" customHeight="false" outlineLevel="0" collapsed="false">
      <c r="A24" s="165"/>
      <c r="B24" s="165"/>
      <c r="C24" s="165"/>
      <c r="D24" s="165"/>
      <c r="E24" s="165"/>
      <c r="F24" s="54"/>
    </row>
    <row r="25" customFormat="false" ht="13.8" hidden="false" customHeight="false" outlineLevel="0" collapsed="false">
      <c r="A25" s="40"/>
      <c r="B25" s="41"/>
      <c r="C25" s="41"/>
      <c r="D25" s="41"/>
      <c r="E25" s="41"/>
      <c r="F25" s="54"/>
    </row>
    <row r="26" customFormat="false" ht="13.8" hidden="false" customHeight="false" outlineLevel="0" collapsed="false">
      <c r="A26" s="159"/>
      <c r="B26" s="166"/>
      <c r="C26" s="167"/>
      <c r="D26" s="167"/>
      <c r="E26" s="168"/>
      <c r="F26" s="54"/>
    </row>
    <row r="27" customFormat="false" ht="13.8" hidden="false" customHeight="false" outlineLevel="0" collapsed="false">
      <c r="A27" s="159"/>
      <c r="B27" s="166"/>
      <c r="C27" s="167"/>
      <c r="D27" s="167"/>
      <c r="E27" s="168"/>
      <c r="F27" s="54"/>
    </row>
    <row r="28" customFormat="false" ht="13.8" hidden="false" customHeight="false" outlineLevel="0" collapsed="false">
      <c r="A28" s="159"/>
      <c r="B28" s="166"/>
      <c r="C28" s="167"/>
      <c r="D28" s="167"/>
      <c r="E28" s="168"/>
      <c r="F28" s="54"/>
    </row>
    <row r="29" customFormat="false" ht="13.8" hidden="false" customHeight="false" outlineLevel="0" collapsed="false">
      <c r="A29" s="159"/>
      <c r="B29" s="166"/>
      <c r="C29" s="167"/>
      <c r="D29" s="167"/>
      <c r="E29" s="168"/>
      <c r="F29" s="54"/>
    </row>
    <row r="30" customFormat="false" ht="13.8" hidden="false" customHeight="false" outlineLevel="0" collapsed="false">
      <c r="A30" s="159"/>
      <c r="B30" s="166"/>
      <c r="C30" s="167"/>
      <c r="D30" s="167"/>
      <c r="E30" s="168"/>
      <c r="F30" s="54"/>
    </row>
    <row r="31" customFormat="false" ht="13.8" hidden="false" customHeight="false" outlineLevel="0" collapsed="false">
      <c r="A31" s="159"/>
      <c r="B31" s="166"/>
      <c r="C31" s="167"/>
      <c r="D31" s="167"/>
      <c r="E31" s="168"/>
      <c r="F31" s="54"/>
    </row>
    <row r="32" customFormat="false" ht="13.8" hidden="false" customHeight="false" outlineLevel="0" collapsed="false">
      <c r="A32" s="159"/>
      <c r="B32" s="166"/>
      <c r="C32" s="167"/>
      <c r="D32" s="167"/>
      <c r="E32" s="168"/>
      <c r="F32" s="54"/>
    </row>
    <row r="33" customFormat="false" ht="13.8" hidden="false" customHeight="false" outlineLevel="0" collapsed="false">
      <c r="A33" s="159"/>
      <c r="B33" s="166"/>
      <c r="C33" s="167"/>
      <c r="D33" s="167"/>
      <c r="E33" s="168"/>
      <c r="F33" s="54"/>
    </row>
    <row r="34" customFormat="false" ht="13.8" hidden="false" customHeight="false" outlineLevel="0" collapsed="false">
      <c r="A34" s="159"/>
      <c r="B34" s="166"/>
      <c r="C34" s="167"/>
      <c r="D34" s="167"/>
      <c r="E34" s="168"/>
      <c r="F34" s="54"/>
    </row>
    <row r="35" customFormat="false" ht="13.8" hidden="false" customHeight="false" outlineLevel="0" collapsed="false">
      <c r="A35" s="159"/>
      <c r="B35" s="166"/>
      <c r="C35" s="167"/>
      <c r="D35" s="167"/>
      <c r="E35" s="168"/>
      <c r="F35" s="54"/>
    </row>
    <row r="36" customFormat="false" ht="13.8" hidden="false" customHeight="false" outlineLevel="0" collapsed="false">
      <c r="A36" s="159"/>
      <c r="B36" s="166"/>
      <c r="C36" s="167"/>
      <c r="D36" s="167"/>
      <c r="E36" s="168"/>
      <c r="F36" s="54"/>
    </row>
    <row r="37" customFormat="false" ht="13.8" hidden="false" customHeight="false" outlineLevel="0" collapsed="false">
      <c r="A37" s="159"/>
      <c r="B37" s="166"/>
      <c r="C37" s="167"/>
      <c r="D37" s="167"/>
      <c r="E37" s="168"/>
      <c r="F37" s="54"/>
    </row>
    <row r="38" customFormat="false" ht="13.8" hidden="false" customHeight="false" outlineLevel="0" collapsed="false">
      <c r="A38" s="159"/>
      <c r="B38" s="166"/>
      <c r="C38" s="167"/>
      <c r="D38" s="167"/>
      <c r="E38" s="168"/>
      <c r="F38" s="54"/>
    </row>
    <row r="39" customFormat="false" ht="13.8" hidden="false" customHeight="false" outlineLevel="0" collapsed="false">
      <c r="A39" s="159"/>
      <c r="B39" s="166"/>
      <c r="C39" s="167"/>
      <c r="D39" s="167"/>
      <c r="E39" s="168"/>
      <c r="F39" s="54"/>
    </row>
    <row r="40" customFormat="false" ht="17.35" hidden="false" customHeight="false" outlineLevel="0" collapsed="false">
      <c r="A40" s="159"/>
      <c r="B40" s="54"/>
      <c r="C40" s="54"/>
      <c r="D40" s="169"/>
      <c r="E40" s="170"/>
      <c r="F40" s="54"/>
    </row>
    <row r="41" customFormat="false" ht="17.35" hidden="false" customHeight="false" outlineLevel="0" collapsed="false">
      <c r="A41" s="159"/>
      <c r="B41" s="54"/>
      <c r="C41" s="54"/>
      <c r="D41" s="171"/>
      <c r="E41" s="172"/>
      <c r="F41" s="54"/>
    </row>
    <row r="42" customFormat="false" ht="13.8" hidden="false" customHeight="false" outlineLevel="0" collapsed="false">
      <c r="A42" s="54"/>
      <c r="B42" s="54"/>
      <c r="C42" s="54"/>
      <c r="D42" s="54"/>
      <c r="E42" s="54"/>
      <c r="F42" s="54"/>
    </row>
    <row r="43" customFormat="false" ht="16.15" hidden="false" customHeight="false" outlineLevel="0" collapsed="false">
      <c r="A43" s="165"/>
      <c r="B43" s="165"/>
      <c r="C43" s="165"/>
      <c r="D43" s="165"/>
      <c r="E43" s="165"/>
      <c r="F43" s="54"/>
    </row>
    <row r="44" customFormat="false" ht="13.8" hidden="false" customHeight="false" outlineLevel="0" collapsed="false">
      <c r="A44" s="40"/>
      <c r="B44" s="41"/>
      <c r="C44" s="41"/>
      <c r="D44" s="41"/>
      <c r="E44" s="41"/>
      <c r="F44" s="54"/>
    </row>
    <row r="45" customFormat="false" ht="13.8" hidden="false" customHeight="false" outlineLevel="0" collapsed="false">
      <c r="A45" s="159"/>
      <c r="B45" s="173"/>
      <c r="C45" s="51"/>
      <c r="D45" s="167"/>
      <c r="E45" s="168"/>
      <c r="F45" s="54"/>
    </row>
    <row r="46" customFormat="false" ht="13.8" hidden="false" customHeight="false" outlineLevel="0" collapsed="false">
      <c r="A46" s="159"/>
      <c r="B46" s="173"/>
      <c r="C46" s="51"/>
      <c r="D46" s="167"/>
      <c r="E46" s="168"/>
      <c r="F46" s="54"/>
    </row>
    <row r="47" customFormat="false" ht="13.8" hidden="false" customHeight="false" outlineLevel="0" collapsed="false">
      <c r="A47" s="159"/>
      <c r="B47" s="173"/>
      <c r="C47" s="51"/>
      <c r="D47" s="167"/>
      <c r="E47" s="168"/>
      <c r="F47" s="54"/>
    </row>
    <row r="48" customFormat="false" ht="13.8" hidden="false" customHeight="false" outlineLevel="0" collapsed="false">
      <c r="A48" s="159"/>
      <c r="B48" s="173"/>
      <c r="C48" s="51"/>
      <c r="D48" s="167"/>
      <c r="E48" s="168"/>
      <c r="F48" s="54"/>
    </row>
    <row r="49" customFormat="false" ht="13.8" hidden="false" customHeight="false" outlineLevel="0" collapsed="false">
      <c r="A49" s="159"/>
      <c r="B49" s="173"/>
      <c r="C49" s="51"/>
      <c r="D49" s="167"/>
      <c r="E49" s="168"/>
      <c r="F49" s="54"/>
    </row>
    <row r="50" customFormat="false" ht="13.8" hidden="false" customHeight="false" outlineLevel="0" collapsed="false">
      <c r="A50" s="159"/>
      <c r="B50" s="173"/>
      <c r="C50" s="51"/>
      <c r="D50" s="167"/>
      <c r="E50" s="168"/>
      <c r="F50" s="54"/>
    </row>
    <row r="51" customFormat="false" ht="13.8" hidden="false" customHeight="false" outlineLevel="0" collapsed="false">
      <c r="A51" s="159"/>
      <c r="B51" s="173"/>
      <c r="C51" s="51"/>
      <c r="D51" s="167"/>
      <c r="E51" s="168"/>
      <c r="F51" s="54"/>
    </row>
    <row r="52" customFormat="false" ht="13.8" hidden="false" customHeight="false" outlineLevel="0" collapsed="false">
      <c r="A52" s="159"/>
      <c r="B52" s="173"/>
      <c r="C52" s="51"/>
      <c r="D52" s="167"/>
      <c r="E52" s="168"/>
      <c r="F52" s="54"/>
    </row>
    <row r="53" customFormat="false" ht="13.8" hidden="false" customHeight="false" outlineLevel="0" collapsed="false">
      <c r="A53" s="159"/>
      <c r="B53" s="173"/>
      <c r="C53" s="51"/>
      <c r="D53" s="167"/>
      <c r="E53" s="168"/>
      <c r="F53" s="54"/>
    </row>
    <row r="54" customFormat="false" ht="13.8" hidden="false" customHeight="false" outlineLevel="0" collapsed="false">
      <c r="A54" s="159"/>
      <c r="B54" s="173"/>
      <c r="C54" s="51"/>
      <c r="D54" s="167"/>
      <c r="E54" s="168"/>
      <c r="F54" s="54"/>
    </row>
    <row r="55" customFormat="false" ht="13.8" hidden="false" customHeight="false" outlineLevel="0" collapsed="false">
      <c r="A55" s="159"/>
      <c r="B55" s="173"/>
      <c r="C55" s="51"/>
      <c r="D55" s="167"/>
      <c r="E55" s="168"/>
      <c r="F55" s="54"/>
    </row>
    <row r="56" customFormat="false" ht="13.8" hidden="false" customHeight="false" outlineLevel="0" collapsed="false">
      <c r="A56" s="159"/>
      <c r="B56" s="173"/>
      <c r="C56" s="51"/>
      <c r="D56" s="167"/>
      <c r="E56" s="168"/>
      <c r="F56" s="54"/>
    </row>
    <row r="57" customFormat="false" ht="13.8" hidden="false" customHeight="false" outlineLevel="0" collapsed="false">
      <c r="A57" s="159"/>
      <c r="B57" s="173"/>
      <c r="C57" s="51"/>
      <c r="D57" s="167"/>
      <c r="E57" s="168"/>
      <c r="F57" s="54"/>
    </row>
    <row r="58" customFormat="false" ht="13.8" hidden="false" customHeight="false" outlineLevel="0" collapsed="false">
      <c r="A58" s="159"/>
      <c r="B58" s="166"/>
      <c r="C58" s="174"/>
      <c r="D58" s="167"/>
      <c r="E58" s="168"/>
      <c r="F58" s="54"/>
    </row>
    <row r="59" customFormat="false" ht="13.8" hidden="false" customHeight="false" outlineLevel="0" collapsed="false">
      <c r="A59" s="159"/>
      <c r="B59" s="166"/>
      <c r="C59" s="167"/>
      <c r="D59" s="167"/>
      <c r="E59" s="168"/>
      <c r="F59" s="54"/>
    </row>
    <row r="60" customFormat="false" ht="17.35" hidden="false" customHeight="false" outlineLevel="0" collapsed="false">
      <c r="A60" s="159"/>
      <c r="B60" s="54"/>
      <c r="C60" s="54"/>
      <c r="D60" s="169"/>
      <c r="E60" s="170"/>
      <c r="F60" s="54"/>
    </row>
    <row r="61" customFormat="false" ht="15" hidden="false" customHeight="false" outlineLevel="0" collapsed="false">
      <c r="A61" s="54"/>
      <c r="B61" s="54"/>
      <c r="C61" s="54"/>
      <c r="D61" s="171"/>
      <c r="E61" s="175"/>
      <c r="F61" s="54"/>
    </row>
    <row r="62" customFormat="false" ht="13.8" hidden="false" customHeight="false" outlineLevel="0" collapsed="false">
      <c r="A62" s="54"/>
      <c r="B62" s="54"/>
      <c r="C62" s="54"/>
      <c r="D62" s="54"/>
      <c r="E62" s="54"/>
      <c r="F62" s="54"/>
    </row>
  </sheetData>
  <autoFilter ref="N5:O10"/>
  <mergeCells count="18">
    <mergeCell ref="A2:E2"/>
    <mergeCell ref="H2:L3"/>
    <mergeCell ref="B3:C3"/>
    <mergeCell ref="B4:C4"/>
    <mergeCell ref="A5:E5"/>
    <mergeCell ref="H5:L5"/>
    <mergeCell ref="H10:H11"/>
    <mergeCell ref="I10:I11"/>
    <mergeCell ref="J10:J11"/>
    <mergeCell ref="K10:K11"/>
    <mergeCell ref="L10:L11"/>
    <mergeCell ref="H17:H18"/>
    <mergeCell ref="I17:I18"/>
    <mergeCell ref="J17:J18"/>
    <mergeCell ref="K17:K18"/>
    <mergeCell ref="L17:L18"/>
    <mergeCell ref="A24:E24"/>
    <mergeCell ref="A43:E43"/>
  </mergeCells>
  <dataValidations count="1">
    <dataValidation allowBlank="true" errorStyle="stop" operator="equal" showDropDown="false" showErrorMessage="true" showInputMessage="true" sqref="B3:C3" type="list">
      <formula1>$N$6:$N$10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76" width="15.43"/>
    <col collapsed="false" customWidth="true" hidden="false" outlineLevel="0" max="2" min="2" style="177" width="10.57"/>
    <col collapsed="false" customWidth="true" hidden="false" outlineLevel="0" max="3" min="3" style="0" width="15.14"/>
    <col collapsed="false" customWidth="true" hidden="false" outlineLevel="0" max="4" min="4" style="0" width="10.85"/>
    <col collapsed="false" customWidth="true" hidden="false" outlineLevel="0" max="6" min="6" style="0" width="12.57"/>
    <col collapsed="false" customWidth="true" hidden="false" outlineLevel="0" max="7" min="7" style="61" width="15.14"/>
    <col collapsed="false" customWidth="true" hidden="false" outlineLevel="0" max="8" min="8" style="61" width="16.28"/>
    <col collapsed="false" customWidth="true" hidden="false" outlineLevel="0" max="9" min="9" style="0" width="19.28"/>
    <col collapsed="false" customWidth="true" hidden="false" outlineLevel="0" max="10" min="10" style="0" width="19.71"/>
    <col collapsed="false" customWidth="true" hidden="false" outlineLevel="0" max="11" min="11" style="0" width="43.85"/>
    <col collapsed="false" customWidth="true" hidden="false" outlineLevel="0" max="13" min="12" style="0" width="21"/>
    <col collapsed="false" customWidth="true" hidden="false" outlineLevel="0" max="14" min="14" style="0" width="13.57"/>
    <col collapsed="false" customWidth="true" hidden="false" outlineLevel="0" max="15" min="15" style="0" width="12.28"/>
    <col collapsed="false" customWidth="true" hidden="false" outlineLevel="0" max="16" min="16" style="69" width="14.14"/>
    <col collapsed="false" customWidth="true" hidden="false" outlineLevel="0" max="17" min="17" style="69" width="15.14"/>
    <col collapsed="false" customWidth="true" hidden="false" outlineLevel="0" max="19" min="19" style="0" width="9.7"/>
    <col collapsed="false" customWidth="true" hidden="false" outlineLevel="0" max="20" min="20" style="0" width="15.43"/>
    <col collapsed="false" customWidth="true" hidden="false" outlineLevel="0" max="21" min="21" style="0" width="12.14"/>
    <col collapsed="false" customWidth="true" hidden="false" outlineLevel="0" max="22" min="22" style="61" width="9.14"/>
    <col collapsed="false" customWidth="true" hidden="false" outlineLevel="0" max="23" min="23" style="0" width="13"/>
  </cols>
  <sheetData>
    <row r="1" customFormat="false" ht="13.8" hidden="false" customHeight="false" outlineLevel="0" collapsed="false">
      <c r="S1" s="178" t="s">
        <v>206</v>
      </c>
      <c r="T1" s="178"/>
      <c r="U1" s="178"/>
      <c r="V1" s="178"/>
      <c r="W1" s="178"/>
    </row>
    <row r="2" customFormat="false" ht="14.9" hidden="false" customHeight="false" outlineLevel="0" collapsed="false">
      <c r="A2" s="179" t="s">
        <v>207</v>
      </c>
      <c r="B2" s="180" t="s">
        <v>208</v>
      </c>
      <c r="C2" s="181" t="s">
        <v>140</v>
      </c>
      <c r="D2" s="181" t="s">
        <v>209</v>
      </c>
      <c r="E2" s="182" t="s">
        <v>129</v>
      </c>
      <c r="F2" s="183" t="s">
        <v>133</v>
      </c>
      <c r="G2" s="184" t="s">
        <v>210</v>
      </c>
      <c r="H2" s="185" t="s">
        <v>211</v>
      </c>
      <c r="I2" s="186" t="s">
        <v>212</v>
      </c>
      <c r="J2" s="186" t="s">
        <v>118</v>
      </c>
      <c r="K2" s="187" t="s">
        <v>213</v>
      </c>
      <c r="L2" s="187" t="s">
        <v>214</v>
      </c>
      <c r="M2" s="187" t="s">
        <v>215</v>
      </c>
      <c r="N2" s="187" t="s">
        <v>216</v>
      </c>
    </row>
    <row r="3" customFormat="false" ht="14.9" hidden="true" customHeight="false" outlineLevel="0" collapsed="false">
      <c r="A3" s="188" t="n">
        <v>25</v>
      </c>
      <c r="B3" s="189" t="s">
        <v>217</v>
      </c>
      <c r="C3" s="63" t="s">
        <v>218</v>
      </c>
      <c r="D3" s="63" t="s">
        <v>144</v>
      </c>
      <c r="E3" s="63" t="s">
        <v>219</v>
      </c>
      <c r="F3" s="63" t="n">
        <v>50</v>
      </c>
      <c r="G3" s="190" t="n">
        <v>3.1</v>
      </c>
      <c r="H3" s="190" t="n">
        <f aca="false">G3/F3</f>
        <v>0.062</v>
      </c>
      <c r="I3" s="190" t="n">
        <f aca="false">Espirais!$H3/(1-75%)</f>
        <v>0.248</v>
      </c>
      <c r="J3" s="190" t="n">
        <f aca="false">ROUNDUP(Espirais!$I3/(1-10%),1)</f>
        <v>0.3</v>
      </c>
      <c r="K3" s="61" t="str">
        <f aca="false">_xlfn.CONCAT("Espiral"," ",Espirais!$E3," ","para Encadernação"," de ",A2," até"," ",Espirais!$A3," Folhas")</f>
        <v>Espiral Preta para Encadernação de QTDE FOLHAS até 25 Folhas</v>
      </c>
      <c r="L3" s="190" t="str">
        <f aca="false">_xlfn.CONCAT("Esp",Espirais!$A3,(LEFT(Espirais!$E3,2)),(LEFT(Espirais!$D3,2)))</f>
        <v>Esp25PrKa</v>
      </c>
      <c r="M3" s="190" t="n">
        <f aca="false">Espirais!$H3+Capas!$I$13</f>
        <v>0.7018</v>
      </c>
      <c r="N3" s="190" t="n">
        <f aca="false">ROUNDUP(Espirais!$J3+Capas!$K$13,1)</f>
        <v>3.3</v>
      </c>
    </row>
    <row r="4" customFormat="false" ht="14.9" hidden="true" customHeight="false" outlineLevel="0" collapsed="false">
      <c r="A4" s="188" t="n">
        <v>50</v>
      </c>
      <c r="B4" s="189" t="s">
        <v>220</v>
      </c>
      <c r="C4" s="63" t="s">
        <v>218</v>
      </c>
      <c r="D4" s="63" t="s">
        <v>144</v>
      </c>
      <c r="E4" s="63" t="s">
        <v>221</v>
      </c>
      <c r="F4" s="63" t="n">
        <v>50</v>
      </c>
      <c r="G4" s="190" t="n">
        <v>4.4</v>
      </c>
      <c r="H4" s="190" t="n">
        <f aca="false">G4/F4</f>
        <v>0.088</v>
      </c>
      <c r="I4" s="190" t="n">
        <f aca="false">Espirais!$H4/(1-75%)</f>
        <v>0.352</v>
      </c>
      <c r="J4" s="190" t="n">
        <f aca="false">ROUNDUP(Espirais!$I4/(1-10%),1)</f>
        <v>0.4</v>
      </c>
      <c r="K4" s="190" t="str">
        <f aca="false">_xlfn.CONCAT("Espiral"," ",Espirais!$E4," ","para Encadernação"," de ",A3," até"," ",Espirais!$A4," Folhas")</f>
        <v>Espiral PRETO para Encadernação de 25 até 50 Folhas</v>
      </c>
      <c r="L4" s="190" t="str">
        <f aca="false">_xlfn.CONCAT("Esp",Espirais!$A4,(LEFT(Espirais!$E4,2)),(LEFT(Espirais!$D4,2)))</f>
        <v>Esp50PRKa</v>
      </c>
      <c r="M4" s="190" t="n">
        <f aca="false">Espirais!$H4+Capas!$I$13</f>
        <v>0.7278</v>
      </c>
      <c r="N4" s="190" t="n">
        <f aca="false">ROUNDUP(Espirais!$J4+Capas!$K$13,1)</f>
        <v>3.4</v>
      </c>
    </row>
    <row r="5" customFormat="false" ht="14.9" hidden="true" customHeight="false" outlineLevel="0" collapsed="false">
      <c r="A5" s="188" t="n">
        <v>70</v>
      </c>
      <c r="B5" s="189" t="s">
        <v>222</v>
      </c>
      <c r="C5" s="63" t="s">
        <v>218</v>
      </c>
      <c r="D5" s="63" t="s">
        <v>144</v>
      </c>
      <c r="E5" s="63" t="s">
        <v>221</v>
      </c>
      <c r="F5" s="63" t="n">
        <v>50</v>
      </c>
      <c r="G5" s="190" t="n">
        <v>6.3</v>
      </c>
      <c r="H5" s="190" t="n">
        <f aca="false">G5/F5</f>
        <v>0.126</v>
      </c>
      <c r="I5" s="190" t="n">
        <f aca="false">Espirais!$H5/(1-75%)</f>
        <v>0.504</v>
      </c>
      <c r="J5" s="190" t="n">
        <f aca="false">ROUNDUP(Espirais!$I5/(1-10%),1)</f>
        <v>0.6</v>
      </c>
      <c r="K5" s="190" t="str">
        <f aca="false">_xlfn.CONCAT("Espiral"," ",Espirais!$E5," ","para Encadernação"," de ",A4," até"," ",Espirais!$A5," Folhas")</f>
        <v>Espiral PRETO para Encadernação de 50 até 70 Folhas</v>
      </c>
      <c r="L5" s="190" t="str">
        <f aca="false">_xlfn.CONCAT("Esp",Espirais!$A5,(LEFT(Espirais!$E5,2)),(LEFT(Espirais!$D5,2)))</f>
        <v>Esp70PRKa</v>
      </c>
      <c r="M5" s="190" t="n">
        <f aca="false">Espirais!$H5+Capas!$I$13</f>
        <v>0.7658</v>
      </c>
      <c r="N5" s="190" t="n">
        <f aca="false">ROUNDUP(Espirais!$J5+Capas!$K$13,1)</f>
        <v>3.6</v>
      </c>
    </row>
    <row r="6" customFormat="false" ht="14.9" hidden="true" customHeight="false" outlineLevel="0" collapsed="false">
      <c r="A6" s="188" t="n">
        <v>85</v>
      </c>
      <c r="B6" s="189" t="s">
        <v>223</v>
      </c>
      <c r="C6" s="63" t="s">
        <v>218</v>
      </c>
      <c r="D6" s="63" t="s">
        <v>144</v>
      </c>
      <c r="E6" s="63" t="s">
        <v>221</v>
      </c>
      <c r="F6" s="63" t="n">
        <v>50</v>
      </c>
      <c r="G6" s="190" t="n">
        <v>7.8</v>
      </c>
      <c r="H6" s="190" t="n">
        <f aca="false">G6/F6</f>
        <v>0.156</v>
      </c>
      <c r="I6" s="190" t="n">
        <f aca="false">Espirais!$H6/(1-75%)</f>
        <v>0.624</v>
      </c>
      <c r="J6" s="190" t="n">
        <f aca="false">ROUNDUP(Espirais!$I6/(1-10%),1)</f>
        <v>0.7</v>
      </c>
      <c r="K6" s="190" t="str">
        <f aca="false">_xlfn.CONCAT("Espiral"," ",Espirais!$E6," ","para Encadernação"," de ",A5," até"," ",Espirais!$A6," Folhas")</f>
        <v>Espiral PRETO para Encadernação de 70 até 85 Folhas</v>
      </c>
      <c r="L6" s="190" t="str">
        <f aca="false">_xlfn.CONCAT("Esp",Espirais!$A6,(LEFT(Espirais!$E6,2)),(LEFT(Espirais!$D6,2)))</f>
        <v>Esp85PRKa</v>
      </c>
      <c r="M6" s="190" t="n">
        <f aca="false">Espirais!$H6+Capas!$I$13</f>
        <v>0.7958</v>
      </c>
      <c r="N6" s="190" t="n">
        <f aca="false">ROUNDUP(Espirais!$J6+Capas!$K$13,1)</f>
        <v>3.7</v>
      </c>
    </row>
    <row r="7" customFormat="false" ht="14.9" hidden="true" customHeight="false" outlineLevel="0" collapsed="false">
      <c r="A7" s="188" t="n">
        <v>100</v>
      </c>
      <c r="B7" s="189" t="s">
        <v>224</v>
      </c>
      <c r="C7" s="63" t="s">
        <v>218</v>
      </c>
      <c r="D7" s="63" t="s">
        <v>144</v>
      </c>
      <c r="E7" s="63" t="s">
        <v>221</v>
      </c>
      <c r="F7" s="63" t="n">
        <v>50</v>
      </c>
      <c r="G7" s="190" t="n">
        <v>9.4</v>
      </c>
      <c r="H7" s="190" t="n">
        <f aca="false">G7/F7</f>
        <v>0.188</v>
      </c>
      <c r="I7" s="190" t="n">
        <f aca="false">Espirais!$H7/(1-75%)</f>
        <v>0.752</v>
      </c>
      <c r="J7" s="190" t="n">
        <f aca="false">ROUNDUP(Espirais!$I7/(1-10%),1)</f>
        <v>0.9</v>
      </c>
      <c r="K7" s="190" t="str">
        <f aca="false">_xlfn.CONCAT("Espiral"," ",Espirais!$E7," ","para Encadernação"," de ",A6," até"," ",Espirais!$A7," Folhas")</f>
        <v>Espiral PRETO para Encadernação de 85 até 100 Folhas</v>
      </c>
      <c r="L7" s="190" t="str">
        <f aca="false">_xlfn.CONCAT("Esp",Espirais!$A7,(LEFT(Espirais!$E7,2)),(LEFT(Espirais!$D7,2)))</f>
        <v>Esp100PRKa</v>
      </c>
      <c r="M7" s="190" t="n">
        <f aca="false">Espirais!$H7+Capas!$I$13</f>
        <v>0.8278</v>
      </c>
      <c r="N7" s="190" t="n">
        <f aca="false">ROUNDUP(Espirais!$J7+Capas!$K$13,1)</f>
        <v>3.9</v>
      </c>
    </row>
    <row r="8" customFormat="false" ht="14.9" hidden="true" customHeight="false" outlineLevel="0" collapsed="false">
      <c r="A8" s="188" t="n">
        <v>120</v>
      </c>
      <c r="B8" s="189" t="s">
        <v>225</v>
      </c>
      <c r="C8" s="63" t="s">
        <v>218</v>
      </c>
      <c r="D8" s="63" t="s">
        <v>144</v>
      </c>
      <c r="E8" s="63" t="s">
        <v>221</v>
      </c>
      <c r="F8" s="63" t="n">
        <v>50</v>
      </c>
      <c r="G8" s="190" t="n">
        <v>11.8</v>
      </c>
      <c r="H8" s="190" t="n">
        <f aca="false">G8/F8</f>
        <v>0.236</v>
      </c>
      <c r="I8" s="190" t="n">
        <f aca="false">Espirais!$H8/(1-75%)</f>
        <v>0.944</v>
      </c>
      <c r="J8" s="190" t="n">
        <f aca="false">ROUNDUP(Espirais!$I8/(1-10%),1)</f>
        <v>1.1</v>
      </c>
      <c r="K8" s="190" t="str">
        <f aca="false">_xlfn.CONCAT("Espiral"," ",Espirais!$E8," ","para Encadernação"," de ",A7," até"," ",Espirais!$A8," Folhas")</f>
        <v>Espiral PRETO para Encadernação de 100 até 120 Folhas</v>
      </c>
      <c r="L8" s="190" t="str">
        <f aca="false">_xlfn.CONCAT("Esp",Espirais!$A8,(LEFT(Espirais!$E8,2)),(LEFT(Espirais!$D8,2)))</f>
        <v>Esp120PRKa</v>
      </c>
      <c r="M8" s="190" t="n">
        <f aca="false">Espirais!$H8+Capas!$I$13</f>
        <v>0.8758</v>
      </c>
      <c r="N8" s="190" t="n">
        <f aca="false">ROUNDUP(Espirais!$J8+Capas!$K$13,1)</f>
        <v>4.1</v>
      </c>
    </row>
    <row r="9" customFormat="false" ht="14.9" hidden="false" customHeight="false" outlineLevel="0" collapsed="false">
      <c r="A9" s="188" t="n">
        <v>140</v>
      </c>
      <c r="B9" s="189" t="n">
        <v>23</v>
      </c>
      <c r="C9" s="63" t="s">
        <v>226</v>
      </c>
      <c r="D9" s="63" t="s">
        <v>147</v>
      </c>
      <c r="E9" s="63" t="s">
        <v>221</v>
      </c>
      <c r="F9" s="63" t="n">
        <v>60</v>
      </c>
      <c r="G9" s="190" t="n">
        <v>26.9</v>
      </c>
      <c r="H9" s="190" t="n">
        <f aca="false">G9/F9</f>
        <v>0.448333333333333</v>
      </c>
      <c r="I9" s="190" t="n">
        <f aca="false">Espirais!$H9/(1-75%)</f>
        <v>1.79333333333333</v>
      </c>
      <c r="J9" s="190" t="n">
        <f aca="false">ROUNDUP(Espirais!$I9/(1-10%),1)</f>
        <v>2</v>
      </c>
      <c r="K9" s="190" t="str">
        <f aca="false">_xlfn.CONCAT("Espiral"," ",Espirais!$E9," ","para Encadernação"," de ",A8," até"," ",Espirais!$A9," Folhas")</f>
        <v>Espiral PRETO para Encadernação de 120 até 140 Folhas</v>
      </c>
      <c r="L9" s="190" t="str">
        <f aca="false">_xlfn.CONCAT("Esp",Espirais!$A9,(LEFT(Espirais!$E9,2)),(LEFT(Espirais!$D9,2)))</f>
        <v>Esp140PRLo</v>
      </c>
      <c r="M9" s="190" t="n">
        <f aca="false">Espirais!$H9+Capas!$I$13</f>
        <v>1.08813333333333</v>
      </c>
      <c r="N9" s="190" t="n">
        <f aca="false">Espirais!$J9+Capas!$K$13</f>
        <v>5</v>
      </c>
    </row>
    <row r="10" customFormat="false" ht="14.9" hidden="true" customHeight="false" outlineLevel="0" collapsed="false">
      <c r="A10" s="188" t="n">
        <v>160</v>
      </c>
      <c r="B10" s="189" t="s">
        <v>227</v>
      </c>
      <c r="C10" s="63" t="s">
        <v>218</v>
      </c>
      <c r="D10" s="63" t="s">
        <v>144</v>
      </c>
      <c r="E10" s="63" t="s">
        <v>221</v>
      </c>
      <c r="F10" s="63" t="n">
        <v>28</v>
      </c>
      <c r="G10" s="190" t="n">
        <v>11</v>
      </c>
      <c r="H10" s="190" t="n">
        <f aca="false">G10/F10</f>
        <v>0.392857142857143</v>
      </c>
      <c r="I10" s="190" t="n">
        <f aca="false">Espirais!$H10/(1-75%)</f>
        <v>1.57142857142857</v>
      </c>
      <c r="J10" s="190" t="n">
        <f aca="false">ROUNDUP(Espirais!$I10/(1-10%),1)</f>
        <v>1.8</v>
      </c>
      <c r="K10" s="190" t="str">
        <f aca="false">_xlfn.CONCAT("Espiral"," ",Espirais!$E10," ","para Encadernação"," de ",A9," até"," ",Espirais!$A10," Folhas")</f>
        <v>Espiral PRETO para Encadernação de 140 até 160 Folhas</v>
      </c>
      <c r="L10" s="190" t="str">
        <f aca="false">_xlfn.CONCAT("Esp",Espirais!$A10,(LEFT(Espirais!$E10,2)),(LEFT(Espirais!$D10,2)))</f>
        <v>Esp160PRKa</v>
      </c>
      <c r="M10" s="190" t="n">
        <f aca="false">Espirais!$H10+Capas!$I$13</f>
        <v>1.03265714285714</v>
      </c>
      <c r="N10" s="190" t="n">
        <f aca="false">ROUNDUP(Espirais!$J10+Capas!$K$13,1)</f>
        <v>4.8</v>
      </c>
    </row>
    <row r="11" customFormat="false" ht="14.9" hidden="true" customHeight="false" outlineLevel="0" collapsed="false">
      <c r="A11" s="188" t="n">
        <v>200</v>
      </c>
      <c r="B11" s="189" t="s">
        <v>228</v>
      </c>
      <c r="C11" s="63" t="s">
        <v>218</v>
      </c>
      <c r="D11" s="63" t="s">
        <v>144</v>
      </c>
      <c r="E11" s="63" t="s">
        <v>221</v>
      </c>
      <c r="F11" s="63" t="n">
        <v>16</v>
      </c>
      <c r="G11" s="190" t="n">
        <v>8.4</v>
      </c>
      <c r="H11" s="190" t="n">
        <f aca="false">G11/F11</f>
        <v>0.525</v>
      </c>
      <c r="I11" s="190" t="n">
        <f aca="false">Espirais!$H11/(1-75%)</f>
        <v>2.1</v>
      </c>
      <c r="J11" s="190" t="n">
        <f aca="false">ROUNDUP(Espirais!$I11/(1-10%),1)</f>
        <v>2.4</v>
      </c>
      <c r="K11" s="190" t="str">
        <f aca="false">_xlfn.CONCAT("Espiral"," ",Espirais!$E11," ","para Encadernação"," de ",A10," até"," ",Espirais!$A11," Folhas")</f>
        <v>Espiral PRETO para Encadernação de 160 até 200 Folhas</v>
      </c>
      <c r="L11" s="190" t="str">
        <f aca="false">_xlfn.CONCAT("Esp",Espirais!$A11,(LEFT(Espirais!$E11,2)),(LEFT(Espirais!$D11,2)))</f>
        <v>Esp200PRKa</v>
      </c>
      <c r="M11" s="190" t="n">
        <f aca="false">Espirais!$H11+Capas!$I$13</f>
        <v>1.1648</v>
      </c>
      <c r="N11" s="190" t="n">
        <f aca="false">ROUNDUP(Espirais!$J11+Capas!$K$13,1)</f>
        <v>5.4</v>
      </c>
    </row>
    <row r="12" customFormat="false" ht="14.9" hidden="true" customHeight="false" outlineLevel="0" collapsed="false">
      <c r="A12" s="188" t="n">
        <v>250</v>
      </c>
      <c r="B12" s="189" t="s">
        <v>229</v>
      </c>
      <c r="C12" s="63" t="s">
        <v>218</v>
      </c>
      <c r="D12" s="63" t="s">
        <v>144</v>
      </c>
      <c r="E12" s="63" t="s">
        <v>221</v>
      </c>
      <c r="F12" s="63" t="n">
        <v>12</v>
      </c>
      <c r="G12" s="190" t="n">
        <v>8.4</v>
      </c>
      <c r="H12" s="190" t="n">
        <f aca="false">G12/F12</f>
        <v>0.7</v>
      </c>
      <c r="I12" s="190" t="n">
        <f aca="false">Espirais!$H12/(1-75%)</f>
        <v>2.8</v>
      </c>
      <c r="J12" s="190" t="n">
        <f aca="false">ROUNDUP(Espirais!$I12/(1-10%),1)</f>
        <v>3.2</v>
      </c>
      <c r="K12" s="190" t="str">
        <f aca="false">_xlfn.CONCAT("Espiral"," ",Espirais!$E12," ","para Encadernação"," de ",A11," até"," ",Espirais!$A12," Folhas")</f>
        <v>Espiral PRETO para Encadernação de 200 até 250 Folhas</v>
      </c>
      <c r="L12" s="190" t="str">
        <f aca="false">_xlfn.CONCAT("Esp",Espirais!$A12,(LEFT(Espirais!$E12,2)),(LEFT(Espirais!$D12,2)))</f>
        <v>Esp250PRKa</v>
      </c>
      <c r="M12" s="190" t="n">
        <f aca="false">Espirais!$H12+Capas!$I$13</f>
        <v>1.3398</v>
      </c>
      <c r="N12" s="190" t="n">
        <f aca="false">ROUNDUP(Espirais!$J12+Capas!$K$13,1)</f>
        <v>6.2</v>
      </c>
    </row>
    <row r="13" customFormat="false" ht="14.9" hidden="true" customHeight="false" outlineLevel="0" collapsed="false">
      <c r="A13" s="188" t="n">
        <v>350</v>
      </c>
      <c r="B13" s="189" t="s">
        <v>230</v>
      </c>
      <c r="C13" s="63" t="s">
        <v>218</v>
      </c>
      <c r="D13" s="63" t="s">
        <v>144</v>
      </c>
      <c r="E13" s="63" t="s">
        <v>221</v>
      </c>
      <c r="F13" s="63" t="n">
        <v>6</v>
      </c>
      <c r="G13" s="190" t="n">
        <v>6.3</v>
      </c>
      <c r="H13" s="190" t="n">
        <f aca="false">G13/F13</f>
        <v>1.05</v>
      </c>
      <c r="I13" s="190" t="n">
        <f aca="false">Espirais!$H13/(1-75%)</f>
        <v>4.2</v>
      </c>
      <c r="J13" s="190" t="n">
        <f aca="false">ROUNDUP(Espirais!$I13/(1-10%),1)</f>
        <v>4.7</v>
      </c>
      <c r="K13" s="190" t="str">
        <f aca="false">_xlfn.CONCAT("Espiral"," ",Espirais!$E13," ","para Encadernação"," de ",A12," até"," ",Espirais!$A13," Folhas")</f>
        <v>Espiral PRETO para Encadernação de 250 até 350 Folhas</v>
      </c>
      <c r="L13" s="190" t="str">
        <f aca="false">_xlfn.CONCAT("Esp",Espirais!$A13,(LEFT(Espirais!$E13,2)),(LEFT(Espirais!$D13,2)))</f>
        <v>Esp350PRKa</v>
      </c>
      <c r="M13" s="190" t="n">
        <f aca="false">Espirais!$H13+Capas!$I$13</f>
        <v>1.6898</v>
      </c>
      <c r="N13" s="190" t="n">
        <f aca="false">ROUNDUP(Espirais!$J13+Capas!$K$13,1)</f>
        <v>7.7</v>
      </c>
    </row>
    <row r="14" customFormat="false" ht="14.9" hidden="true" customHeight="false" outlineLevel="0" collapsed="false">
      <c r="A14" s="188" t="n">
        <v>400</v>
      </c>
      <c r="B14" s="189" t="n">
        <v>45</v>
      </c>
      <c r="C14" s="63" t="s">
        <v>226</v>
      </c>
      <c r="D14" s="63" t="s">
        <v>147</v>
      </c>
      <c r="E14" s="63" t="s">
        <v>221</v>
      </c>
      <c r="F14" s="63" t="n">
        <v>16</v>
      </c>
      <c r="G14" s="190" t="n">
        <v>26.9</v>
      </c>
      <c r="H14" s="190" t="n">
        <f aca="false">G14/F14</f>
        <v>1.68125</v>
      </c>
      <c r="I14" s="190" t="n">
        <f aca="false">Espirais!$H14/(1-75%)</f>
        <v>6.725</v>
      </c>
      <c r="J14" s="190" t="n">
        <f aca="false">ROUNDUP(Espirais!$I14/(1-10%),1)</f>
        <v>7.5</v>
      </c>
      <c r="K14" s="190" t="str">
        <f aca="false">_xlfn.CONCAT("Espiral"," ",Espirais!$E14," ","para Encadernação"," de ",A13," até"," ",Espirais!$A14," Folhas")</f>
        <v>Espiral PRETO para Encadernação de 350 até 400 Folhas</v>
      </c>
      <c r="L14" s="190" t="str">
        <f aca="false">_xlfn.CONCAT("Esp",Espirais!$A14,(LEFT(Espirais!$E14,2)),(LEFT(Espirais!$D14,2)))</f>
        <v>Esp400PRLo</v>
      </c>
      <c r="M14" s="190" t="n">
        <f aca="false">Espirais!$H14+Capas!$I$13</f>
        <v>2.32105</v>
      </c>
      <c r="N14" s="190" t="n">
        <f aca="false">Espirais!$J14+Capas!$K$13</f>
        <v>10.5</v>
      </c>
    </row>
    <row r="15" customFormat="false" ht="14.9" hidden="true" customHeight="false" outlineLevel="0" collapsed="false">
      <c r="A15" s="188" t="n">
        <v>450</v>
      </c>
      <c r="B15" s="189" t="s">
        <v>231</v>
      </c>
      <c r="C15" s="63" t="s">
        <v>218</v>
      </c>
      <c r="D15" s="63" t="s">
        <v>144</v>
      </c>
      <c r="E15" s="63" t="s">
        <v>221</v>
      </c>
      <c r="F15" s="63" t="n">
        <v>6</v>
      </c>
      <c r="G15" s="190" t="n">
        <v>9.4</v>
      </c>
      <c r="H15" s="190" t="n">
        <f aca="false">G15/F15</f>
        <v>1.56666666666667</v>
      </c>
      <c r="I15" s="190" t="n">
        <f aca="false">Espirais!$H15/(1-75%)</f>
        <v>6.26666666666667</v>
      </c>
      <c r="J15" s="190" t="n">
        <f aca="false">ROUNDUP(Espirais!$I15/(1-10%),1)</f>
        <v>7</v>
      </c>
      <c r="K15" s="190" t="str">
        <f aca="false">_xlfn.CONCAT("Espiral"," ",Espirais!$E15," ","para Encadernação"," de ",A14," até"," ",Espirais!$A15," Folhas")</f>
        <v>Espiral PRETO para Encadernação de 400 até 450 Folhas</v>
      </c>
      <c r="L15" s="190" t="str">
        <f aca="false">_xlfn.CONCAT("Esp",Espirais!$A15,(LEFT(Espirais!$E15,2)),(LEFT(Espirais!$D15,2)))</f>
        <v>Esp450PRKa</v>
      </c>
      <c r="M15" s="190" t="n">
        <f aca="false">Espirais!$H15+Capas!$I$13</f>
        <v>2.20646666666667</v>
      </c>
      <c r="N15" s="190" t="n">
        <f aca="false">ROUNDUP(Espirais!$J15+Capas!$K$13,1)</f>
        <v>10</v>
      </c>
    </row>
    <row r="16" customFormat="false" ht="14.9" hidden="false" customHeight="false" outlineLevel="0" collapsed="false">
      <c r="A16" s="188" t="s">
        <v>35</v>
      </c>
      <c r="B16" s="189"/>
      <c r="C16" s="63"/>
      <c r="D16" s="63"/>
      <c r="E16" s="63"/>
      <c r="F16" s="63"/>
      <c r="G16" s="190" t="n">
        <f aca="false">SUBTOTAL(101,Espirais!$G$3:$G$15)</f>
        <v>26.9</v>
      </c>
      <c r="H16" s="190" t="n">
        <f aca="false">SUBTOTAL(101,Espirais!$H$3:$H$15)</f>
        <v>0.448333333333333</v>
      </c>
      <c r="I16" s="190" t="n">
        <f aca="false">SUBTOTAL(101,Espirais!$I$3:$I$15)</f>
        <v>1.79333333333333</v>
      </c>
      <c r="J16" s="190" t="n">
        <f aca="false">SUBTOTAL(101,Espirais!$J$3:$J$15)</f>
        <v>2</v>
      </c>
      <c r="K16" s="63"/>
      <c r="L16" s="63"/>
      <c r="M16" s="63"/>
      <c r="N16" s="63"/>
    </row>
  </sheetData>
  <mergeCells count="1">
    <mergeCell ref="S1:W1"/>
  </mergeCells>
  <conditionalFormatting sqref="H2">
    <cfRule type="cellIs" priority="2" operator="lessThan" aboveAverage="0" equalAverage="0" bottom="0" percent="0" rank="0" text="" dxfId="104">
      <formula>0.05</formula>
    </cfRule>
  </conditionalFormatting>
  <conditionalFormatting sqref="H2">
    <cfRule type="cellIs" priority="3" operator="lessThan" aboveAverage="0" equalAverage="0" bottom="0" percent="0" rank="0" text="" dxfId="105">
      <formula>0.08</formula>
    </cfRule>
  </conditionalFormatting>
  <conditionalFormatting sqref="L1:L1048576">
    <cfRule type="duplicateValues" priority="4" aboveAverage="0" equalAverage="0" bottom="0" percent="0" rank="0" text="" dxfId="106"/>
    <cfRule type="duplicateValues" priority="5" aboveAverage="0" equalAverage="0" bottom="0" percent="0" rank="0" text="" dxfId="107"/>
    <cfRule type="duplicateValues" priority="6" aboveAverage="0" equalAverage="0" bottom="0" percent="0" rank="0" text="" dxfId="108"/>
  </conditionalFormatting>
  <conditionalFormatting sqref="K1:K1048576">
    <cfRule type="duplicateValues" priority="7" aboveAverage="0" equalAverage="0" bottom="0" percent="0" rank="0" text="" dxfId="109"/>
  </conditionalFormatting>
  <conditionalFormatting sqref="H1:H1048576">
    <cfRule type="colorScale" priority="8">
      <colorScale>
        <cfvo type="min" val="0"/>
        <cfvo type="percentile" val="50"/>
        <cfvo type="max" val="0"/>
        <color rgb="FF92D050"/>
        <color rgb="FFFFEB84"/>
        <color rgb="FFC00000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J9" activeCellId="0" sqref="J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8.85"/>
    <col collapsed="false" customWidth="true" hidden="false" outlineLevel="0" max="3" min="3" style="0" width="23.15"/>
    <col collapsed="false" customWidth="true" hidden="false" outlineLevel="0" max="5" min="4" style="0" width="12.28"/>
    <col collapsed="false" customWidth="true" hidden="false" outlineLevel="0" max="6" min="6" style="0" width="10.57"/>
    <col collapsed="false" customWidth="true" hidden="false" outlineLevel="0" max="7" min="7" style="0" width="8.85"/>
    <col collapsed="false" customWidth="true" hidden="false" outlineLevel="0" max="8" min="8" style="0" width="12.85"/>
    <col collapsed="false" customWidth="true" hidden="false" outlineLevel="0" max="9" min="9" style="0" width="11.43"/>
    <col collapsed="false" customWidth="true" hidden="false" outlineLevel="0" max="10" min="10" style="0" width="12.43"/>
    <col collapsed="false" customWidth="true" hidden="false" outlineLevel="0" max="11" min="11" style="0" width="12.85"/>
    <col collapsed="false" customWidth="true" hidden="false" outlineLevel="0" max="12" min="12" style="0" width="11.57"/>
    <col collapsed="false" customWidth="true" hidden="false" outlineLevel="0" max="13" min="13" style="0" width="56.15"/>
    <col collapsed="false" customWidth="true" hidden="false" outlineLevel="0" max="14" min="14" style="0" width="16.57"/>
  </cols>
  <sheetData>
    <row r="1" customFormat="false" ht="14.9" hidden="false" customHeight="false" outlineLevel="0" collapsed="false">
      <c r="A1" s="66" t="s">
        <v>111</v>
      </c>
      <c r="B1" s="66" t="s">
        <v>232</v>
      </c>
      <c r="C1" s="66" t="s">
        <v>233</v>
      </c>
      <c r="D1" s="66" t="s">
        <v>234</v>
      </c>
      <c r="E1" s="66" t="s">
        <v>235</v>
      </c>
      <c r="F1" s="66" t="s">
        <v>209</v>
      </c>
      <c r="G1" s="66" t="s">
        <v>236</v>
      </c>
      <c r="H1" s="191" t="s">
        <v>210</v>
      </c>
      <c r="I1" s="191" t="s">
        <v>237</v>
      </c>
      <c r="J1" s="66" t="s">
        <v>238</v>
      </c>
      <c r="K1" s="66" t="s">
        <v>239</v>
      </c>
      <c r="L1" s="66" t="s">
        <v>109</v>
      </c>
      <c r="M1" s="66" t="s">
        <v>213</v>
      </c>
      <c r="N1" s="66" t="s">
        <v>214</v>
      </c>
    </row>
    <row r="2" customFormat="false" ht="14.9" hidden="true" customHeight="false" outlineLevel="0" collapsed="false">
      <c r="A2" s="0" t="s">
        <v>74</v>
      </c>
      <c r="B2" s="0" t="s">
        <v>240</v>
      </c>
      <c r="C2" s="0" t="s">
        <v>241</v>
      </c>
      <c r="D2" s="192" t="s">
        <v>218</v>
      </c>
      <c r="E2" s="193" t="s">
        <v>242</v>
      </c>
      <c r="F2" s="0" t="s">
        <v>144</v>
      </c>
      <c r="G2" s="0" t="n">
        <v>50</v>
      </c>
      <c r="H2" s="69" t="n">
        <v>21</v>
      </c>
      <c r="I2" s="69" t="n">
        <f aca="false">H2/G2</f>
        <v>0.42</v>
      </c>
      <c r="J2" s="69" t="n">
        <f aca="false">ROUNDUP(Capas!$I2/(1-75%),1)</f>
        <v>1.7</v>
      </c>
      <c r="K2" s="69" t="n">
        <f aca="false">ROUNDUP(Capas!$J2/(1-10%),1)</f>
        <v>1.9</v>
      </c>
      <c r="L2" s="69" t="n">
        <f aca="false">Capas!$J2-Capas!$I2</f>
        <v>1.28</v>
      </c>
      <c r="M2" s="69" t="str">
        <f aca="false">_xlfn.CONCAT(Capas!$B2," para Encadernação"," ",Capas!$C2,," ",Capas!$E2," A4")</f>
        <v>Capa para Encadernação Transparente Line A4</v>
      </c>
      <c r="N2" s="69" t="str">
        <f aca="false">_xlfn.CONCAT(LEFT(Capas!$B2,2),(LEFT(Capas!$C2,2)),(LEFT(Capas!$E2,2)),((LEFT(Capas!$D2,2))),(LEFT(Capas!$F2,3)))</f>
        <v>CaTrLiPlKal</v>
      </c>
    </row>
    <row r="3" customFormat="false" ht="14.9" hidden="true" customHeight="false" outlineLevel="0" collapsed="false">
      <c r="A3" s="194" t="s">
        <v>74</v>
      </c>
      <c r="B3" s="194" t="s">
        <v>243</v>
      </c>
      <c r="C3" s="194" t="s">
        <v>82</v>
      </c>
      <c r="D3" s="195" t="s">
        <v>218</v>
      </c>
      <c r="E3" s="193" t="s">
        <v>244</v>
      </c>
      <c r="F3" s="194" t="s">
        <v>144</v>
      </c>
      <c r="G3" s="194" t="n">
        <v>50</v>
      </c>
      <c r="H3" s="196" t="n">
        <v>19.7</v>
      </c>
      <c r="I3" s="196" t="n">
        <f aca="false">H3/G3</f>
        <v>0.394</v>
      </c>
      <c r="J3" s="69" t="n">
        <f aca="false">ROUNDUP(Capas!$I3/(1-75%),1)</f>
        <v>1.6</v>
      </c>
      <c r="K3" s="69" t="n">
        <f aca="false">ROUNDUP(Capas!$J3/(1-10%),1)</f>
        <v>1.8</v>
      </c>
      <c r="L3" s="69" t="n">
        <f aca="false">Capas!$J3-Capas!$I3</f>
        <v>1.206</v>
      </c>
      <c r="M3" s="69" t="str">
        <f aca="false">_xlfn.CONCAT(Capas!$B3," para Encadernação"," ",Capas!$C3,," ",Capas!$E3," A4")</f>
        <v>Contra Capa para Encadernação Azul Couro A4</v>
      </c>
      <c r="N3" s="69" t="str">
        <f aca="false">_xlfn.CONCAT(LEFT(Capas!$B3,2),(LEFT(Capas!$C3,2)),(LEFT(Capas!$E3,2)),((LEFT(Capas!$D3,2))),(LEFT(Capas!$F3,3)))</f>
        <v>CoAzCoPlKal</v>
      </c>
    </row>
    <row r="4" customFormat="false" ht="14.9" hidden="true" customHeight="false" outlineLevel="0" collapsed="false">
      <c r="A4" s="194" t="s">
        <v>74</v>
      </c>
      <c r="B4" s="194" t="s">
        <v>243</v>
      </c>
      <c r="C4" s="194" t="s">
        <v>245</v>
      </c>
      <c r="D4" s="195" t="s">
        <v>218</v>
      </c>
      <c r="E4" s="193" t="s">
        <v>244</v>
      </c>
      <c r="F4" s="194" t="s">
        <v>144</v>
      </c>
      <c r="G4" s="194" t="n">
        <v>50</v>
      </c>
      <c r="H4" s="196" t="n">
        <v>19.7</v>
      </c>
      <c r="I4" s="196" t="n">
        <f aca="false">H4/G4</f>
        <v>0.394</v>
      </c>
      <c r="J4" s="69" t="n">
        <f aca="false">ROUNDUP(Capas!$I4/(1-75%),1)</f>
        <v>1.6</v>
      </c>
      <c r="K4" s="69" t="n">
        <f aca="false">ROUNDUP(Capas!$J4/(1-10%),1)</f>
        <v>1.8</v>
      </c>
      <c r="L4" s="69" t="n">
        <f aca="false">Capas!$J4-Capas!$I4</f>
        <v>1.206</v>
      </c>
      <c r="M4" s="69" t="str">
        <f aca="false">_xlfn.CONCAT(Capas!$B4," para Encadernação"," ",Capas!$C4,," ",Capas!$E4," A4")</f>
        <v>Contra Capa para Encadernação Vermelho Couro A4</v>
      </c>
      <c r="N4" s="69" t="str">
        <f aca="false">_xlfn.CONCAT(LEFT(Capas!$B4,2),(LEFT(Capas!$C4,2)),(LEFT(Capas!$E4,2)),((LEFT(Capas!$D4,2))),(LEFT(Capas!$F4,3)))</f>
        <v>CoVeCoPlKal</v>
      </c>
    </row>
    <row r="5" customFormat="false" ht="14.9" hidden="false" customHeight="false" outlineLevel="0" collapsed="false">
      <c r="A5" s="194" t="s">
        <v>74</v>
      </c>
      <c r="B5" s="194" t="s">
        <v>240</v>
      </c>
      <c r="C5" s="194" t="s">
        <v>246</v>
      </c>
      <c r="D5" s="195" t="s">
        <v>146</v>
      </c>
      <c r="E5" s="193" t="s">
        <v>242</v>
      </c>
      <c r="F5" s="194" t="s">
        <v>154</v>
      </c>
      <c r="G5" s="194" t="n">
        <v>100</v>
      </c>
      <c r="H5" s="196" t="n">
        <v>31.99</v>
      </c>
      <c r="I5" s="196" t="n">
        <f aca="false">H5/G5</f>
        <v>0.3199</v>
      </c>
      <c r="J5" s="196" t="n">
        <f aca="false">ROUNDUP(Capas!$I5/(1-75%),1)</f>
        <v>1.3</v>
      </c>
      <c r="K5" s="196" t="n">
        <f aca="false">ROUNDUP(Capas!$J5/(1-10%),1)</f>
        <v>1.5</v>
      </c>
      <c r="L5" s="196" t="n">
        <f aca="false">Capas!$J5-Capas!$I5</f>
        <v>0.9801</v>
      </c>
      <c r="M5" s="196" t="str">
        <f aca="false">_xlfn.CONCAT(Capas!$B5," para Encadernação"," ",Capas!$C5,," ",Capas!$E5," A4")</f>
        <v>Capa para Encadernação Cristal Transparente Line A4</v>
      </c>
      <c r="N5" s="196" t="str">
        <f aca="false">_xlfn.CONCAT(LEFT(Capas!$B5,2),(LEFT(Capas!$C5,2)),(LEFT(Capas!$E5,2)),((LEFT(Capas!$D5,2))),(LEFT(Capas!$F5,3)))</f>
        <v>CaCrLiMaAlf</v>
      </c>
    </row>
    <row r="6" customFormat="false" ht="14.9" hidden="true" customHeight="false" outlineLevel="0" collapsed="false">
      <c r="A6" s="194" t="s">
        <v>74</v>
      </c>
      <c r="B6" s="194" t="s">
        <v>240</v>
      </c>
      <c r="C6" s="194" t="s">
        <v>247</v>
      </c>
      <c r="D6" s="195" t="s">
        <v>146</v>
      </c>
      <c r="E6" s="193" t="s">
        <v>244</v>
      </c>
      <c r="F6" s="194" t="s">
        <v>154</v>
      </c>
      <c r="G6" s="194" t="n">
        <v>100</v>
      </c>
      <c r="H6" s="196" t="n">
        <v>31.99</v>
      </c>
      <c r="I6" s="196" t="n">
        <f aca="false">H6/G6</f>
        <v>0.3199</v>
      </c>
      <c r="J6" s="196" t="n">
        <f aca="false">ROUNDUP(Capas!$I6/(1-75%),1)</f>
        <v>1.3</v>
      </c>
      <c r="K6" s="196" t="n">
        <f aca="false">ROUNDUP(Capas!$J6/(1-10%),1)</f>
        <v>1.5</v>
      </c>
      <c r="L6" s="196" t="n">
        <f aca="false">Capas!$J6-Capas!$I6</f>
        <v>0.9801</v>
      </c>
      <c r="M6" s="196" t="str">
        <f aca="false">_xlfn.CONCAT(Capas!$B6," para Encadernação"," ",Capas!$C6,," ",Capas!$E6," A4")</f>
        <v>Capa para Encadernação Fumê Transparente Couro A4</v>
      </c>
      <c r="N6" s="196" t="str">
        <f aca="false">_xlfn.CONCAT(LEFT(Capas!$B6,2),(LEFT(Capas!$C6,2)),(LEFT(Capas!$E6,2)),((LEFT(Capas!$D6,2))),(LEFT(Capas!$F6,3)))</f>
        <v>CaFuCoMaAlf</v>
      </c>
    </row>
    <row r="7" customFormat="false" ht="14.9" hidden="true" customHeight="false" outlineLevel="0" collapsed="false">
      <c r="A7" s="194" t="s">
        <v>74</v>
      </c>
      <c r="B7" s="194" t="s">
        <v>240</v>
      </c>
      <c r="C7" s="194" t="s">
        <v>247</v>
      </c>
      <c r="D7" s="195" t="s">
        <v>146</v>
      </c>
      <c r="E7" s="193" t="s">
        <v>242</v>
      </c>
      <c r="F7" s="194" t="s">
        <v>154</v>
      </c>
      <c r="G7" s="194" t="n">
        <v>100</v>
      </c>
      <c r="H7" s="196" t="n">
        <v>31.99</v>
      </c>
      <c r="I7" s="196" t="n">
        <f aca="false">H7/G7</f>
        <v>0.3199</v>
      </c>
      <c r="J7" s="196" t="n">
        <f aca="false">ROUNDUP(Capas!$I7/(1-75%),1)</f>
        <v>1.3</v>
      </c>
      <c r="K7" s="196" t="n">
        <f aca="false">ROUNDUP(Capas!$J7/(1-10%),1)</f>
        <v>1.5</v>
      </c>
      <c r="L7" s="196" t="n">
        <f aca="false">Capas!$J7-Capas!$I7</f>
        <v>0.9801</v>
      </c>
      <c r="M7" s="196" t="str">
        <f aca="false">_xlfn.CONCAT(Capas!$B7," para Encadernação"," ",Capas!$C7,," ",Capas!$E7," A4")</f>
        <v>Capa para Encadernação Fumê Transparente Line A4</v>
      </c>
      <c r="N7" s="196" t="str">
        <f aca="false">_xlfn.CONCAT(LEFT(Capas!$B7,2),(LEFT(Capas!$C7,2)),(LEFT(Capas!$E7,2)),((LEFT(Capas!$D7,2))),(LEFT(Capas!$F7,3)))</f>
        <v>CaFuLiMaAlf</v>
      </c>
    </row>
    <row r="8" customFormat="false" ht="14.9" hidden="true" customHeight="false" outlineLevel="0" collapsed="false">
      <c r="A8" s="194" t="s">
        <v>74</v>
      </c>
      <c r="B8" s="194" t="s">
        <v>240</v>
      </c>
      <c r="C8" s="194" t="s">
        <v>246</v>
      </c>
      <c r="D8" s="195" t="s">
        <v>146</v>
      </c>
      <c r="E8" s="193" t="s">
        <v>244</v>
      </c>
      <c r="F8" s="194" t="s">
        <v>154</v>
      </c>
      <c r="G8" s="194" t="n">
        <v>100</v>
      </c>
      <c r="H8" s="196" t="n">
        <v>31.99</v>
      </c>
      <c r="I8" s="196" t="n">
        <f aca="false">H8/G8</f>
        <v>0.3199</v>
      </c>
      <c r="J8" s="196" t="n">
        <f aca="false">ROUNDUP(Capas!$I8/(1-75%),1)</f>
        <v>1.3</v>
      </c>
      <c r="K8" s="196" t="n">
        <f aca="false">ROUNDUP(Capas!$J8/(1-10%),1)</f>
        <v>1.5</v>
      </c>
      <c r="L8" s="196" t="n">
        <f aca="false">Capas!$J8-Capas!$I8</f>
        <v>0.9801</v>
      </c>
      <c r="M8" s="196" t="str">
        <f aca="false">_xlfn.CONCAT(Capas!$B8," para Encadernação"," ",Capas!$C8,," ",Capas!$E8," A4")</f>
        <v>Capa para Encadernação Cristal Transparente Couro A4</v>
      </c>
      <c r="N8" s="196" t="str">
        <f aca="false">_xlfn.CONCAT(LEFT(Capas!$B8,2),(LEFT(Capas!$C8,2)),(LEFT(Capas!$E8,2)),((LEFT(Capas!$D8,2))),(LEFT(Capas!$F8,3)))</f>
        <v>CaCrCoMaAlf</v>
      </c>
    </row>
    <row r="9" customFormat="false" ht="14.9" hidden="false" customHeight="false" outlineLevel="0" collapsed="false">
      <c r="A9" s="194" t="s">
        <v>74</v>
      </c>
      <c r="B9" s="194" t="s">
        <v>243</v>
      </c>
      <c r="C9" s="194" t="s">
        <v>248</v>
      </c>
      <c r="D9" s="195" t="s">
        <v>146</v>
      </c>
      <c r="E9" s="193" t="s">
        <v>244</v>
      </c>
      <c r="F9" s="194" t="s">
        <v>154</v>
      </c>
      <c r="G9" s="194" t="n">
        <v>100</v>
      </c>
      <c r="H9" s="196" t="n">
        <v>31.99</v>
      </c>
      <c r="I9" s="196" t="n">
        <f aca="false">H9/G9</f>
        <v>0.3199</v>
      </c>
      <c r="J9" s="196" t="n">
        <f aca="false">ROUNDUP(Capas!$I9/(1-75%),1)</f>
        <v>1.3</v>
      </c>
      <c r="K9" s="196" t="n">
        <f aca="false">ROUNDUP(Capas!$J9/(1-10%),1)</f>
        <v>1.5</v>
      </c>
      <c r="L9" s="196" t="n">
        <f aca="false">Capas!$J9-Capas!$I9</f>
        <v>0.9801</v>
      </c>
      <c r="M9" s="196" t="str">
        <f aca="false">_xlfn.CONCAT(Capas!$B9," para Encadernação"," ",Capas!$C9,," ",Capas!$E9," A4")</f>
        <v>Contra Capa para Encadernação Preto Couro A4</v>
      </c>
      <c r="N9" s="196" t="str">
        <f aca="false">_xlfn.CONCAT(LEFT(Capas!$B9,2),(LEFT(Capas!$C9,2)),(LEFT(Capas!$E9,2)),((LEFT(Capas!$D9,2))),(LEFT(Capas!$F9,3)))</f>
        <v>CoPrCoMaAlf</v>
      </c>
    </row>
    <row r="10" customFormat="false" ht="14.9" hidden="true" customHeight="false" outlineLevel="0" collapsed="false">
      <c r="A10" s="194" t="s">
        <v>74</v>
      </c>
      <c r="B10" s="194" t="s">
        <v>240</v>
      </c>
      <c r="C10" s="194" t="s">
        <v>249</v>
      </c>
      <c r="D10" s="195" t="s">
        <v>146</v>
      </c>
      <c r="E10" s="193" t="s">
        <v>244</v>
      </c>
      <c r="F10" s="194" t="s">
        <v>154</v>
      </c>
      <c r="G10" s="194" t="n">
        <v>100</v>
      </c>
      <c r="H10" s="196" t="n">
        <v>31.99</v>
      </c>
      <c r="I10" s="196" t="n">
        <f aca="false">H10/G10</f>
        <v>0.3199</v>
      </c>
      <c r="J10" s="196" t="n">
        <f aca="false">ROUNDUP(Capas!$I10/(1-75%),1)</f>
        <v>1.3</v>
      </c>
      <c r="K10" s="196" t="n">
        <f aca="false">ROUNDUP(Capas!$J10/(1-10%),1)</f>
        <v>1.5</v>
      </c>
      <c r="L10" s="196" t="n">
        <f aca="false">Capas!$J10-Capas!$I10</f>
        <v>0.9801</v>
      </c>
      <c r="M10" s="196" t="str">
        <f aca="false">_xlfn.CONCAT(Capas!$B10," para Encadernação"," ",Capas!$C10,," ",Capas!$E10," A4")</f>
        <v>Capa para Encadernação Azul Transparente Couro A4</v>
      </c>
      <c r="N10" s="196" t="str">
        <f aca="false">_xlfn.CONCAT(LEFT(Capas!$B10,2),(LEFT(Capas!$C10,2)),(LEFT(Capas!$E10,2)),((LEFT(Capas!$D10,2))),(LEFT(Capas!$F10,3)))</f>
        <v>CaAzCoMaAlf</v>
      </c>
    </row>
    <row r="11" customFormat="false" ht="14.9" hidden="true" customHeight="false" outlineLevel="0" collapsed="false">
      <c r="A11" s="194" t="s">
        <v>74</v>
      </c>
      <c r="B11" s="194" t="s">
        <v>243</v>
      </c>
      <c r="C11" s="194" t="s">
        <v>82</v>
      </c>
      <c r="D11" s="195" t="s">
        <v>146</v>
      </c>
      <c r="E11" s="193" t="s">
        <v>244</v>
      </c>
      <c r="F11" s="194" t="s">
        <v>154</v>
      </c>
      <c r="G11" s="194" t="n">
        <v>100</v>
      </c>
      <c r="H11" s="196" t="n">
        <v>31.99</v>
      </c>
      <c r="I11" s="196" t="n">
        <f aca="false">H11/G11</f>
        <v>0.3199</v>
      </c>
      <c r="J11" s="196" t="n">
        <f aca="false">ROUNDUP(Capas!$I11/(1-75%),1)</f>
        <v>1.3</v>
      </c>
      <c r="K11" s="196" t="n">
        <f aca="false">ROUNDUP(Capas!$J11/(1-10%),1)</f>
        <v>1.5</v>
      </c>
      <c r="L11" s="196" t="n">
        <f aca="false">Capas!$J11-Capas!$I11</f>
        <v>0.9801</v>
      </c>
      <c r="M11" s="196" t="str">
        <f aca="false">_xlfn.CONCAT(Capas!$B11," para Encadernação"," ",Capas!$C11,," ",Capas!$E11," A4")</f>
        <v>Contra Capa para Encadernação Azul Couro A4</v>
      </c>
      <c r="N11" s="196" t="str">
        <f aca="false">_xlfn.CONCAT(LEFT(Capas!$B11,2),(LEFT(Capas!$C11,2)),(LEFT(Capas!$E11,2)),((LEFT(Capas!$D11,2))),(LEFT(Capas!$F11,3)))</f>
        <v>CoAzCoMaAlf</v>
      </c>
    </row>
    <row r="12" customFormat="false" ht="14.9" hidden="true" customHeight="false" outlineLevel="0" collapsed="false">
      <c r="A12" s="194" t="s">
        <v>74</v>
      </c>
      <c r="B12" s="194" t="s">
        <v>240</v>
      </c>
      <c r="C12" s="194" t="s">
        <v>249</v>
      </c>
      <c r="D12" s="195" t="s">
        <v>146</v>
      </c>
      <c r="E12" s="193" t="s">
        <v>242</v>
      </c>
      <c r="F12" s="194" t="s">
        <v>154</v>
      </c>
      <c r="G12" s="194" t="n">
        <v>100</v>
      </c>
      <c r="H12" s="196" t="n">
        <v>31.99</v>
      </c>
      <c r="I12" s="196" t="n">
        <f aca="false">H12/G12</f>
        <v>0.3199</v>
      </c>
      <c r="J12" s="196" t="n">
        <f aca="false">ROUNDUP(Capas!$I12/(1-75%),1)</f>
        <v>1.3</v>
      </c>
      <c r="K12" s="196" t="n">
        <f aca="false">ROUNDUP(Capas!$J12/(1-10%),1)</f>
        <v>1.5</v>
      </c>
      <c r="L12" s="196" t="n">
        <f aca="false">Capas!$J12-Capas!$I12</f>
        <v>0.9801</v>
      </c>
      <c r="M12" s="196" t="str">
        <f aca="false">_xlfn.CONCAT(Capas!$B12," para Encadernação"," ",Capas!$C12,," ",Capas!$E12," A4")</f>
        <v>Capa para Encadernação Azul Transparente Line A4</v>
      </c>
      <c r="N12" s="196" t="str">
        <f aca="false">_xlfn.CONCAT(LEFT(Capas!$B12,2),(LEFT(Capas!$C12,2)),(LEFT(Capas!$E12,2)),((LEFT(Capas!$D12,2))),(LEFT(Capas!$F12,3)))</f>
        <v>CaAzLiMaAlf</v>
      </c>
    </row>
    <row r="13" customFormat="false" ht="15" hidden="false" customHeight="false" outlineLevel="0" collapsed="false">
      <c r="A13" s="197" t="s">
        <v>35</v>
      </c>
      <c r="B13" s="197"/>
      <c r="C13" s="197"/>
      <c r="D13" s="198"/>
      <c r="E13" s="198"/>
      <c r="F13" s="197"/>
      <c r="G13" s="197"/>
      <c r="H13" s="199" t="n">
        <f aca="false">SUBTOTAL(109,Capas!$H$2:$H$12)</f>
        <v>63.98</v>
      </c>
      <c r="I13" s="199" t="n">
        <f aca="false">SUBTOTAL(109,Capas!$I$2:$I$12)</f>
        <v>0.6398</v>
      </c>
      <c r="J13" s="199" t="n">
        <f aca="false">SUBTOTAL(109,Capas!$J$2:$J$12)</f>
        <v>2.6</v>
      </c>
      <c r="K13" s="199" t="n">
        <f aca="false">SUBTOTAL(109,Capas!$K$2:$K$12)</f>
        <v>3</v>
      </c>
      <c r="L13" s="199" t="n">
        <f aca="false">SUBTOTAL(109,Capas!$L$2:$L$12)</f>
        <v>1.9602</v>
      </c>
      <c r="M13" s="197"/>
      <c r="N13" s="197"/>
    </row>
  </sheetData>
  <conditionalFormatting sqref="N1:N1048576">
    <cfRule type="duplicateValues" priority="2" aboveAverage="0" equalAverage="0" bottom="0" percent="0" rank="0" text="" dxfId="113"/>
  </conditionalFormatting>
  <conditionalFormatting sqref="M1:M1048576">
    <cfRule type="duplicateValues" priority="3" aboveAverage="0" equalAverage="0" bottom="0" percent="0" rank="0" text="" dxfId="114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2" width="12.67"/>
    <col collapsed="false" customWidth="true" hidden="false" outlineLevel="0" max="10" min="3" style="3" width="12.67"/>
    <col collapsed="false" customWidth="false" hidden="false" outlineLevel="0" max="11" min="11" style="4" width="8.53"/>
    <col collapsed="false" customWidth="true" hidden="false" outlineLevel="0" max="12" min="12" style="4" width="21.71"/>
    <col collapsed="false" customWidth="true" hidden="false" outlineLevel="0" max="13" min="13" style="4" width="26.57"/>
    <col collapsed="false" customWidth="true" hidden="false" outlineLevel="0" max="14" min="14" style="4" width="18.85"/>
    <col collapsed="false" customWidth="true" hidden="false" outlineLevel="0" max="15" min="15" style="4" width="17"/>
    <col collapsed="false" customWidth="true" hidden="false" outlineLevel="0" max="16" min="16" style="4" width="11"/>
    <col collapsed="false" customWidth="true" hidden="false" outlineLevel="0" max="17" min="17" style="4" width="11.09"/>
    <col collapsed="false" customWidth="false" hidden="false" outlineLevel="0" max="1013" min="18" style="4" width="8.53"/>
    <col collapsed="false" customWidth="true" hidden="false" outlineLevel="0" max="1024" min="1014" style="4" width="9.14"/>
  </cols>
  <sheetData>
    <row r="1" customFormat="false" ht="28.05" hidden="false" customHeight="true" outlineLevel="0" collapsed="false">
      <c r="A1" s="5" t="s">
        <v>37</v>
      </c>
      <c r="B1" s="6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L1" s="8" t="s">
        <v>10</v>
      </c>
      <c r="M1" s="8"/>
      <c r="N1" s="8"/>
      <c r="O1" s="8"/>
      <c r="P1" s="8"/>
    </row>
    <row r="2" customFormat="false" ht="16.15" hidden="false" customHeight="false" outlineLevel="0" collapsed="false">
      <c r="A2" s="9" t="s">
        <v>47</v>
      </c>
      <c r="B2" s="10" t="n">
        <v>0</v>
      </c>
      <c r="C2" s="11" t="n">
        <f aca="false">D2*2</f>
        <v>0.153333333333333</v>
      </c>
      <c r="D2" s="11" t="n">
        <f aca="false">$Q$20/(1-B2)</f>
        <v>0.0766666666666667</v>
      </c>
      <c r="E2" s="11" t="n">
        <f aca="false">D2/2</f>
        <v>0.0383333333333333</v>
      </c>
      <c r="F2" s="11" t="n">
        <f aca="false">D2/4</f>
        <v>0.0191666666666667</v>
      </c>
      <c r="G2" s="11" t="n">
        <f aca="false">D2/8</f>
        <v>0.00958333333333333</v>
      </c>
      <c r="H2" s="11" t="n">
        <f aca="false">D2/16</f>
        <v>0.00479166666666667</v>
      </c>
      <c r="I2" s="11" t="n">
        <f aca="false">D2/32</f>
        <v>0.00239583333333333</v>
      </c>
      <c r="J2" s="11" t="n">
        <f aca="false">D2/64</f>
        <v>0.00119791666666667</v>
      </c>
      <c r="L2" s="12" t="n">
        <v>5</v>
      </c>
      <c r="M2" s="13" t="s">
        <v>12</v>
      </c>
      <c r="N2" s="13"/>
      <c r="O2" s="14"/>
      <c r="P2" s="15"/>
    </row>
    <row r="3" customFormat="false" ht="18" hidden="false" customHeight="true" outlineLevel="0" collapsed="false">
      <c r="A3" s="9" t="s">
        <v>48</v>
      </c>
      <c r="B3" s="16" t="n">
        <v>0.5</v>
      </c>
      <c r="C3" s="11" t="n">
        <f aca="false">D3*2</f>
        <v>0.306666666666667</v>
      </c>
      <c r="D3" s="11" t="n">
        <f aca="false">$Q$20/(1-B3)</f>
        <v>0.153333333333333</v>
      </c>
      <c r="E3" s="11" t="n">
        <f aca="false">D3/2</f>
        <v>0.0766666666666667</v>
      </c>
      <c r="F3" s="11" t="n">
        <f aca="false">D3/4</f>
        <v>0.0383333333333334</v>
      </c>
      <c r="G3" s="11" t="n">
        <f aca="false">D3/8</f>
        <v>0.0191666666666667</v>
      </c>
      <c r="H3" s="11" t="n">
        <f aca="false">D3/16</f>
        <v>0.00958333333333334</v>
      </c>
      <c r="I3" s="11" t="n">
        <f aca="false">D3/32</f>
        <v>0.00479166666666667</v>
      </c>
      <c r="J3" s="11" t="n">
        <f aca="false">D3/64</f>
        <v>0.00239583333333333</v>
      </c>
      <c r="L3" s="17" t="n">
        <v>7500</v>
      </c>
      <c r="M3" s="18" t="s">
        <v>14</v>
      </c>
      <c r="N3" s="18"/>
      <c r="O3" s="14"/>
      <c r="P3" s="15"/>
    </row>
    <row r="4" customFormat="false" ht="17.25" hidden="false" customHeight="true" outlineLevel="0" collapsed="false">
      <c r="A4" s="9" t="s">
        <v>49</v>
      </c>
      <c r="B4" s="16" t="n">
        <v>0.8</v>
      </c>
      <c r="C4" s="11" t="n">
        <f aca="false">D4*2</f>
        <v>0.766666666666667</v>
      </c>
      <c r="D4" s="11" t="n">
        <f aca="false">$Q$20/(1-B4)</f>
        <v>0.383333333333334</v>
      </c>
      <c r="E4" s="11" t="n">
        <f aca="false">D4/2</f>
        <v>0.191666666666667</v>
      </c>
      <c r="F4" s="11" t="n">
        <f aca="false">D4/4</f>
        <v>0.0958333333333334</v>
      </c>
      <c r="G4" s="11" t="n">
        <f aca="false">D4/8</f>
        <v>0.0479166666666667</v>
      </c>
      <c r="H4" s="11" t="n">
        <f aca="false">D4/16</f>
        <v>0.0239583333333333</v>
      </c>
      <c r="I4" s="11" t="n">
        <f aca="false">D4/32</f>
        <v>0.0119791666666667</v>
      </c>
      <c r="J4" s="11" t="n">
        <f aca="false">D4/64</f>
        <v>0.00598958333333334</v>
      </c>
      <c r="L4" s="19" t="n">
        <v>0</v>
      </c>
      <c r="M4" s="19"/>
      <c r="N4" s="19"/>
      <c r="O4" s="19"/>
      <c r="P4" s="19"/>
    </row>
    <row r="5" customFormat="false" ht="13.8" hidden="false" customHeight="false" outlineLevel="0" collapsed="false">
      <c r="L5" s="20" t="s">
        <v>16</v>
      </c>
      <c r="M5" s="21" t="s">
        <v>17</v>
      </c>
      <c r="N5" s="22" t="s">
        <v>18</v>
      </c>
      <c r="O5" s="22" t="s">
        <v>19</v>
      </c>
      <c r="P5" s="22" t="s">
        <v>20</v>
      </c>
    </row>
    <row r="6" customFormat="false" ht="15.1" hidden="false" customHeight="false" outlineLevel="0" collapsed="false">
      <c r="L6" s="23" t="s">
        <v>21</v>
      </c>
      <c r="M6" s="24" t="n">
        <v>60</v>
      </c>
      <c r="N6" s="25" t="n">
        <v>7500</v>
      </c>
      <c r="O6" s="26" t="n">
        <f aca="false">(5/$L$2)*N6</f>
        <v>7500</v>
      </c>
      <c r="P6" s="27" t="n">
        <f aca="false">IF(O6=0,"0",M6/O6)</f>
        <v>0.008</v>
      </c>
    </row>
    <row r="7" customFormat="false" ht="15.1" hidden="false" customHeight="false" outlineLevel="0" collapsed="false">
      <c r="L7" s="28" t="s">
        <v>22</v>
      </c>
      <c r="M7" s="24" t="n">
        <v>60</v>
      </c>
      <c r="N7" s="25" t="n">
        <v>6000</v>
      </c>
      <c r="O7" s="26" t="n">
        <f aca="false">(5/$L$2)*N7</f>
        <v>6000</v>
      </c>
      <c r="P7" s="27" t="n">
        <f aca="false">IF(O7=0,"0",M7/O7)</f>
        <v>0.01</v>
      </c>
    </row>
    <row r="8" customFormat="false" ht="15" hidden="false" customHeight="true" outlineLevel="0" collapsed="false">
      <c r="L8" s="28" t="s">
        <v>23</v>
      </c>
      <c r="M8" s="24" t="n">
        <v>60</v>
      </c>
      <c r="N8" s="25" t="n">
        <v>6000</v>
      </c>
      <c r="O8" s="26" t="n">
        <f aca="false">(5/$L$2)*N8</f>
        <v>6000</v>
      </c>
      <c r="P8" s="27" t="n">
        <f aca="false">IF(O8=0,"0",M8/O8)</f>
        <v>0.01</v>
      </c>
    </row>
    <row r="9" customFormat="false" ht="15" hidden="false" customHeight="true" outlineLevel="0" collapsed="false">
      <c r="L9" s="28" t="s">
        <v>24</v>
      </c>
      <c r="M9" s="24" t="n">
        <v>60</v>
      </c>
      <c r="N9" s="25" t="n">
        <v>6000</v>
      </c>
      <c r="O9" s="26" t="n">
        <f aca="false">(5/$L$2)*N9</f>
        <v>6000</v>
      </c>
      <c r="P9" s="27" t="n">
        <f aca="false">IF(O9=0,"0",M9/O9)</f>
        <v>0.01</v>
      </c>
    </row>
    <row r="10" customFormat="false" ht="16.5" hidden="false" customHeight="true" outlineLevel="0" collapsed="false">
      <c r="L10" s="28" t="s">
        <v>25</v>
      </c>
      <c r="M10" s="29" t="n">
        <v>0</v>
      </c>
      <c r="N10" s="30" t="n">
        <v>0</v>
      </c>
      <c r="O10" s="26" t="n">
        <f aca="false">(5/$L$2)*N10</f>
        <v>0</v>
      </c>
      <c r="P10" s="27" t="str">
        <f aca="false">IF(O10=0,"0",M10/O10)</f>
        <v>0</v>
      </c>
    </row>
    <row r="11" customFormat="false" ht="15.75" hidden="false" customHeight="true" outlineLevel="0" collapsed="false">
      <c r="L11" s="28" t="s">
        <v>26</v>
      </c>
      <c r="M11" s="29" t="n">
        <v>0</v>
      </c>
      <c r="N11" s="30" t="n">
        <v>0</v>
      </c>
      <c r="O11" s="26" t="n">
        <f aca="false">(5/$L$2)*N11</f>
        <v>0</v>
      </c>
      <c r="P11" s="27" t="str">
        <f aca="false">IF(O11=0,"0",M11/O11)</f>
        <v>0</v>
      </c>
    </row>
    <row r="12" customFormat="false" ht="15.1" hidden="false" customHeight="false" outlineLevel="0" collapsed="false">
      <c r="L12" s="28" t="s">
        <v>27</v>
      </c>
      <c r="M12" s="29" t="n">
        <v>0</v>
      </c>
      <c r="N12" s="30" t="n">
        <v>0</v>
      </c>
      <c r="O12" s="26" t="n">
        <f aca="false">(5/$L$2)*N12</f>
        <v>0</v>
      </c>
      <c r="P12" s="27" t="str">
        <f aca="false">IF(O12=0,"0",M12/O12)</f>
        <v>0</v>
      </c>
    </row>
    <row r="13" customFormat="false" ht="15.1" hidden="false" customHeight="false" outlineLevel="0" collapsed="false">
      <c r="L13" s="28" t="s">
        <v>28</v>
      </c>
      <c r="M13" s="29" t="n">
        <v>0</v>
      </c>
      <c r="N13" s="30" t="n">
        <v>0</v>
      </c>
      <c r="O13" s="26" t="n">
        <f aca="false">(5/$L$2)*N13</f>
        <v>0</v>
      </c>
      <c r="P13" s="27" t="str">
        <f aca="false">IF(O13=0,"0",M13/O13)</f>
        <v>0</v>
      </c>
    </row>
    <row r="14" customFormat="false" ht="15.1" hidden="false" customHeight="false" outlineLevel="0" collapsed="false">
      <c r="L14" s="28" t="s">
        <v>29</v>
      </c>
      <c r="M14" s="29" t="n">
        <v>0</v>
      </c>
      <c r="N14" s="30" t="n">
        <v>0</v>
      </c>
      <c r="O14" s="26" t="n">
        <f aca="false">(5/$L$2)*N14</f>
        <v>0</v>
      </c>
      <c r="P14" s="27" t="str">
        <f aca="false">IF(O14=0,"0",M14/O14)</f>
        <v>0</v>
      </c>
    </row>
    <row r="15" customFormat="false" ht="15.1" hidden="false" customHeight="false" outlineLevel="0" collapsed="false">
      <c r="L15" s="28" t="s">
        <v>30</v>
      </c>
      <c r="M15" s="29" t="n">
        <v>0</v>
      </c>
      <c r="N15" s="30" t="n">
        <v>0</v>
      </c>
      <c r="O15" s="26" t="n">
        <f aca="false">(5/$L$2)*N15</f>
        <v>0</v>
      </c>
      <c r="P15" s="27" t="str">
        <f aca="false">IF(O15=0,"0",M15/O15)</f>
        <v>0</v>
      </c>
    </row>
    <row r="16" customFormat="false" ht="15.1" hidden="false" customHeight="false" outlineLevel="0" collapsed="false">
      <c r="L16" s="28" t="s">
        <v>31</v>
      </c>
      <c r="M16" s="29" t="n">
        <v>0</v>
      </c>
      <c r="N16" s="30" t="n">
        <v>0</v>
      </c>
      <c r="O16" s="26" t="n">
        <f aca="false">(5/$L$2)*N16</f>
        <v>0</v>
      </c>
      <c r="P16" s="27" t="str">
        <f aca="false">IF(O16=0,"0",M16/O16)</f>
        <v>0</v>
      </c>
    </row>
    <row r="17" customFormat="false" ht="18.75" hidden="false" customHeight="true" outlineLevel="0" collapsed="false">
      <c r="L17" s="28" t="s">
        <v>32</v>
      </c>
      <c r="M17" s="29" t="n">
        <v>0</v>
      </c>
      <c r="N17" s="30" t="n">
        <v>0</v>
      </c>
      <c r="O17" s="26" t="n">
        <f aca="false">(5/$L$2)*N17</f>
        <v>0</v>
      </c>
      <c r="P17" s="27" t="str">
        <f aca="false">IF(O17=0,"0",M17/O17)</f>
        <v>0</v>
      </c>
    </row>
    <row r="18" customFormat="false" ht="15.75" hidden="false" customHeight="true" outlineLevel="0" collapsed="false">
      <c r="L18" s="28" t="s">
        <v>33</v>
      </c>
      <c r="M18" s="29" t="n">
        <v>0</v>
      </c>
      <c r="N18" s="30" t="n">
        <v>0</v>
      </c>
      <c r="O18" s="26" t="n">
        <f aca="false">(5/$L$2)*N18</f>
        <v>0</v>
      </c>
      <c r="P18" s="27" t="str">
        <f aca="false">IF(O18=0,"0",M18/O18)</f>
        <v>0</v>
      </c>
    </row>
    <row r="19" customFormat="false" ht="15.1" hidden="false" customHeight="false" outlineLevel="0" collapsed="false">
      <c r="L19" s="28" t="s">
        <v>34</v>
      </c>
      <c r="M19" s="31" t="n">
        <v>20</v>
      </c>
      <c r="N19" s="32" t="n">
        <v>60000</v>
      </c>
      <c r="O19" s="26" t="n">
        <f aca="false">(5/$L$2)*N19</f>
        <v>60000</v>
      </c>
      <c r="P19" s="33" t="n">
        <f aca="false">M19/O19</f>
        <v>0.000333333333333333</v>
      </c>
    </row>
    <row r="20" customFormat="false" ht="15" hidden="false" customHeight="false" outlineLevel="0" collapsed="false">
      <c r="L20" s="34"/>
      <c r="M20" s="4" t="n">
        <f aca="false">SUM(M6:M19)</f>
        <v>260</v>
      </c>
      <c r="N20" s="4" t="n">
        <f aca="false">SUM(N6:N18)</f>
        <v>25500</v>
      </c>
      <c r="O20" s="35" t="s">
        <v>35</v>
      </c>
      <c r="P20" s="36" t="n">
        <f aca="false">SUM(P6:P19)</f>
        <v>0.0383333333333333</v>
      </c>
      <c r="Q20" s="37" t="n">
        <f aca="false">P20/(1-50%)</f>
        <v>0.0766666666666667</v>
      </c>
    </row>
    <row r="21" customFormat="false" ht="15" hidden="false" customHeight="false" outlineLevel="0" collapsed="false">
      <c r="L21" s="34"/>
      <c r="O21" s="35" t="s">
        <v>36</v>
      </c>
      <c r="P21" s="38" t="n">
        <f aca="false">P20*L3</f>
        <v>287.5</v>
      </c>
    </row>
    <row r="24" customFormat="false" ht="16.15" hidden="false" customHeight="false" outlineLevel="0" collapsed="false">
      <c r="L24" s="39"/>
      <c r="M24" s="39"/>
      <c r="N24" s="39"/>
      <c r="O24" s="39"/>
      <c r="P24" s="39"/>
    </row>
    <row r="25" customFormat="false" ht="13.8" hidden="false" customHeight="false" outlineLevel="0" collapsed="false">
      <c r="L25" s="40"/>
      <c r="M25" s="41"/>
      <c r="N25" s="41"/>
      <c r="O25" s="41"/>
      <c r="P25" s="41"/>
    </row>
    <row r="26" customFormat="false" ht="13.8" hidden="false" customHeight="false" outlineLevel="0" collapsed="false">
      <c r="L26" s="34"/>
      <c r="M26" s="42"/>
      <c r="N26" s="43"/>
      <c r="O26" s="43"/>
      <c r="P26" s="44"/>
    </row>
    <row r="27" customFormat="false" ht="13.8" hidden="false" customHeight="false" outlineLevel="0" collapsed="false">
      <c r="L27" s="34"/>
      <c r="M27" s="42"/>
      <c r="N27" s="43"/>
      <c r="O27" s="43"/>
      <c r="P27" s="44"/>
    </row>
    <row r="28" customFormat="false" ht="13.8" hidden="false" customHeight="false" outlineLevel="0" collapsed="false">
      <c r="L28" s="34"/>
      <c r="M28" s="42"/>
      <c r="N28" s="43"/>
      <c r="O28" s="43"/>
      <c r="P28" s="44"/>
    </row>
    <row r="29" customFormat="false" ht="13.8" hidden="false" customHeight="false" outlineLevel="0" collapsed="false">
      <c r="L29" s="34"/>
      <c r="M29" s="42"/>
      <c r="N29" s="43"/>
      <c r="O29" s="43"/>
      <c r="P29" s="44"/>
    </row>
    <row r="30" customFormat="false" ht="13.8" hidden="false" customHeight="false" outlineLevel="0" collapsed="false">
      <c r="L30" s="34"/>
      <c r="M30" s="42"/>
      <c r="N30" s="43"/>
      <c r="O30" s="43"/>
      <c r="P30" s="44"/>
    </row>
    <row r="31" customFormat="false" ht="13.8" hidden="false" customHeight="false" outlineLevel="0" collapsed="false">
      <c r="L31" s="34"/>
      <c r="M31" s="42"/>
      <c r="N31" s="43"/>
      <c r="O31" s="43"/>
      <c r="P31" s="44"/>
    </row>
    <row r="32" customFormat="false" ht="13.8" hidden="false" customHeight="false" outlineLevel="0" collapsed="false">
      <c r="L32" s="34"/>
      <c r="M32" s="42"/>
      <c r="N32" s="43"/>
      <c r="O32" s="43"/>
      <c r="P32" s="44"/>
    </row>
    <row r="33" customFormat="false" ht="13.8" hidden="false" customHeight="false" outlineLevel="0" collapsed="false">
      <c r="L33" s="34"/>
      <c r="M33" s="42"/>
      <c r="N33" s="43"/>
      <c r="O33" s="43"/>
      <c r="P33" s="44"/>
    </row>
    <row r="34" customFormat="false" ht="13.8" hidden="false" customHeight="false" outlineLevel="0" collapsed="false">
      <c r="L34" s="34"/>
      <c r="M34" s="42"/>
      <c r="N34" s="43"/>
      <c r="O34" s="43"/>
      <c r="P34" s="44"/>
    </row>
    <row r="35" customFormat="false" ht="13.8" hidden="false" customHeight="false" outlineLevel="0" collapsed="false">
      <c r="L35" s="34"/>
      <c r="M35" s="42"/>
      <c r="N35" s="43"/>
      <c r="O35" s="43"/>
      <c r="P35" s="44"/>
    </row>
    <row r="36" customFormat="false" ht="13.8" hidden="false" customHeight="false" outlineLevel="0" collapsed="false">
      <c r="L36" s="34"/>
      <c r="M36" s="42"/>
      <c r="N36" s="43"/>
      <c r="O36" s="43"/>
      <c r="P36" s="44"/>
    </row>
    <row r="37" customFormat="false" ht="13.8" hidden="false" customHeight="false" outlineLevel="0" collapsed="false">
      <c r="L37" s="34"/>
      <c r="M37" s="42"/>
      <c r="N37" s="43"/>
      <c r="O37" s="43"/>
      <c r="P37" s="44"/>
    </row>
    <row r="38" customFormat="false" ht="13.8" hidden="false" customHeight="false" outlineLevel="0" collapsed="false">
      <c r="L38" s="34"/>
      <c r="M38" s="42"/>
      <c r="N38" s="43"/>
      <c r="O38" s="43"/>
      <c r="P38" s="44"/>
    </row>
    <row r="39" customFormat="false" ht="13.8" hidden="false" customHeight="false" outlineLevel="0" collapsed="false">
      <c r="L39" s="34"/>
      <c r="M39" s="42"/>
      <c r="N39" s="43"/>
      <c r="O39" s="43"/>
      <c r="P39" s="44"/>
    </row>
    <row r="40" customFormat="false" ht="17.35" hidden="false" customHeight="false" outlineLevel="0" collapsed="false">
      <c r="L40" s="34"/>
      <c r="M40" s="45"/>
      <c r="N40" s="45"/>
      <c r="O40" s="46"/>
      <c r="P40" s="47"/>
    </row>
    <row r="41" customFormat="false" ht="17.35" hidden="false" customHeight="false" outlineLevel="0" collapsed="false">
      <c r="L41" s="34"/>
      <c r="M41" s="45"/>
      <c r="N41" s="45"/>
      <c r="O41" s="48"/>
      <c r="P41" s="49"/>
    </row>
    <row r="42" customFormat="false" ht="13.8" hidden="false" customHeight="false" outlineLevel="0" collapsed="false">
      <c r="L42" s="45"/>
      <c r="M42" s="45"/>
      <c r="N42" s="45"/>
      <c r="O42" s="45"/>
      <c r="P42" s="45"/>
    </row>
    <row r="43" customFormat="false" ht="16.15" hidden="false" customHeight="false" outlineLevel="0" collapsed="false">
      <c r="L43" s="39"/>
      <c r="M43" s="39"/>
      <c r="N43" s="39"/>
      <c r="O43" s="39"/>
      <c r="P43" s="39"/>
    </row>
    <row r="44" customFormat="false" ht="13.8" hidden="false" customHeight="false" outlineLevel="0" collapsed="false">
      <c r="L44" s="40"/>
      <c r="M44" s="41"/>
      <c r="N44" s="41"/>
      <c r="O44" s="41"/>
      <c r="P44" s="41"/>
    </row>
    <row r="45" customFormat="false" ht="13.8" hidden="false" customHeight="false" outlineLevel="0" collapsed="false">
      <c r="L45" s="34"/>
      <c r="M45" s="50"/>
      <c r="N45" s="51"/>
      <c r="O45" s="43"/>
      <c r="P45" s="44"/>
    </row>
    <row r="46" customFormat="false" ht="13.8" hidden="false" customHeight="false" outlineLevel="0" collapsed="false">
      <c r="L46" s="34"/>
      <c r="M46" s="50"/>
      <c r="N46" s="51"/>
      <c r="O46" s="43"/>
      <c r="P46" s="44"/>
    </row>
    <row r="47" customFormat="false" ht="13.8" hidden="false" customHeight="false" outlineLevel="0" collapsed="false">
      <c r="L47" s="34"/>
      <c r="M47" s="50"/>
      <c r="N47" s="51"/>
      <c r="O47" s="43"/>
      <c r="P47" s="44"/>
    </row>
    <row r="48" customFormat="false" ht="13.8" hidden="false" customHeight="false" outlineLevel="0" collapsed="false">
      <c r="L48" s="34"/>
      <c r="M48" s="50"/>
      <c r="N48" s="51"/>
      <c r="O48" s="43"/>
      <c r="P48" s="44"/>
    </row>
    <row r="49" customFormat="false" ht="13.8" hidden="false" customHeight="false" outlineLevel="0" collapsed="false">
      <c r="L49" s="34"/>
      <c r="M49" s="50"/>
      <c r="N49" s="51"/>
      <c r="O49" s="43"/>
      <c r="P49" s="44"/>
    </row>
    <row r="50" customFormat="false" ht="13.8" hidden="false" customHeight="false" outlineLevel="0" collapsed="false">
      <c r="L50" s="34"/>
      <c r="M50" s="50"/>
      <c r="N50" s="51"/>
      <c r="O50" s="43"/>
      <c r="P50" s="44"/>
    </row>
    <row r="51" customFormat="false" ht="13.8" hidden="false" customHeight="false" outlineLevel="0" collapsed="false">
      <c r="L51" s="34"/>
      <c r="M51" s="50"/>
      <c r="N51" s="51"/>
      <c r="O51" s="43"/>
      <c r="P51" s="44"/>
    </row>
    <row r="52" customFormat="false" ht="13.8" hidden="false" customHeight="false" outlineLevel="0" collapsed="false">
      <c r="L52" s="34"/>
      <c r="M52" s="50"/>
      <c r="N52" s="51"/>
      <c r="O52" s="43"/>
      <c r="P52" s="44"/>
    </row>
    <row r="53" customFormat="false" ht="13.8" hidden="false" customHeight="false" outlineLevel="0" collapsed="false">
      <c r="L53" s="34"/>
      <c r="M53" s="50"/>
      <c r="N53" s="51"/>
      <c r="O53" s="43"/>
      <c r="P53" s="44"/>
    </row>
    <row r="54" customFormat="false" ht="13.8" hidden="false" customHeight="false" outlineLevel="0" collapsed="false">
      <c r="L54" s="34"/>
      <c r="M54" s="50"/>
      <c r="N54" s="51"/>
      <c r="O54" s="43"/>
      <c r="P54" s="44"/>
    </row>
    <row r="55" customFormat="false" ht="13.8" hidden="false" customHeight="false" outlineLevel="0" collapsed="false">
      <c r="L55" s="34"/>
      <c r="M55" s="50"/>
      <c r="N55" s="51"/>
      <c r="O55" s="43"/>
      <c r="P55" s="44"/>
    </row>
    <row r="56" customFormat="false" ht="13.8" hidden="false" customHeight="false" outlineLevel="0" collapsed="false">
      <c r="L56" s="34"/>
      <c r="M56" s="50"/>
      <c r="N56" s="51"/>
      <c r="O56" s="43"/>
      <c r="P56" s="44"/>
    </row>
    <row r="57" customFormat="false" ht="13.8" hidden="false" customHeight="false" outlineLevel="0" collapsed="false">
      <c r="L57" s="34"/>
      <c r="M57" s="50"/>
      <c r="N57" s="51"/>
      <c r="O57" s="43"/>
      <c r="P57" s="44"/>
    </row>
    <row r="58" customFormat="false" ht="13.8" hidden="false" customHeight="false" outlineLevel="0" collapsed="false">
      <c r="L58" s="34"/>
      <c r="M58" s="42"/>
      <c r="N58" s="52"/>
      <c r="O58" s="43"/>
      <c r="P58" s="44"/>
    </row>
    <row r="59" customFormat="false" ht="13.8" hidden="false" customHeight="false" outlineLevel="0" collapsed="false">
      <c r="L59" s="34"/>
      <c r="M59" s="42"/>
      <c r="N59" s="43"/>
      <c r="O59" s="43"/>
      <c r="P59" s="44"/>
    </row>
    <row r="60" customFormat="false" ht="17.35" hidden="false" customHeight="false" outlineLevel="0" collapsed="false">
      <c r="L60" s="34"/>
      <c r="M60" s="45"/>
      <c r="N60" s="45"/>
      <c r="O60" s="46"/>
      <c r="P60" s="47"/>
    </row>
    <row r="61" customFormat="false" ht="15" hidden="false" customHeight="false" outlineLevel="0" collapsed="false">
      <c r="L61" s="45"/>
      <c r="M61" s="45"/>
      <c r="N61" s="45"/>
      <c r="O61" s="48"/>
      <c r="P61" s="53"/>
    </row>
    <row r="62" customFormat="false" ht="13.8" hidden="false" customHeight="false" outlineLevel="0" collapsed="false">
      <c r="L62" s="45"/>
      <c r="M62" s="45"/>
      <c r="N62" s="45"/>
      <c r="O62" s="45"/>
      <c r="P62" s="45"/>
    </row>
  </sheetData>
  <mergeCells count="6">
    <mergeCell ref="L1:P1"/>
    <mergeCell ref="M2:N2"/>
    <mergeCell ref="M3:N3"/>
    <mergeCell ref="L4:P4"/>
    <mergeCell ref="L24:P24"/>
    <mergeCell ref="L43:P43"/>
  </mergeCells>
  <dataValidations count="1">
    <dataValidation allowBlank="true" errorStyle="stop" operator="equal" showDropDown="false" showErrorMessage="true" showInputMessage="true" sqref="M2:N2" type="list">
      <formula1>$N$6:$N$10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8.29"/>
    <col collapsed="false" customWidth="true" hidden="false" outlineLevel="0" max="2" min="2" style="0" width="48.57"/>
    <col collapsed="false" customWidth="true" hidden="false" outlineLevel="0" max="4" min="4" style="0" width="49.28"/>
    <col collapsed="false" customWidth="true" hidden="false" outlineLevel="0" max="5" min="5" style="0" width="9.43"/>
    <col collapsed="false" customWidth="true" hidden="false" outlineLevel="0" max="6" min="6" style="0" width="10.14"/>
    <col collapsed="false" customWidth="true" hidden="false" outlineLevel="0" max="7" min="7" style="0" width="11"/>
    <col collapsed="false" customWidth="true" hidden="false" outlineLevel="0" max="8" min="8" style="54" width="9.85"/>
  </cols>
  <sheetData>
    <row r="1" customFormat="false" ht="13.8" hidden="false" customHeight="false" outlineLevel="0" collapsed="false">
      <c r="A1" s="0" t="s">
        <v>50</v>
      </c>
      <c r="B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54" t="s">
        <v>56</v>
      </c>
      <c r="J1" s="0" t="s">
        <v>57</v>
      </c>
    </row>
    <row r="2" customFormat="false" ht="13.8" hidden="false" customHeight="false" outlineLevel="0" collapsed="false">
      <c r="A2" s="0" t="s">
        <v>58</v>
      </c>
      <c r="B2" s="0" t="s">
        <v>59</v>
      </c>
      <c r="D2" s="55" t="s">
        <v>60</v>
      </c>
      <c r="E2" s="56" t="n">
        <v>120</v>
      </c>
      <c r="F2" s="57" t="s">
        <v>61</v>
      </c>
      <c r="G2" s="0" t="s">
        <v>62</v>
      </c>
      <c r="H2" s="58" t="n">
        <v>25</v>
      </c>
      <c r="J2" s="0" t="s">
        <v>63</v>
      </c>
    </row>
    <row r="3" customFormat="false" ht="13.8" hidden="false" customHeight="false" outlineLevel="0" collapsed="false">
      <c r="A3" s="0" t="s">
        <v>64</v>
      </c>
      <c r="B3" s="0" t="s">
        <v>65</v>
      </c>
      <c r="D3" s="55" t="s">
        <v>66</v>
      </c>
      <c r="E3" s="56" t="n">
        <v>180</v>
      </c>
      <c r="F3" s="57" t="s">
        <v>67</v>
      </c>
      <c r="G3" s="0" t="s">
        <v>68</v>
      </c>
      <c r="H3" s="58" t="n">
        <v>50</v>
      </c>
      <c r="J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D4" s="55" t="s">
        <v>72</v>
      </c>
      <c r="E4" s="56" t="n">
        <v>75</v>
      </c>
      <c r="F4" s="57" t="s">
        <v>73</v>
      </c>
      <c r="G4" s="0" t="s">
        <v>74</v>
      </c>
      <c r="H4" s="58" t="n">
        <v>70</v>
      </c>
    </row>
    <row r="5" customFormat="false" ht="13.8" hidden="false" customHeight="false" outlineLevel="0" collapsed="false">
      <c r="D5" s="55" t="s">
        <v>75</v>
      </c>
      <c r="E5" s="56" t="n">
        <v>115</v>
      </c>
      <c r="F5" s="57" t="s">
        <v>76</v>
      </c>
      <c r="G5" s="0" t="s">
        <v>77</v>
      </c>
      <c r="H5" s="58" t="n">
        <v>85</v>
      </c>
    </row>
    <row r="6" customFormat="false" ht="13.8" hidden="false" customHeight="false" outlineLevel="0" collapsed="false">
      <c r="D6" s="55" t="s">
        <v>78</v>
      </c>
      <c r="E6" s="56" t="n">
        <v>130</v>
      </c>
      <c r="F6" s="57" t="s">
        <v>79</v>
      </c>
      <c r="G6" s="0" t="s">
        <v>80</v>
      </c>
      <c r="H6" s="58" t="n">
        <v>100</v>
      </c>
    </row>
    <row r="7" customFormat="false" ht="13.8" hidden="false" customHeight="false" outlineLevel="0" collapsed="false">
      <c r="D7" s="55" t="s">
        <v>81</v>
      </c>
      <c r="E7" s="56" t="n">
        <v>194</v>
      </c>
      <c r="F7" s="57" t="s">
        <v>82</v>
      </c>
      <c r="G7" s="0" t="s">
        <v>83</v>
      </c>
      <c r="H7" s="58" t="n">
        <v>120</v>
      </c>
    </row>
    <row r="8" customFormat="false" ht="13.8" hidden="false" customHeight="false" outlineLevel="0" collapsed="false">
      <c r="D8" s="55" t="s">
        <v>84</v>
      </c>
      <c r="E8" s="56" t="n">
        <v>200</v>
      </c>
      <c r="F8" s="57" t="s">
        <v>85</v>
      </c>
      <c r="H8" s="58" t="n">
        <v>140</v>
      </c>
    </row>
    <row r="9" customFormat="false" ht="13.8" hidden="false" customHeight="false" outlineLevel="0" collapsed="false">
      <c r="D9" s="55" t="s">
        <v>86</v>
      </c>
      <c r="E9" s="56" t="n">
        <v>230</v>
      </c>
      <c r="F9" s="54"/>
      <c r="H9" s="58" t="n">
        <v>160</v>
      </c>
    </row>
    <row r="10" customFormat="false" ht="13.8" hidden="false" customHeight="false" outlineLevel="0" collapsed="false">
      <c r="D10" s="55"/>
      <c r="E10" s="56" t="n">
        <v>265</v>
      </c>
      <c r="F10" s="54"/>
      <c r="H10" s="58" t="n">
        <v>200</v>
      </c>
    </row>
    <row r="11" customFormat="false" ht="13.8" hidden="false" customHeight="false" outlineLevel="0" collapsed="false">
      <c r="D11" s="55"/>
      <c r="E11" s="56" t="n">
        <v>220</v>
      </c>
      <c r="F11" s="54"/>
      <c r="H11" s="58" t="n">
        <v>250</v>
      </c>
    </row>
    <row r="12" customFormat="false" ht="13.8" hidden="false" customHeight="false" outlineLevel="0" collapsed="false">
      <c r="D12" s="55"/>
      <c r="E12" s="56" t="n">
        <v>270</v>
      </c>
      <c r="F12" s="54"/>
      <c r="H12" s="58" t="n">
        <v>350</v>
      </c>
    </row>
    <row r="13" customFormat="false" ht="13.8" hidden="false" customHeight="false" outlineLevel="0" collapsed="false">
      <c r="D13" s="55"/>
      <c r="E13" s="56" t="n">
        <v>215</v>
      </c>
      <c r="F13" s="54"/>
      <c r="H13" s="58" t="n">
        <v>400</v>
      </c>
    </row>
    <row r="14" customFormat="false" ht="13.8" hidden="false" customHeight="false" outlineLevel="0" collapsed="false">
      <c r="D14" s="55"/>
      <c r="E14" s="56" t="n">
        <v>90</v>
      </c>
      <c r="F14" s="54"/>
      <c r="H14" s="58" t="n">
        <v>450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59" width="40.43"/>
    <col collapsed="false" customWidth="true" hidden="false" outlineLevel="0" max="3" min="3" style="0" width="12.28"/>
    <col collapsed="false" customWidth="true" hidden="false" outlineLevel="0" max="5" min="5" style="0" width="12.57"/>
  </cols>
  <sheetData>
    <row r="1" customFormat="false" ht="13.8" hidden="false" customHeight="false" outlineLevel="0" collapsed="false">
      <c r="A1" s="0" t="s">
        <v>87</v>
      </c>
      <c r="B1" s="59" t="s">
        <v>88</v>
      </c>
      <c r="C1" s="0" t="s">
        <v>89</v>
      </c>
    </row>
    <row r="2" customFormat="false" ht="13.8" hidden="false" customHeight="false" outlineLevel="0" collapsed="false">
      <c r="A2" s="0" t="s">
        <v>90</v>
      </c>
      <c r="C2" s="0" t="n">
        <f aca="false">B2</f>
        <v>0</v>
      </c>
    </row>
    <row r="3" customFormat="false" ht="13.8" hidden="false" customHeight="false" outlineLevel="0" collapsed="false">
      <c r="A3" s="0" t="s">
        <v>91</v>
      </c>
    </row>
    <row r="4" customFormat="false" ht="13.8" hidden="false" customHeight="false" outlineLevel="0" collapsed="false">
      <c r="A4" s="0" t="s">
        <v>92</v>
      </c>
    </row>
    <row r="5" customFormat="false" ht="13.8" hidden="false" customHeight="false" outlineLevel="0" collapsed="false">
      <c r="A5" s="0" t="s">
        <v>93</v>
      </c>
    </row>
    <row r="6" customFormat="false" ht="13.8" hidden="false" customHeight="false" outlineLevel="0" collapsed="false">
      <c r="A6" s="0" t="s">
        <v>94</v>
      </c>
    </row>
    <row r="7" customFormat="false" ht="13.8" hidden="false" customHeight="false" outlineLevel="0" collapsed="false">
      <c r="A7" s="0" t="s">
        <v>95</v>
      </c>
    </row>
    <row r="8" customFormat="false" ht="13.8" hidden="false" customHeight="false" outlineLevel="0" collapsed="false">
      <c r="A8" s="0" t="s">
        <v>96</v>
      </c>
    </row>
    <row r="9" customFormat="false" ht="13.8" hidden="false" customHeight="false" outlineLevel="0" collapsed="false">
      <c r="A9" s="0" t="s">
        <v>97</v>
      </c>
    </row>
    <row r="10" customFormat="false" ht="13.8" hidden="false" customHeight="false" outlineLevel="0" collapsed="false">
      <c r="A10" s="0" t="s">
        <v>98</v>
      </c>
      <c r="B10" s="59" t="s">
        <v>60</v>
      </c>
      <c r="C10" s="0" t="e">
        <f aca="true">MAX(INDIRECT(""))</f>
        <v>#REF!</v>
      </c>
    </row>
    <row r="11" customFormat="false" ht="13.8" hidden="false" customHeight="false" outlineLevel="0" collapsed="false">
      <c r="A11" s="0" t="s">
        <v>99</v>
      </c>
    </row>
    <row r="12" customFormat="false" ht="13.8" hidden="false" customHeight="false" outlineLevel="0" collapsed="false">
      <c r="A12" s="0" t="s">
        <v>100</v>
      </c>
      <c r="B12" s="59" t="n">
        <v>1</v>
      </c>
      <c r="C12" s="60" t="n">
        <f aca="false">('HP 7110 BULK'!E7)*B12</f>
        <v>0.0512</v>
      </c>
    </row>
    <row r="13" customFormat="false" ht="13.8" hidden="false" customHeight="false" outlineLevel="0" collapsed="false">
      <c r="A13" s="0" t="s">
        <v>101</v>
      </c>
      <c r="B13" s="59" t="n">
        <v>1</v>
      </c>
      <c r="C13" s="60" t="n">
        <f aca="false">'HP 7110 BULK'!O13*B13</f>
        <v>0.2432</v>
      </c>
    </row>
    <row r="14" customFormat="false" ht="13.8" hidden="false" customHeight="false" outlineLevel="0" collapsed="false">
      <c r="A14" s="0" t="s">
        <v>102</v>
      </c>
    </row>
    <row r="15" customFormat="false" ht="13.8" hidden="false" customHeight="false" outlineLevel="0" collapsed="false">
      <c r="A15" s="0" t="s">
        <v>103</v>
      </c>
    </row>
    <row r="16" customFormat="false" ht="13.8" hidden="false" customHeight="false" outlineLevel="0" collapsed="false">
      <c r="A16" s="0" t="s">
        <v>104</v>
      </c>
    </row>
    <row r="17" customFormat="false" ht="13.8" hidden="false" customHeight="false" outlineLevel="0" collapsed="false">
      <c r="A17" s="0" t="s">
        <v>105</v>
      </c>
    </row>
  </sheetData>
  <dataValidations count="2">
    <dataValidation allowBlank="true" errorStyle="stop" operator="equal" showDropDown="false" showErrorMessage="true" showInputMessage="true" sqref="B2" type="list">
      <formula1>'CAUCULO DE IMPRESSÃO'!$A$2:$A$5</formula1>
      <formula2>0</formula2>
    </dataValidation>
    <dataValidation allowBlank="true" errorStyle="stop" operator="equal" showDropDown="false" showErrorMessage="true" showInputMessage="true" sqref="B10" type="list">
      <formula1>DADOS!$D$2:$D$9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3.8" zeroHeight="false" outlineLevelRow="0" outlineLevelCol="0"/>
  <cols>
    <col collapsed="false" customWidth="true" hidden="false" outlineLevel="0" max="1" min="1" style="61" width="13.85"/>
    <col collapsed="false" customWidth="true" hidden="false" outlineLevel="0" max="2" min="2" style="61" width="18.28"/>
    <col collapsed="false" customWidth="true" hidden="false" outlineLevel="0" max="3" min="3" style="61" width="13.85"/>
    <col collapsed="false" customWidth="true" hidden="false" outlineLevel="0" max="4" min="4" style="61" width="13"/>
  </cols>
  <sheetData>
    <row r="1" customFormat="false" ht="13.8" hidden="false" customHeight="false" outlineLevel="0" collapsed="false">
      <c r="A1" s="62" t="s">
        <v>106</v>
      </c>
      <c r="B1" s="62" t="s">
        <v>91</v>
      </c>
      <c r="C1" s="62" t="s">
        <v>107</v>
      </c>
      <c r="D1" s="62" t="s">
        <v>108</v>
      </c>
      <c r="E1" s="62" t="s">
        <v>109</v>
      </c>
      <c r="F1" s="62" t="s">
        <v>110</v>
      </c>
    </row>
    <row r="2" customFormat="false" ht="13.8" hidden="false" customHeight="false" outlineLevel="0" collapsed="false">
      <c r="A2" s="61" t="n">
        <f aca="false">'CAUCULO DE IMPRESSÃO'!$H$6</f>
        <v>36.99</v>
      </c>
      <c r="B2" s="61" t="n">
        <f aca="false">Espirais!$J$16+Capas!$K$13</f>
        <v>5</v>
      </c>
      <c r="C2" s="61" t="n">
        <f aca="false">Encadernação!$B2+Encadernação!$A2</f>
        <v>41.99</v>
      </c>
      <c r="D2" s="61" t="n">
        <f aca="false">Encadernação!$C2*0.94</f>
        <v>39.4706</v>
      </c>
      <c r="E2" s="61" t="n">
        <f aca="false">Encadernação!$C2-Espirais!$H$16-Capas!$I$13-'CAUCULO DE IMPRESSÃO'!T6</f>
        <v>28.4194166666667</v>
      </c>
      <c r="F2" s="61" t="n">
        <f aca="false">Encadernação!$C2/'CAUCULO DE IMPRESSÃO'!$D$6</f>
        <v>1.02414634146341</v>
      </c>
    </row>
    <row r="3" customFormat="false" ht="13.8" hidden="false" customHeight="false" outlineLevel="0" collapsed="false">
      <c r="A3" s="61" t="s">
        <v>35</v>
      </c>
      <c r="B3" s="61" t="n">
        <f aca="false">SUBTOTAL(109,Encadernação!$B$2)</f>
        <v>5</v>
      </c>
      <c r="C3" s="61" t="n">
        <f aca="false">SUBTOTAL(109,Encadernação!$C$2)</f>
        <v>41.99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D3" activeCellId="0" sqref="D3"/>
    </sheetView>
  </sheetViews>
  <sheetFormatPr defaultColWidth="8.54296875" defaultRowHeight="13.8" zeroHeight="false" outlineLevelRow="0" outlineLevelCol="0"/>
  <cols>
    <col collapsed="false" customWidth="true" hidden="false" outlineLevel="0" max="1" min="1" style="60" width="16.57"/>
    <col collapsed="false" customWidth="true" hidden="false" outlineLevel="0" max="2" min="2" style="60" width="16.43"/>
    <col collapsed="false" customWidth="true" hidden="false" outlineLevel="0" max="3" min="3" style="60" width="10"/>
    <col collapsed="false" customWidth="true" hidden="false" outlineLevel="0" max="4" min="4" style="0" width="14.43"/>
    <col collapsed="false" customWidth="true" hidden="false" outlineLevel="0" max="5" min="5" style="63" width="14.43"/>
    <col collapsed="false" customWidth="true" hidden="false" outlineLevel="0" max="6" min="6" style="60" width="13.28"/>
    <col collapsed="false" customWidth="true" hidden="false" outlineLevel="0" max="7" min="7" style="60" width="18.14"/>
    <col collapsed="false" customWidth="true" hidden="false" outlineLevel="0" max="8" min="8" style="60" width="18.57"/>
    <col collapsed="false" customWidth="true" hidden="false" outlineLevel="0" max="9" min="9" style="60" width="17.14"/>
    <col collapsed="false" customWidth="true" hidden="false" outlineLevel="0" max="10" min="10" style="0" width="12.71"/>
    <col collapsed="false" customWidth="true" hidden="false" outlineLevel="0" max="12" min="12" style="64" width="11.28"/>
    <col collapsed="false" customWidth="true" hidden="false" outlineLevel="0" max="13" min="13" style="64" width="12.71"/>
    <col collapsed="false" customWidth="true" hidden="false" outlineLevel="0" max="14" min="14" style="0" width="4.7"/>
    <col collapsed="false" customWidth="true" hidden="false" outlineLevel="0" max="15" min="15" style="0" width="10.57"/>
    <col collapsed="false" customWidth="true" hidden="false" outlineLevel="0" max="17" min="17" style="0" width="11.14"/>
    <col collapsed="false" customWidth="true" hidden="false" outlineLevel="0" max="18" min="18" style="60" width="11.14"/>
    <col collapsed="false" customWidth="true" hidden="false" outlineLevel="0" max="19" min="19" style="0" width="20.57"/>
  </cols>
  <sheetData>
    <row r="1" customFormat="false" ht="13.8" hidden="false" customHeight="false" outlineLevel="0" collapsed="false">
      <c r="A1" s="60" t="s">
        <v>111</v>
      </c>
      <c r="B1" s="60" t="s">
        <v>112</v>
      </c>
      <c r="C1" s="60" t="s">
        <v>113</v>
      </c>
      <c r="D1" s="65" t="s">
        <v>114</v>
      </c>
      <c r="E1" s="66" t="s">
        <v>115</v>
      </c>
      <c r="F1" s="60" t="s">
        <v>116</v>
      </c>
      <c r="G1" s="60" t="s">
        <v>117</v>
      </c>
      <c r="H1" s="60" t="s">
        <v>118</v>
      </c>
      <c r="I1" s="60" t="s">
        <v>119</v>
      </c>
      <c r="J1" s="60" t="s">
        <v>109</v>
      </c>
      <c r="L1" s="64" t="s">
        <v>120</v>
      </c>
      <c r="M1" s="64" t="s">
        <v>109</v>
      </c>
      <c r="N1" s="60"/>
      <c r="Q1" s="0" t="s">
        <v>121</v>
      </c>
      <c r="R1" s="60" t="s">
        <v>122</v>
      </c>
      <c r="S1" s="0" t="s">
        <v>123</v>
      </c>
      <c r="T1" s="0" t="s">
        <v>124</v>
      </c>
    </row>
    <row r="2" customFormat="false" ht="14.9" hidden="false" customHeight="false" outlineLevel="0" collapsed="false">
      <c r="A2" s="60" t="str">
        <f aca="false">'HP 7110 BULK'!N12</f>
        <v>A3</v>
      </c>
      <c r="B2" s="60" t="n">
        <f aca="false">('HP 7110 BULK'!O12)/(1-50%)</f>
        <v>0.9728</v>
      </c>
      <c r="C2" s="60" t="n">
        <f aca="false">(O2)</f>
        <v>0.1225</v>
      </c>
      <c r="D2" s="67" t="n">
        <v>0</v>
      </c>
      <c r="E2" s="68" t="s">
        <v>69</v>
      </c>
      <c r="F2" s="60" t="n">
        <f aca="false">IF('CAUCULO DE IMPRESSÃO'!$E2 = "SIM",(('CAUCULO DE IMPRESSÃO'!$B2+('CAUCULO DE IMPRESSÃO'!$C2/2))),(('CAUCULO DE IMPRESSÃO'!$B2+'CAUCULO DE IMPRESSÃO'!$C2)))</f>
        <v>1.0953</v>
      </c>
      <c r="G2" s="60" t="n">
        <f aca="false">ROUNDUP(('CAUCULO DE IMPRESSÃO'!$F2*'CAUCULO DE IMPRESSÃO'!$D2)/(1-30%),2)</f>
        <v>0</v>
      </c>
      <c r="H2" s="60" t="n">
        <f aca="false">ROUNDUP(G:G/(1-10%),2)</f>
        <v>0</v>
      </c>
      <c r="I2" s="60" t="e">
        <f aca="false">H:H/IMPRESSÕES</f>
        <v>#DIV/0!</v>
      </c>
      <c r="J2" s="69" t="n">
        <f aca="false">G:G-CUSTO</f>
        <v>-1.0953</v>
      </c>
      <c r="L2" s="64" t="n">
        <f aca="false">'CAUCULO DE IMPRESSÃO'!$H2</f>
        <v>0</v>
      </c>
      <c r="M2" s="64" t="n">
        <f aca="false">L2-T2</f>
        <v>0</v>
      </c>
      <c r="N2" s="70" t="s">
        <v>68</v>
      </c>
      <c r="O2" s="71" t="n">
        <f aca="false">Papéis!$I$58</f>
        <v>0.1225</v>
      </c>
      <c r="Q2" s="69" t="n">
        <f aca="false">O2*'CAUCULO DE IMPRESSÃO'!$D2</f>
        <v>0</v>
      </c>
      <c r="R2" s="60" t="n">
        <f aca="false">'HP 7110 BULK'!O12*'CAUCULO DE IMPRESSÃO'!$D2</f>
        <v>0</v>
      </c>
      <c r="S2" s="69" t="n">
        <f aca="false">'CAUCULO DE IMPRESSÃO'!$G2-'CAUCULO DE IMPRESSÃO'!$H2</f>
        <v>0</v>
      </c>
      <c r="T2" s="69" t="n">
        <f aca="false">Q2+R2</f>
        <v>0</v>
      </c>
    </row>
    <row r="3" customFormat="false" ht="14.9" hidden="false" customHeight="false" outlineLevel="0" collapsed="false">
      <c r="A3" s="60" t="str">
        <f aca="false">'HP 7110 BULK'!N13</f>
        <v>A4</v>
      </c>
      <c r="B3" s="60" t="n">
        <f aca="false">('HP 7110 BULK'!O13)/(1-50%)</f>
        <v>0.4864</v>
      </c>
      <c r="C3" s="60" t="n">
        <f aca="false">(O3)/(1-50%)</f>
        <v>0.1225</v>
      </c>
      <c r="D3" s="67" t="n">
        <v>41</v>
      </c>
      <c r="E3" s="68" t="s">
        <v>69</v>
      </c>
      <c r="F3" s="60" t="n">
        <f aca="false">IF('CAUCULO DE IMPRESSÃO'!$E3 = "SIM",(('CAUCULO DE IMPRESSÃO'!$B3+('CAUCULO DE IMPRESSÃO'!$C3/2))),(('CAUCULO DE IMPRESSÃO'!$B3+'CAUCULO DE IMPRESSÃO'!$C3)))</f>
        <v>0.6089</v>
      </c>
      <c r="G3" s="60" t="n">
        <f aca="false">ROUNDUP(('CAUCULO DE IMPRESSÃO'!$F3*'CAUCULO DE IMPRESSÃO'!$D3)/(1-25%),2)</f>
        <v>33.29</v>
      </c>
      <c r="H3" s="60" t="n">
        <f aca="false">ROUNDUP(G:G/(1-10%),2)</f>
        <v>36.99</v>
      </c>
      <c r="I3" s="60" t="n">
        <f aca="false">H:H/IMPRESSÕES</f>
        <v>0.90219512195122</v>
      </c>
      <c r="J3" s="69" t="n">
        <f aca="false">G:G-CUSTO</f>
        <v>32.6811</v>
      </c>
      <c r="L3" s="64" t="n">
        <f aca="false">'CAUCULO DE IMPRESSÃO'!$H3</f>
        <v>36.99</v>
      </c>
      <c r="M3" s="64" t="n">
        <f aca="false">L3-T3</f>
        <v>24.50755</v>
      </c>
      <c r="N3" s="70" t="s">
        <v>74</v>
      </c>
      <c r="O3" s="70" t="n">
        <f aca="false">Papéis!$J$58</f>
        <v>0.06125</v>
      </c>
      <c r="Q3" s="69" t="n">
        <f aca="false">O3*'CAUCULO DE IMPRESSÃO'!$D3</f>
        <v>2.51125</v>
      </c>
      <c r="R3" s="60" t="n">
        <f aca="false">'HP 7110 BULK'!O13*'CAUCULO DE IMPRESSÃO'!$D3</f>
        <v>9.9712</v>
      </c>
      <c r="S3" s="69" t="n">
        <f aca="false">'CAUCULO DE IMPRESSÃO'!$G3-'CAUCULO DE IMPRESSÃO'!$H3</f>
        <v>-3.7</v>
      </c>
      <c r="T3" s="69" t="n">
        <f aca="false">Q3+R3</f>
        <v>12.48245</v>
      </c>
    </row>
    <row r="4" customFormat="false" ht="14.9" hidden="false" customHeight="false" outlineLevel="0" collapsed="false">
      <c r="A4" s="60" t="str">
        <f aca="false">'HP 7110 BULK'!N14</f>
        <v>A5</v>
      </c>
      <c r="B4" s="60" t="n">
        <f aca="false">('HP 7110 BULK'!O14)/(1-50%)</f>
        <v>0.2432</v>
      </c>
      <c r="C4" s="60" t="n">
        <f aca="false">(O4)</f>
        <v>0.030625</v>
      </c>
      <c r="D4" s="67" t="n">
        <v>0</v>
      </c>
      <c r="E4" s="68" t="s">
        <v>69</v>
      </c>
      <c r="F4" s="60" t="n">
        <f aca="false">IF('CAUCULO DE IMPRESSÃO'!$E4 = "SIM",(('CAUCULO DE IMPRESSÃO'!$B4+('CAUCULO DE IMPRESSÃO'!$C4/2))),(('CAUCULO DE IMPRESSÃO'!$B4+'CAUCULO DE IMPRESSÃO'!$C4)))</f>
        <v>0.273825</v>
      </c>
      <c r="G4" s="60" t="n">
        <f aca="false">ROUNDUP(('CAUCULO DE IMPRESSÃO'!$F4*'CAUCULO DE IMPRESSÃO'!$D4)/(1-30%),2)</f>
        <v>0</v>
      </c>
      <c r="H4" s="60" t="n">
        <f aca="false">ROUNDUP(G:G/(1-10%),2)</f>
        <v>0</v>
      </c>
      <c r="I4" s="60" t="e">
        <f aca="false">H:H/IMPRESSÕES</f>
        <v>#DIV/0!</v>
      </c>
      <c r="J4" s="69" t="n">
        <f aca="false">G:G-CUSTO</f>
        <v>-0.273825</v>
      </c>
      <c r="L4" s="64" t="n">
        <f aca="false">'CAUCULO DE IMPRESSÃO'!$H4</f>
        <v>0</v>
      </c>
      <c r="M4" s="64" t="n">
        <f aca="false">L4-T4</f>
        <v>0</v>
      </c>
      <c r="N4" s="70" t="s">
        <v>77</v>
      </c>
      <c r="O4" s="70" t="n">
        <f aca="false">Papéis!$K$58</f>
        <v>0.030625</v>
      </c>
      <c r="Q4" s="69" t="n">
        <f aca="false">O4*'CAUCULO DE IMPRESSÃO'!$D4</f>
        <v>0</v>
      </c>
      <c r="R4" s="60" t="n">
        <f aca="false">'HP 7110 BULK'!O14*'CAUCULO DE IMPRESSÃO'!$D4</f>
        <v>0</v>
      </c>
      <c r="S4" s="69" t="n">
        <f aca="false">'CAUCULO DE IMPRESSÃO'!$G4-'CAUCULO DE IMPRESSÃO'!$H4</f>
        <v>0</v>
      </c>
      <c r="T4" s="69" t="n">
        <f aca="false">Q4+R4</f>
        <v>0</v>
      </c>
    </row>
    <row r="5" customFormat="false" ht="14.9" hidden="false" customHeight="false" outlineLevel="0" collapsed="false">
      <c r="A5" s="60" t="str">
        <f aca="false">'HP 7110 BULK'!N15</f>
        <v>A6</v>
      </c>
      <c r="B5" s="60" t="n">
        <f aca="false">('HP 7110 BULK'!O15)/(1-50%)</f>
        <v>0.1216</v>
      </c>
      <c r="C5" s="60" t="n">
        <f aca="false">(O5)</f>
        <v>0.0153125</v>
      </c>
      <c r="D5" s="67" t="n">
        <v>0</v>
      </c>
      <c r="E5" s="68" t="s">
        <v>69</v>
      </c>
      <c r="F5" s="60" t="n">
        <f aca="false">IF('CAUCULO DE IMPRESSÃO'!$E5 = "SIM",(('CAUCULO DE IMPRESSÃO'!$B5+('CAUCULO DE IMPRESSÃO'!$C5/2))),(('CAUCULO DE IMPRESSÃO'!$B5+'CAUCULO DE IMPRESSÃO'!$C5)))</f>
        <v>0.1369125</v>
      </c>
      <c r="G5" s="60" t="n">
        <f aca="false">ROUNDUP(('CAUCULO DE IMPRESSÃO'!$F5*'CAUCULO DE IMPRESSÃO'!$D5)/(1-30%),2)</f>
        <v>0</v>
      </c>
      <c r="H5" s="60" t="n">
        <f aca="false">ROUNDUP(G:G/(1-10%),2)</f>
        <v>0</v>
      </c>
      <c r="I5" s="60" t="e">
        <f aca="false">H:H/IMPRESSÕES</f>
        <v>#DIV/0!</v>
      </c>
      <c r="J5" s="69" t="n">
        <f aca="false">G:G-CUSTO</f>
        <v>-0.1369125</v>
      </c>
      <c r="L5" s="64" t="n">
        <f aca="false">'CAUCULO DE IMPRESSÃO'!$H5</f>
        <v>0</v>
      </c>
      <c r="M5" s="64" t="n">
        <f aca="false">L5-T5</f>
        <v>0</v>
      </c>
      <c r="N5" s="70" t="s">
        <v>80</v>
      </c>
      <c r="O5" s="71" t="n">
        <f aca="false">Papéis!$L$58</f>
        <v>0.0153125</v>
      </c>
      <c r="Q5" s="69" t="n">
        <f aca="false">O5*'CAUCULO DE IMPRESSÃO'!$D5</f>
        <v>0</v>
      </c>
      <c r="R5" s="60" t="n">
        <f aca="false">'HP 7110 BULK'!O15*'CAUCULO DE IMPRESSÃO'!$D5</f>
        <v>0</v>
      </c>
      <c r="S5" s="69" t="n">
        <f aca="false">'CAUCULO DE IMPRESSÃO'!$G5-'CAUCULO DE IMPRESSÃO'!$H5</f>
        <v>0</v>
      </c>
      <c r="T5" s="69" t="n">
        <f aca="false">Q5+R5</f>
        <v>0</v>
      </c>
    </row>
    <row r="6" customFormat="false" ht="13.8" hidden="false" customHeight="false" outlineLevel="0" collapsed="false">
      <c r="A6" s="65" t="s">
        <v>35</v>
      </c>
      <c r="B6" s="65"/>
      <c r="C6" s="65"/>
      <c r="D6" s="67" t="n">
        <f aca="false">SUBTOTAL(109,'CAUCULO DE IMPRESSÃO'!$D$2:$D$5)</f>
        <v>41</v>
      </c>
      <c r="E6" s="68"/>
      <c r="F6" s="72" t="n">
        <f aca="false">SUBTOTAL(109,'CAUCULO DE IMPRESSÃO'!$F$2:$F$5)</f>
        <v>2.1149375</v>
      </c>
      <c r="G6" s="72" t="n">
        <f aca="false">SUBTOTAL(109,'CAUCULO DE IMPRESSÃO'!$G$2:$G$5)</f>
        <v>33.29</v>
      </c>
      <c r="H6" s="72" t="n">
        <f aca="false">SUBTOTAL(109,'CAUCULO DE IMPRESSÃO'!$H$2:$H$5)</f>
        <v>36.99</v>
      </c>
      <c r="I6" s="72" t="e">
        <f aca="false">SUBTOTAL(109,'CAUCULO DE IMPRESSÃO'!$I$2:$I$5)</f>
        <v>#DIV/0!</v>
      </c>
      <c r="J6" s="69" t="n">
        <f aca="false">SUBTOTAL(109,'CAUCULO DE IMPRESSÃO'!$J$2:$J$5)</f>
        <v>31.1750625</v>
      </c>
      <c r="Q6" s="69" t="n">
        <f aca="false">SUM(Q2:Q5)</f>
        <v>2.51125</v>
      </c>
      <c r="R6" s="69" t="n">
        <f aca="false">SUM(R2:R5)</f>
        <v>9.9712</v>
      </c>
      <c r="S6" s="69" t="n">
        <f aca="false">SUM(S2:S5)</f>
        <v>-3.7</v>
      </c>
      <c r="T6" s="69" t="n">
        <f aca="false">SUM(T2:T5)</f>
        <v>12.48245</v>
      </c>
    </row>
    <row r="10" customFormat="false" ht="17.35" hidden="false" customHeight="false" outlineLevel="0" collapsed="false">
      <c r="A10" s="73" t="s">
        <v>125</v>
      </c>
      <c r="B10" s="73"/>
      <c r="C10" s="73"/>
      <c r="D10" s="73"/>
      <c r="E10" s="73"/>
      <c r="F10" s="73"/>
      <c r="G10" s="73"/>
      <c r="H10" s="73"/>
      <c r="I10" s="73"/>
      <c r="J10" s="73"/>
    </row>
    <row r="11" customFormat="false" ht="13.8" hidden="false" customHeight="false" outlineLevel="0" collapsed="false">
      <c r="A11" s="60" t="s">
        <v>126</v>
      </c>
      <c r="B11" s="60" t="s">
        <v>112</v>
      </c>
      <c r="C11" s="60" t="s">
        <v>113</v>
      </c>
      <c r="D11" s="65" t="s">
        <v>114</v>
      </c>
      <c r="E11" s="66" t="s">
        <v>115</v>
      </c>
      <c r="F11" s="60" t="s">
        <v>116</v>
      </c>
      <c r="G11" s="60" t="s">
        <v>117</v>
      </c>
      <c r="H11" s="60" t="s">
        <v>118</v>
      </c>
      <c r="I11" s="60" t="s">
        <v>119</v>
      </c>
      <c r="J11" s="60" t="s">
        <v>109</v>
      </c>
      <c r="L11" s="64" t="s">
        <v>120</v>
      </c>
      <c r="M11" s="64" t="s">
        <v>109</v>
      </c>
    </row>
    <row r="12" customFormat="false" ht="14.9" hidden="false" customHeight="false" outlineLevel="0" collapsed="false">
      <c r="A12" s="59" t="n">
        <v>0</v>
      </c>
      <c r="B12" s="60" t="n">
        <f aca="false">'HP 7110 BULK'!O12</f>
        <v>0.4864</v>
      </c>
      <c r="C12" s="60" t="n">
        <f aca="false">Etiquetas!$K$4</f>
        <v>1.89833333333333</v>
      </c>
      <c r="D12" s="67" t="n">
        <f aca="false">ROUNDUP(
'CAUCULO DE IMPRESSÃO'!$A12/Etiquetas!$I$4,0.1)</f>
        <v>0</v>
      </c>
      <c r="E12" s="68" t="s">
        <v>69</v>
      </c>
      <c r="F12" s="60" t="n">
        <f aca="false">('CAUCULO DE IMPRESSÃO'!$B12+'CAUCULO DE IMPRESSÃO'!$C12)*'CAUCULO DE IMPRESSÃO'!$D12</f>
        <v>0</v>
      </c>
      <c r="G12" s="60" t="n">
        <f aca="false">'CAUCULO DE IMPRESSÃO'!$F12/(1-50%)</f>
        <v>0</v>
      </c>
      <c r="H12" s="60" t="n">
        <f aca="false">ROUNDUP(G:G/(1-10%),1)</f>
        <v>0</v>
      </c>
      <c r="I12" s="60" t="e">
        <f aca="false">H:H/'CAUCULO DE IMPRESSÃO'!$A12</f>
        <v>#DIV/0!</v>
      </c>
      <c r="J12" s="69" t="n">
        <f aca="false">G:G-CUSTO</f>
        <v>0</v>
      </c>
      <c r="L12" s="64" t="n">
        <f aca="false">'CAUCULO DE IMPRESSÃO'!$H12</f>
        <v>0</v>
      </c>
      <c r="M12" s="64" t="n">
        <f aca="false">L12-('CAUCULO DE IMPRESSÃO'!$F12*'CAUCULO DE IMPRESSÃO'!$D12)</f>
        <v>0</v>
      </c>
    </row>
    <row r="13" customFormat="false" ht="14.9" hidden="false" customHeight="false" outlineLevel="0" collapsed="false">
      <c r="A13" s="59" t="n">
        <v>0</v>
      </c>
      <c r="B13" s="60" t="n">
        <f aca="false">'HP 7110 BULK'!O13</f>
        <v>0.2432</v>
      </c>
      <c r="C13" s="60" t="n">
        <f aca="false">Etiquetas!$K$4</f>
        <v>1.89833333333333</v>
      </c>
      <c r="D13" s="67" t="n">
        <f aca="false">ROUNDUP(
'CAUCULO DE IMPRESSÃO'!$A13/Etiquetas!$I$4,0.1)</f>
        <v>0</v>
      </c>
      <c r="E13" s="68" t="s">
        <v>69</v>
      </c>
      <c r="F13" s="60" t="n">
        <f aca="false">('CAUCULO DE IMPRESSÃO'!$B13+'CAUCULO DE IMPRESSÃO'!$C13)*'CAUCULO DE IMPRESSÃO'!$D13</f>
        <v>0</v>
      </c>
      <c r="G13" s="60" t="n">
        <f aca="false">'CAUCULO DE IMPRESSÃO'!$F13/(1-50%)</f>
        <v>0</v>
      </c>
      <c r="H13" s="60" t="n">
        <f aca="false">ROUNDUP(G:G/(1-10%),1)</f>
        <v>0</v>
      </c>
      <c r="I13" s="60" t="e">
        <f aca="false">H:H/'CAUCULO DE IMPRESSÃO'!$A13</f>
        <v>#DIV/0!</v>
      </c>
      <c r="J13" s="69" t="n">
        <f aca="false">G:G-CUSTO</f>
        <v>0</v>
      </c>
      <c r="L13" s="64" t="n">
        <f aca="false">'CAUCULO DE IMPRESSÃO'!$H13</f>
        <v>0</v>
      </c>
      <c r="M13" s="64" t="n">
        <f aca="false">L13-('CAUCULO DE IMPRESSÃO'!$F13*'CAUCULO DE IMPRESSÃO'!$D13)</f>
        <v>0</v>
      </c>
    </row>
    <row r="14" customFormat="false" ht="14.9" hidden="false" customHeight="false" outlineLevel="0" collapsed="false">
      <c r="A14" s="59" t="n">
        <v>2700</v>
      </c>
      <c r="B14" s="60" t="n">
        <f aca="false">'HP 7110 BULK'!O14</f>
        <v>0.1216</v>
      </c>
      <c r="C14" s="60" t="n">
        <f aca="false">Etiquetas!$K$4</f>
        <v>1.89833333333333</v>
      </c>
      <c r="D14" s="67" t="n">
        <f aca="false">ROUNDUP(
'CAUCULO DE IMPRESSÃO'!$A14/Etiquetas!$I$4,0.1)</f>
        <v>30</v>
      </c>
      <c r="E14" s="68" t="s">
        <v>69</v>
      </c>
      <c r="F14" s="60" t="n">
        <f aca="false">('CAUCULO DE IMPRESSÃO'!$B14+'CAUCULO DE IMPRESSÃO'!$C14)*'CAUCULO DE IMPRESSÃO'!$D14</f>
        <v>60.5979999999999</v>
      </c>
      <c r="G14" s="60" t="n">
        <f aca="false">'CAUCULO DE IMPRESSÃO'!$F14/(1-50%)</f>
        <v>121.196</v>
      </c>
      <c r="H14" s="60" t="n">
        <f aca="false">ROUNDUP(G:G/(1-10%),1)</f>
        <v>134.7</v>
      </c>
      <c r="I14" s="60" t="n">
        <f aca="false">H:H/'CAUCULO DE IMPRESSÃO'!$A14</f>
        <v>0.0498888888888889</v>
      </c>
      <c r="J14" s="69" t="n">
        <f aca="false">G:G-CUSTO</f>
        <v>60.5979999999999</v>
      </c>
      <c r="L14" s="64" t="n">
        <f aca="false">'CAUCULO DE IMPRESSÃO'!$H14</f>
        <v>134.7</v>
      </c>
      <c r="M14" s="64" t="n">
        <f aca="false">L14-('CAUCULO DE IMPRESSÃO'!$F14)</f>
        <v>74.1020000000001</v>
      </c>
    </row>
    <row r="15" customFormat="false" ht="14.9" hidden="false" customHeight="false" outlineLevel="0" collapsed="false">
      <c r="A15" s="59" t="n">
        <v>0</v>
      </c>
      <c r="B15" s="60" t="n">
        <f aca="false">'HP 7110 BULK'!O15</f>
        <v>0.0608</v>
      </c>
      <c r="C15" s="60" t="n">
        <f aca="false">Etiquetas!$K$4</f>
        <v>1.89833333333333</v>
      </c>
      <c r="D15" s="67" t="n">
        <f aca="false">ROUNDUP(
'CAUCULO DE IMPRESSÃO'!$A15/Etiquetas!$I$4,0.1)</f>
        <v>0</v>
      </c>
      <c r="E15" s="68" t="s">
        <v>69</v>
      </c>
      <c r="F15" s="60" t="n">
        <f aca="false">('CAUCULO DE IMPRESSÃO'!$B15+'CAUCULO DE IMPRESSÃO'!$C15)*'CAUCULO DE IMPRESSÃO'!$D15</f>
        <v>0</v>
      </c>
      <c r="G15" s="60" t="n">
        <f aca="false">'CAUCULO DE IMPRESSÃO'!$F15/(1-50%)</f>
        <v>0</v>
      </c>
      <c r="H15" s="60" t="n">
        <f aca="false">ROUNDUP(G:G/(1-10%),1)</f>
        <v>0</v>
      </c>
      <c r="I15" s="60" t="e">
        <f aca="false">H:H/'CAUCULO DE IMPRESSÃO'!$A15</f>
        <v>#DIV/0!</v>
      </c>
      <c r="J15" s="69" t="n">
        <f aca="false">G:G-CUSTO</f>
        <v>0</v>
      </c>
      <c r="L15" s="64" t="n">
        <f aca="false">'CAUCULO DE IMPRESSÃO'!$H15</f>
        <v>0</v>
      </c>
      <c r="M15" s="64" t="n">
        <f aca="false">L15-('CAUCULO DE IMPRESSÃO'!$F15*'CAUCULO DE IMPRESSÃO'!$D15)</f>
        <v>0</v>
      </c>
    </row>
    <row r="16" customFormat="false" ht="13.8" hidden="false" customHeight="false" outlineLevel="0" collapsed="false">
      <c r="A16" s="65" t="s">
        <v>35</v>
      </c>
      <c r="B16" s="65"/>
      <c r="C16" s="65"/>
      <c r="D16" s="67" t="n">
        <f aca="false">SUBTOTAL(109,'CAUCULO DE IMPRESSÃO'!$D$12:$D$15)</f>
        <v>30</v>
      </c>
      <c r="E16" s="68"/>
      <c r="F16" s="72" t="n">
        <f aca="false">SUBTOTAL(109,'CAUCULO DE IMPRESSÃO'!$F$12:$F$15)</f>
        <v>60.5979999999999</v>
      </c>
      <c r="G16" s="72" t="n">
        <f aca="false">SUBTOTAL(109,'CAUCULO DE IMPRESSÃO'!$G$12:$G$15)</f>
        <v>121.196</v>
      </c>
      <c r="H16" s="72" t="n">
        <f aca="false">SUBTOTAL(109,'CAUCULO DE IMPRESSÃO'!$H$12:$H$15)</f>
        <v>134.7</v>
      </c>
      <c r="I16" s="72" t="e">
        <f aca="false">SUBTOTAL(109,'CAUCULO DE IMPRESSÃO'!$I$12:$I$15)</f>
        <v>#DIV/0!</v>
      </c>
      <c r="J16" s="69" t="n">
        <f aca="false">SUBTOTAL(109,'CAUCULO DE IMPRESSÃO'!$J$12:$J$15)</f>
        <v>60.5979999999999</v>
      </c>
    </row>
    <row r="19" customFormat="false" ht="13.8" hidden="false" customHeight="false" outlineLevel="0" collapsed="false">
      <c r="M19" s="64" t="n">
        <v>35.69</v>
      </c>
    </row>
  </sheetData>
  <mergeCells count="1">
    <mergeCell ref="A10:J10"/>
  </mergeCells>
  <conditionalFormatting sqref="M2:M5">
    <cfRule type="cellIs" priority="2" operator="greaterThan" aboveAverage="0" equalAverage="0" bottom="0" percent="0" rank="0" text="" dxfId="2">
      <formula>$J$3</formula>
    </cfRule>
    <cfRule type="cellIs" priority="3" operator="lessThan" aboveAverage="0" equalAverage="0" bottom="0" percent="0" rank="0" text="" dxfId="3">
      <formula>$J$3</formula>
    </cfRule>
  </conditionalFormatting>
  <conditionalFormatting sqref="M12">
    <cfRule type="cellIs" priority="4" operator="greaterThan" aboveAverage="0" equalAverage="0" bottom="0" percent="0" rank="0" text="" dxfId="4">
      <formula>$F$3</formula>
    </cfRule>
    <cfRule type="cellIs" priority="5" operator="lessThan" aboveAverage="0" equalAverage="0" bottom="0" percent="0" rank="0" text="" dxfId="5">
      <formula>$J$3</formula>
    </cfRule>
  </conditionalFormatting>
  <conditionalFormatting sqref="M13:M15">
    <cfRule type="cellIs" priority="6" operator="greaterThan" aboveAverage="0" equalAverage="0" bottom="0" percent="0" rank="0" text="" dxfId="6">
      <formula>$F$3</formula>
    </cfRule>
    <cfRule type="cellIs" priority="7" operator="lessThan" aboveAverage="0" equalAverage="0" bottom="0" percent="0" rank="0" text="" dxfId="7">
      <formula>$J$3</formula>
    </cfRule>
  </conditionalFormatting>
  <conditionalFormatting sqref="M14">
    <cfRule type="cellIs" priority="8" operator="greaterThan" aboveAverage="0" equalAverage="0" bottom="0" percent="0" rank="0" text="" dxfId="8">
      <formula>$J$14</formula>
    </cfRule>
    <cfRule type="cellIs" priority="9" operator="lessThan" aboveAverage="0" equalAverage="0" bottom="0" percent="0" rank="0" text="" dxfId="9">
      <formula>$J$14</formula>
    </cfRule>
  </conditionalFormatting>
  <dataValidations count="1">
    <dataValidation allowBlank="true" errorStyle="stop" operator="equal" showDropDown="false" showErrorMessage="true" showInputMessage="true" sqref="E2:E5 E12:E15" type="list">
      <formula1>DADOS!$J$2:$J$3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8"/>
    <col collapsed="false" customWidth="true" hidden="false" outlineLevel="0" max="3" min="3" style="0" width="6.14"/>
    <col collapsed="false" customWidth="true" hidden="false" outlineLevel="0" max="4" min="4" style="0" width="10.57"/>
    <col collapsed="false" customWidth="true" hidden="false" outlineLevel="0" max="5" min="5" style="60" width="13.28"/>
    <col collapsed="false" customWidth="true" hidden="false" outlineLevel="0" max="6" min="6" style="60" width="9.7"/>
    <col collapsed="false" customWidth="true" hidden="false" outlineLevel="0" max="7" min="7" style="0" width="10.14"/>
    <col collapsed="false" customWidth="true" hidden="false" outlineLevel="0" max="9" min="8" style="0" width="16.28"/>
    <col collapsed="false" customWidth="true" hidden="false" outlineLevel="0" max="13" min="10" style="60" width="12.28"/>
    <col collapsed="false" customWidth="true" hidden="false" outlineLevel="0" max="15" min="15" style="0" width="13.28"/>
  </cols>
  <sheetData>
    <row r="1" customFormat="false" ht="14.9" hidden="false" customHeight="false" outlineLevel="0" collapsed="false">
      <c r="A1" s="74" t="s">
        <v>127</v>
      </c>
      <c r="B1" s="75" t="s">
        <v>128</v>
      </c>
      <c r="C1" s="76" t="s">
        <v>129</v>
      </c>
      <c r="D1" s="77" t="s">
        <v>130</v>
      </c>
      <c r="E1" s="78" t="s">
        <v>131</v>
      </c>
      <c r="F1" s="78" t="s">
        <v>132</v>
      </c>
      <c r="G1" s="77" t="s">
        <v>133</v>
      </c>
      <c r="H1" s="77" t="s">
        <v>134</v>
      </c>
      <c r="I1" s="77" t="s">
        <v>135</v>
      </c>
      <c r="J1" s="79" t="s">
        <v>136</v>
      </c>
      <c r="K1" s="78" t="s">
        <v>137</v>
      </c>
      <c r="L1" s="78" t="s">
        <v>138</v>
      </c>
      <c r="M1" s="78" t="s">
        <v>139</v>
      </c>
      <c r="N1" s="74" t="s">
        <v>140</v>
      </c>
      <c r="O1" s="74" t="s">
        <v>141</v>
      </c>
    </row>
    <row r="2" customFormat="false" ht="13.8" hidden="false" customHeight="false" outlineLevel="0" collapsed="false">
      <c r="A2" s="0" t="s">
        <v>142</v>
      </c>
      <c r="B2" s="0" t="n">
        <v>0.5</v>
      </c>
      <c r="D2" s="0" t="s">
        <v>74</v>
      </c>
      <c r="E2" s="60" t="n">
        <v>154.9</v>
      </c>
      <c r="G2" s="0" t="n">
        <v>100</v>
      </c>
      <c r="I2" s="69" t="n">
        <f aca="false">Laminação!$E2/Laminação!$G2</f>
        <v>1.549</v>
      </c>
      <c r="K2" s="60" t="n">
        <f aca="false">ROUNDUP(Laminação!$I2/(1-60%),1)</f>
        <v>3.9</v>
      </c>
      <c r="L2" s="60" t="n">
        <f aca="false">K2/2</f>
        <v>1.95</v>
      </c>
      <c r="M2" s="60" t="n">
        <f aca="false">L2/2</f>
        <v>0.975</v>
      </c>
      <c r="N2" s="0" t="s">
        <v>143</v>
      </c>
      <c r="O2" s="0" t="s">
        <v>144</v>
      </c>
    </row>
    <row r="3" customFormat="false" ht="13.8" hidden="false" customHeight="false" outlineLevel="0" collapsed="false">
      <c r="A3" s="0" t="s">
        <v>145</v>
      </c>
      <c r="B3" s="0" t="n">
        <v>0.5</v>
      </c>
      <c r="D3" s="0" t="s">
        <v>74</v>
      </c>
      <c r="E3" s="60" t="n">
        <v>95.99</v>
      </c>
      <c r="G3" s="0" t="n">
        <v>100</v>
      </c>
      <c r="I3" s="69" t="n">
        <f aca="false">Laminação!$E3/Laminação!$G3</f>
        <v>0.9599</v>
      </c>
      <c r="K3" s="60" t="n">
        <f aca="false">ROUNDUP(Laminação!$I3/(1-60%),1)</f>
        <v>2.4</v>
      </c>
      <c r="L3" s="60" t="n">
        <f aca="false">K3/2</f>
        <v>1.2</v>
      </c>
      <c r="M3" s="60" t="n">
        <f aca="false">L3/2</f>
        <v>0.6</v>
      </c>
      <c r="N3" s="0" t="s">
        <v>146</v>
      </c>
      <c r="O3" s="0" t="s">
        <v>147</v>
      </c>
    </row>
    <row r="4" customFormat="false" ht="13.8" hidden="false" customHeight="false" outlineLevel="0" collapsed="false">
      <c r="A4" s="0" t="s">
        <v>145</v>
      </c>
      <c r="B4" s="0" t="n">
        <v>0.7</v>
      </c>
      <c r="D4" s="0" t="s">
        <v>74</v>
      </c>
      <c r="E4" s="60" t="n">
        <v>129.99</v>
      </c>
      <c r="G4" s="0" t="n">
        <v>100</v>
      </c>
      <c r="I4" s="69" t="n">
        <f aca="false">Laminação!$E4/Laminação!$G4</f>
        <v>1.2999</v>
      </c>
      <c r="K4" s="60" t="n">
        <f aca="false">ROUNDUP(Laminação!$I4/(1-60%),1)</f>
        <v>3.3</v>
      </c>
      <c r="L4" s="60" t="n">
        <f aca="false">K4/2</f>
        <v>1.65</v>
      </c>
      <c r="M4" s="60" t="n">
        <f aca="false">L4/2</f>
        <v>0.825</v>
      </c>
      <c r="N4" s="0" t="s">
        <v>146</v>
      </c>
      <c r="O4" s="0" t="s">
        <v>147</v>
      </c>
    </row>
    <row r="5" customFormat="false" ht="13.8" hidden="false" customHeight="false" outlineLevel="0" collapsed="false">
      <c r="A5" s="0" t="s">
        <v>145</v>
      </c>
      <c r="B5" s="0" t="n">
        <v>0.1</v>
      </c>
      <c r="D5" s="0" t="s">
        <v>74</v>
      </c>
      <c r="E5" s="60" t="n">
        <v>144.99</v>
      </c>
      <c r="G5" s="0" t="n">
        <v>100</v>
      </c>
      <c r="I5" s="69" t="n">
        <f aca="false">Laminação!$E5/Laminação!$G5</f>
        <v>1.4499</v>
      </c>
      <c r="K5" s="60" t="n">
        <f aca="false">ROUNDUP(Laminação!$I5/(1-60%),1)</f>
        <v>3.7</v>
      </c>
      <c r="L5" s="60" t="n">
        <f aca="false">K5/2</f>
        <v>1.85</v>
      </c>
      <c r="M5" s="60" t="n">
        <f aca="false">L5/2</f>
        <v>0.925</v>
      </c>
      <c r="N5" s="0" t="s">
        <v>146</v>
      </c>
      <c r="O5" s="0" t="s">
        <v>147</v>
      </c>
    </row>
    <row r="6" customFormat="false" ht="13.8" hidden="false" customHeight="false" outlineLevel="0" collapsed="false">
      <c r="I6" s="69" t="e">
        <f aca="false">Laminação!$E6/Laminação!$G6</f>
        <v>#DIV/0!</v>
      </c>
      <c r="K6" s="60" t="e">
        <f aca="false">ROUNDUP(Laminação!$I6/(1-60%),1)</f>
        <v>#DIV/0!</v>
      </c>
      <c r="L6" s="60" t="e">
        <f aca="false">K6/2</f>
        <v>#DIV/0!</v>
      </c>
      <c r="M6" s="60" t="e">
        <f aca="false">L6/2</f>
        <v>#DIV/0!</v>
      </c>
    </row>
    <row r="7" customFormat="false" ht="13.8" hidden="false" customHeight="false" outlineLevel="0" collapsed="false">
      <c r="A7" s="0" t="s">
        <v>35</v>
      </c>
      <c r="E7" s="72" t="n">
        <f aca="false">SUBTOTAL(109,Laminação!$E$2:$E$6)</f>
        <v>525.87</v>
      </c>
      <c r="F7" s="65"/>
      <c r="J7" s="65"/>
      <c r="K7" s="72" t="e">
        <f aca="false">SUBTOTAL(101,Laminação!$K$2:$K$6)</f>
        <v>#DIV/0!</v>
      </c>
      <c r="L7" s="72" t="e">
        <f aca="false">SUBTOTAL(101,Laminação!$L$2:$L$6)</f>
        <v>#DIV/0!</v>
      </c>
      <c r="M7" s="72" t="e">
        <f aca="false">SUBTOTAL(101,Laminação!$M$2:$M$6)</f>
        <v>#DIV/0!</v>
      </c>
      <c r="O7" s="0" t="n">
        <f aca="false">SUBTOTAL(103,Laminação!$O$2:$O$6)</f>
        <v>4</v>
      </c>
    </row>
  </sheetData>
  <conditionalFormatting sqref="J1:K1">
    <cfRule type="cellIs" priority="2" operator="lessThan" aboveAverage="0" equalAverage="0" bottom="0" percent="0" rank="0" text="" dxfId="11">
      <formula>0.05</formula>
    </cfRule>
  </conditionalFormatting>
  <conditionalFormatting sqref="J1">
    <cfRule type="cellIs" priority="3" operator="lessThan" aboveAverage="0" equalAverage="0" bottom="0" percent="0" rank="0" text="" dxfId="12">
      <formula>0.08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"/>
  <sheetViews>
    <sheetView showFormulas="false" showGridLines="fals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J55" activeCellId="0" sqref="J55"/>
    </sheetView>
  </sheetViews>
  <sheetFormatPr defaultColWidth="9.14453125" defaultRowHeight="13.8" zeroHeight="false" outlineLevelRow="0" outlineLevelCol="0"/>
  <cols>
    <col collapsed="false" customWidth="true" hidden="false" outlineLevel="0" max="1" min="1" style="4" width="30.87"/>
    <col collapsed="false" customWidth="true" hidden="false" outlineLevel="0" max="2" min="2" style="80" width="11"/>
    <col collapsed="false" customWidth="false" hidden="false" outlineLevel="0" max="3" min="3" style="81" width="9.14"/>
    <col collapsed="false" customWidth="true" hidden="false" outlineLevel="0" max="4" min="4" style="63" width="13"/>
    <col collapsed="false" customWidth="true" hidden="false" outlineLevel="0" max="5" min="5" style="82" width="13.43"/>
    <col collapsed="false" customWidth="true" hidden="false" outlineLevel="0" max="6" min="6" style="82" width="11"/>
    <col collapsed="false" customWidth="true" hidden="false" outlineLevel="0" max="7" min="7" style="63" width="13.85"/>
    <col collapsed="false" customWidth="true" hidden="false" outlineLevel="0" max="8" min="8" style="63" width="13.57"/>
    <col collapsed="false" customWidth="true" hidden="false" outlineLevel="0" max="9" min="9" style="83" width="13.28"/>
    <col collapsed="false" customWidth="true" hidden="false" outlineLevel="0" max="10" min="10" style="84" width="12.43"/>
    <col collapsed="false" customWidth="true" hidden="false" outlineLevel="0" max="12" min="11" style="85" width="12.71"/>
    <col collapsed="false" customWidth="true" hidden="false" outlineLevel="0" max="13" min="13" style="4" width="15.57"/>
    <col collapsed="false" customWidth="true" hidden="false" outlineLevel="0" max="14" min="14" style="4" width="16.71"/>
    <col collapsed="false" customWidth="false" hidden="false" outlineLevel="0" max="1024" min="15" style="4" width="9.14"/>
  </cols>
  <sheetData>
    <row r="1" customFormat="false" ht="14.9" hidden="false" customHeight="false" outlineLevel="0" collapsed="false">
      <c r="A1" s="86" t="s">
        <v>127</v>
      </c>
      <c r="B1" s="56" t="s">
        <v>128</v>
      </c>
      <c r="C1" s="57" t="s">
        <v>129</v>
      </c>
      <c r="D1" s="66" t="s">
        <v>130</v>
      </c>
      <c r="E1" s="87" t="s">
        <v>131</v>
      </c>
      <c r="F1" s="87" t="s">
        <v>132</v>
      </c>
      <c r="G1" s="66" t="s">
        <v>133</v>
      </c>
      <c r="H1" s="66" t="s">
        <v>134</v>
      </c>
      <c r="I1" s="88" t="s">
        <v>136</v>
      </c>
      <c r="J1" s="84" t="s">
        <v>137</v>
      </c>
      <c r="K1" s="85" t="s">
        <v>138</v>
      </c>
      <c r="L1" s="85" t="s">
        <v>139</v>
      </c>
      <c r="M1" s="86" t="s">
        <v>140</v>
      </c>
      <c r="N1" s="86" t="s">
        <v>141</v>
      </c>
    </row>
    <row r="2" customFormat="false" ht="14.9" hidden="true" customHeight="false" outlineLevel="0" collapsed="false">
      <c r="A2" s="4" t="s">
        <v>148</v>
      </c>
      <c r="B2" s="80" t="n">
        <v>150</v>
      </c>
      <c r="C2" s="81" t="s">
        <v>61</v>
      </c>
      <c r="D2" s="63" t="s">
        <v>149</v>
      </c>
      <c r="E2" s="82" t="n">
        <v>7.2</v>
      </c>
      <c r="G2" s="63" t="n">
        <v>10</v>
      </c>
      <c r="H2" s="63" t="n">
        <f aca="false">Papéis!$G2/500</f>
        <v>0.02</v>
      </c>
      <c r="I2" s="88" t="n">
        <f aca="false">_xlfn.IFS(Papéis!$D2="A3",(Papéis!$E2+Papéis!$F2)/Papéis!$G2,Papéis!$D2="A2",(Papéis!$E2+Papéis!$F2)/Papéis!$G2/2,Papéis!$D2="A4",(Papéis!$E2+Papéis!$F2)/Papéis!$G2*2,Papéis!$D2="A6",(Papéis!$E2+Papéis!$F2)/Papéis!$G2*8,Papéis!$D2="F1",(Papéis!$E2+Papéis!$F2)/Papéis!$G2/4,Papéis!$D2="50x66",(Papéis!$E2+Papéis!$F2)/Papéis!$G2/2)</f>
        <v>0.36</v>
      </c>
      <c r="J2" s="89" t="n">
        <f aca="false">Papéis!$I2/2</f>
        <v>0.18</v>
      </c>
      <c r="K2" s="85" t="n">
        <f aca="false">Papéis!$J2/2</f>
        <v>0.09</v>
      </c>
      <c r="L2" s="85" t="n">
        <f aca="false">Papéis!$K2/2</f>
        <v>0.045</v>
      </c>
      <c r="M2" s="4" t="s">
        <v>143</v>
      </c>
      <c r="N2" s="4" t="s">
        <v>144</v>
      </c>
    </row>
    <row r="3" customFormat="false" ht="14.9" hidden="true" customHeight="false" outlineLevel="0" collapsed="false">
      <c r="A3" s="4" t="s">
        <v>148</v>
      </c>
      <c r="B3" s="80" t="n">
        <v>180</v>
      </c>
      <c r="C3" s="81" t="s">
        <v>61</v>
      </c>
      <c r="D3" s="63" t="s">
        <v>149</v>
      </c>
      <c r="E3" s="82" t="n">
        <v>9.9</v>
      </c>
      <c r="G3" s="63" t="n">
        <v>10</v>
      </c>
      <c r="H3" s="63" t="n">
        <f aca="false">Papéis!$G3/500</f>
        <v>0.02</v>
      </c>
      <c r="I3" s="88" t="n">
        <f aca="false">_xlfn.IFS(Papéis!$D3="A3",(Papéis!$E3+Papéis!$F3)/Papéis!$G3,Papéis!$D3="A2",(Papéis!$E3+Papéis!$F3)/Papéis!$G3/2,Papéis!$D3="A4",(Papéis!$E3+Papéis!$F3)/Papéis!$G3*2,Papéis!$D3="A6",(Papéis!$E3+Papéis!$F3)/Papéis!$G3*8,Papéis!$D3="F1",(Papéis!$E3+Papéis!$F3)/Papéis!$G3/4,Papéis!$D3="50x66",(Papéis!$E3+Papéis!$F3)/Papéis!$G3/2)</f>
        <v>0.495</v>
      </c>
      <c r="J3" s="89" t="n">
        <f aca="false">Papéis!$I3/2</f>
        <v>0.2475</v>
      </c>
      <c r="K3" s="85" t="n">
        <f aca="false">Papéis!$J3/2</f>
        <v>0.12375</v>
      </c>
      <c r="L3" s="85" t="n">
        <f aca="false">Papéis!$K3/2</f>
        <v>0.061875</v>
      </c>
      <c r="M3" s="4" t="s">
        <v>143</v>
      </c>
      <c r="N3" s="4" t="s">
        <v>144</v>
      </c>
    </row>
    <row r="4" customFormat="false" ht="14.9" hidden="true" customHeight="false" outlineLevel="0" collapsed="false">
      <c r="A4" s="55" t="s">
        <v>60</v>
      </c>
      <c r="B4" s="80" t="n">
        <v>180</v>
      </c>
      <c r="C4" s="81" t="s">
        <v>61</v>
      </c>
      <c r="D4" s="90" t="s">
        <v>68</v>
      </c>
      <c r="E4" s="91" t="n">
        <v>20</v>
      </c>
      <c r="F4" s="91"/>
      <c r="G4" s="92" t="n">
        <v>20</v>
      </c>
      <c r="H4" s="92" t="n">
        <f aca="false">Papéis!$G4/500</f>
        <v>0.04</v>
      </c>
      <c r="I4" s="88" t="n">
        <f aca="false">_xlfn.IFS(Papéis!$D4="A3",(Papéis!$E4+Papéis!$F4)/Papéis!$G4,Papéis!$D4="A2",(Papéis!$E4+Papéis!$F4)/Papéis!$G4/2,Papéis!$D4="A4",(Papéis!$E4+Papéis!$F4)/Papéis!$G4*2,Papéis!$D4="A6",(Papéis!$E4+Papéis!$F4)/Papéis!$G4*8,Papéis!$D4="F1",(Papéis!$E4+Papéis!$F4)/Papéis!$G4/4,Papéis!$D4="50x66",(Papéis!$E4+Papéis!$F4)/Papéis!$G4/2)</f>
        <v>1</v>
      </c>
      <c r="J4" s="89" t="n">
        <f aca="false">Papéis!$I4/2</f>
        <v>0.5</v>
      </c>
      <c r="K4" s="85" t="n">
        <f aca="false">Papéis!$J4/2</f>
        <v>0.25</v>
      </c>
      <c r="L4" s="85" t="n">
        <f aca="false">Papéis!$K4/2</f>
        <v>0.125</v>
      </c>
      <c r="M4" s="55"/>
      <c r="N4" s="55" t="s">
        <v>150</v>
      </c>
    </row>
    <row r="5" customFormat="false" ht="14.9" hidden="true" customHeight="false" outlineLevel="0" collapsed="false">
      <c r="A5" s="55" t="s">
        <v>60</v>
      </c>
      <c r="B5" s="80" t="n">
        <v>115</v>
      </c>
      <c r="C5" s="81" t="s">
        <v>61</v>
      </c>
      <c r="D5" s="90" t="s">
        <v>74</v>
      </c>
      <c r="E5" s="91" t="n">
        <v>6.49</v>
      </c>
      <c r="F5" s="91"/>
      <c r="G5" s="92" t="n">
        <v>20</v>
      </c>
      <c r="H5" s="92" t="n">
        <f aca="false">Papéis!$G5/500</f>
        <v>0.04</v>
      </c>
      <c r="I5" s="88" t="n">
        <f aca="false">_xlfn.IFS(Papéis!$D5="A3",(Papéis!$E5+Papéis!$F5)/Papéis!$G5,Papéis!$D5="A2",(Papéis!$E5+Papéis!$F5)/Papéis!$G5/2,Papéis!$D5="A4",(Papéis!$E5+Papéis!$F5)/Papéis!$G5*2,Papéis!$D5="A6",(Papéis!$E5+Papéis!$F5)/Papéis!$G5*8,Papéis!$D5="F1",(Papéis!$E5+Papéis!$F5)/Papéis!$G5/4,Papéis!$D5="50x66",(Papéis!$E5+Papéis!$F5)/Papéis!$G5/2)</f>
        <v>0.649</v>
      </c>
      <c r="J5" s="89" t="n">
        <f aca="false">Papéis!$I5/2</f>
        <v>0.3245</v>
      </c>
      <c r="K5" s="85" t="n">
        <f aca="false">Papéis!$J5/2</f>
        <v>0.16225</v>
      </c>
      <c r="L5" s="85" t="n">
        <f aca="false">Papéis!$K5/2</f>
        <v>0.081125</v>
      </c>
      <c r="M5" s="55"/>
      <c r="N5" s="55" t="s">
        <v>150</v>
      </c>
    </row>
    <row r="6" customFormat="false" ht="14.9" hidden="true" customHeight="false" outlineLevel="0" collapsed="false">
      <c r="A6" s="55" t="s">
        <v>60</v>
      </c>
      <c r="B6" s="80" t="n">
        <v>115</v>
      </c>
      <c r="C6" s="81" t="s">
        <v>61</v>
      </c>
      <c r="D6" s="90" t="s">
        <v>74</v>
      </c>
      <c r="E6" s="91" t="n">
        <v>15.5</v>
      </c>
      <c r="F6" s="91"/>
      <c r="G6" s="92" t="n">
        <v>50</v>
      </c>
      <c r="H6" s="92" t="n">
        <f aca="false">Papéis!$G6/500</f>
        <v>0.1</v>
      </c>
      <c r="I6" s="88" t="n">
        <f aca="false">_xlfn.IFS(Papéis!$D6="A3",(Papéis!$E6+Papéis!$F6)/Papéis!$G6,Papéis!$D6="A2",(Papéis!$E6+Papéis!$F6)/Papéis!$G6/2,Papéis!$D6="A4",(Papéis!$E6+Papéis!$F6)/Papéis!$G6*2,Papéis!$D6="A6",(Papéis!$E6+Papéis!$F6)/Papéis!$G6*8,Papéis!$D6="F1",(Papéis!$E6+Papéis!$F6)/Papéis!$G6/4,Papéis!$D6="50x66",(Papéis!$E6+Papéis!$F6)/Papéis!$G6/2)</f>
        <v>0.62</v>
      </c>
      <c r="J6" s="89" t="n">
        <f aca="false">Papéis!$I6/2</f>
        <v>0.31</v>
      </c>
      <c r="K6" s="85" t="n">
        <f aca="false">Papéis!$J6/2</f>
        <v>0.155</v>
      </c>
      <c r="L6" s="85" t="n">
        <f aca="false">Papéis!$K6/2</f>
        <v>0.0775</v>
      </c>
      <c r="M6" s="55" t="s">
        <v>151</v>
      </c>
      <c r="N6" s="55" t="s">
        <v>150</v>
      </c>
    </row>
    <row r="7" customFormat="false" ht="14.9" hidden="true" customHeight="false" outlineLevel="0" collapsed="false">
      <c r="A7" s="55" t="s">
        <v>66</v>
      </c>
      <c r="B7" s="80" t="n">
        <v>130</v>
      </c>
      <c r="C7" s="81" t="s">
        <v>61</v>
      </c>
      <c r="D7" s="90" t="s">
        <v>68</v>
      </c>
      <c r="E7" s="91" t="n">
        <v>25</v>
      </c>
      <c r="F7" s="91"/>
      <c r="G7" s="92" t="n">
        <v>20</v>
      </c>
      <c r="H7" s="92" t="n">
        <f aca="false">Papéis!$G7/500</f>
        <v>0.04</v>
      </c>
      <c r="I7" s="88" t="n">
        <f aca="false">_xlfn.IFS(Papéis!$D7="A3",(Papéis!$E7+Papéis!$F7)/Papéis!$G7,Papéis!$D7="A2",(Papéis!$E7+Papéis!$F7)/Papéis!$G7/2,Papéis!$D7="A4",(Papéis!$E7+Papéis!$F7)/Papéis!$G7*2,Papéis!$D7="A6",(Papéis!$E7+Papéis!$F7)/Papéis!$G7*8,Papéis!$D7="F1",(Papéis!$E7+Papéis!$F7)/Papéis!$G7/4,Papéis!$D7="50x66",(Papéis!$E7+Papéis!$F7)/Papéis!$G7/2)</f>
        <v>1.25</v>
      </c>
      <c r="J7" s="89" t="n">
        <f aca="false">Papéis!$I7/2</f>
        <v>0.625</v>
      </c>
      <c r="K7" s="85" t="n">
        <f aca="false">Papéis!$J7/2</f>
        <v>0.3125</v>
      </c>
      <c r="L7" s="85" t="n">
        <f aca="false">Papéis!$K7/2</f>
        <v>0.15625</v>
      </c>
      <c r="M7" s="55"/>
      <c r="N7" s="55" t="s">
        <v>150</v>
      </c>
    </row>
    <row r="8" customFormat="false" ht="14.9" hidden="true" customHeight="false" outlineLevel="0" collapsed="false">
      <c r="A8" s="55" t="s">
        <v>66</v>
      </c>
      <c r="B8" s="80" t="n">
        <v>130</v>
      </c>
      <c r="C8" s="81" t="s">
        <v>61</v>
      </c>
      <c r="D8" s="90" t="s">
        <v>74</v>
      </c>
      <c r="E8" s="91" t="n">
        <v>46.9</v>
      </c>
      <c r="F8" s="91"/>
      <c r="G8" s="92" t="n">
        <v>50</v>
      </c>
      <c r="H8" s="92" t="n">
        <f aca="false">Papéis!$G8/500</f>
        <v>0.1</v>
      </c>
      <c r="I8" s="88" t="n">
        <f aca="false">_xlfn.IFS(Papéis!$D8="A3",(Papéis!$E8+Papéis!$F8)/Papéis!$G8,Papéis!$D8="A2",(Papéis!$E8+Papéis!$F8)/Papéis!$G8/2,Papéis!$D8="A4",(Papéis!$E8+Papéis!$F8)/Papéis!$G8*2,Papéis!$D8="A6",(Papéis!$E8+Papéis!$F8)/Papéis!$G8*8,Papéis!$D8="F1",(Papéis!$E8+Papéis!$F8)/Papéis!$G8/4,Papéis!$D8="50x66",(Papéis!$E8+Papéis!$F8)/Papéis!$G8/2)</f>
        <v>1.876</v>
      </c>
      <c r="J8" s="89" t="n">
        <f aca="false">Papéis!$I8/2</f>
        <v>0.938</v>
      </c>
      <c r="K8" s="85" t="n">
        <f aca="false">Papéis!$J8/2</f>
        <v>0.469</v>
      </c>
      <c r="L8" s="85" t="n">
        <f aca="false">Papéis!$K8/2</f>
        <v>0.2345</v>
      </c>
      <c r="M8" s="55"/>
      <c r="N8" s="55" t="s">
        <v>150</v>
      </c>
    </row>
    <row r="9" customFormat="false" ht="14.9" hidden="true" customHeight="false" outlineLevel="0" collapsed="false">
      <c r="A9" s="55" t="s">
        <v>66</v>
      </c>
      <c r="B9" s="80" t="n">
        <v>115</v>
      </c>
      <c r="C9" s="81" t="s">
        <v>61</v>
      </c>
      <c r="D9" s="90" t="s">
        <v>74</v>
      </c>
      <c r="E9" s="91" t="n">
        <v>25</v>
      </c>
      <c r="F9" s="91"/>
      <c r="G9" s="92" t="n">
        <v>20</v>
      </c>
      <c r="H9" s="92" t="n">
        <f aca="false">Papéis!$G9/500</f>
        <v>0.04</v>
      </c>
      <c r="I9" s="88" t="n">
        <f aca="false">_xlfn.IFS(Papéis!$D9="A3",(Papéis!$E9+Papéis!$F9)/Papéis!$G9,Papéis!$D9="A2",(Papéis!$E9+Papéis!$F9)/Papéis!$G9/2,Papéis!$D9="A4",(Papéis!$E9+Papéis!$F9)/Papéis!$G9*2,Papéis!$D9="A6",(Papéis!$E9+Papéis!$F9)/Papéis!$G9*8,Papéis!$D9="F1",(Papéis!$E9+Papéis!$F9)/Papéis!$G9/4,Papéis!$D9="50x66",(Papéis!$E9+Papéis!$F9)/Papéis!$G9/2)</f>
        <v>2.5</v>
      </c>
      <c r="J9" s="89" t="n">
        <f aca="false">Papéis!$I9/2</f>
        <v>1.25</v>
      </c>
      <c r="K9" s="85" t="n">
        <f aca="false">Papéis!$J9/2</f>
        <v>0.625</v>
      </c>
      <c r="L9" s="85" t="n">
        <f aca="false">Papéis!$K9/2</f>
        <v>0.3125</v>
      </c>
      <c r="M9" s="55" t="s">
        <v>151</v>
      </c>
      <c r="N9" s="55" t="s">
        <v>150</v>
      </c>
    </row>
    <row r="10" customFormat="false" ht="14.9" hidden="true" customHeight="false" outlineLevel="0" collapsed="false">
      <c r="A10" s="55" t="s">
        <v>66</v>
      </c>
      <c r="B10" s="80" t="n">
        <v>130</v>
      </c>
      <c r="C10" s="81" t="s">
        <v>61</v>
      </c>
      <c r="D10" s="90" t="s">
        <v>74</v>
      </c>
      <c r="E10" s="91" t="n">
        <v>21.9</v>
      </c>
      <c r="F10" s="91"/>
      <c r="G10" s="92" t="n">
        <v>20</v>
      </c>
      <c r="H10" s="92" t="n">
        <f aca="false">Papéis!$G10/500</f>
        <v>0.04</v>
      </c>
      <c r="I10" s="88" t="n">
        <f aca="false">_xlfn.IFS(Papéis!$D10="A3",(Papéis!$E10+Papéis!$F10)/Papéis!$G10,Papéis!$D10="A2",(Papéis!$E10+Papéis!$F10)/Papéis!$G10/2,Papéis!$D10="A4",(Papéis!$E10+Papéis!$F10)/Papéis!$G10*2,Papéis!$D10="A6",(Papéis!$E10+Papéis!$F10)/Papéis!$G10*8,Papéis!$D10="F1",(Papéis!$E10+Papéis!$F10)/Papéis!$G10/4,Papéis!$D10="50x66",(Papéis!$E10+Papéis!$F10)/Papéis!$G10/2)</f>
        <v>2.19</v>
      </c>
      <c r="J10" s="89" t="n">
        <f aca="false">Papéis!$I10/2</f>
        <v>1.095</v>
      </c>
      <c r="K10" s="85" t="n">
        <f aca="false">Papéis!$J10/2</f>
        <v>0.5475</v>
      </c>
      <c r="L10" s="85" t="n">
        <f aca="false">Papéis!$K10/2</f>
        <v>0.27375</v>
      </c>
      <c r="M10" s="55" t="s">
        <v>151</v>
      </c>
      <c r="N10" s="55" t="s">
        <v>152</v>
      </c>
    </row>
    <row r="11" customFormat="false" ht="14.9" hidden="true" customHeight="false" outlineLevel="0" collapsed="false">
      <c r="A11" s="55" t="s">
        <v>66</v>
      </c>
      <c r="B11" s="80" t="n">
        <v>130</v>
      </c>
      <c r="C11" s="81" t="s">
        <v>61</v>
      </c>
      <c r="D11" s="90" t="s">
        <v>74</v>
      </c>
      <c r="E11" s="91" t="n">
        <v>46.9</v>
      </c>
      <c r="F11" s="91"/>
      <c r="G11" s="92" t="n">
        <v>50</v>
      </c>
      <c r="H11" s="92" t="n">
        <f aca="false">Papéis!$G11/500</f>
        <v>0.1</v>
      </c>
      <c r="I11" s="88" t="n">
        <f aca="false">_xlfn.IFS(Papéis!$D11="A3",(Papéis!$E11+Papéis!$F11)/Papéis!$G11,Papéis!$D11="A2",(Papéis!$E11+Papéis!$F11)/Papéis!$G11/2,Papéis!$D11="A4",(Papéis!$E11+Papéis!$F11)/Papéis!$G11*2,Papéis!$D11="A6",(Papéis!$E11+Papéis!$F11)/Papéis!$G11*8,Papéis!$D11="F1",(Papéis!$E11+Papéis!$F11)/Papéis!$G11/4,Papéis!$D11="50x66",(Papéis!$E11+Papéis!$F11)/Papéis!$G11/2)</f>
        <v>1.876</v>
      </c>
      <c r="J11" s="89" t="n">
        <f aca="false">Papéis!$I11/2</f>
        <v>0.938</v>
      </c>
      <c r="K11" s="85" t="n">
        <f aca="false">Papéis!$J11/2</f>
        <v>0.469</v>
      </c>
      <c r="L11" s="85" t="n">
        <f aca="false">Papéis!$K11/2</f>
        <v>0.2345</v>
      </c>
      <c r="M11" s="55" t="s">
        <v>151</v>
      </c>
      <c r="N11" s="55" t="s">
        <v>152</v>
      </c>
    </row>
    <row r="12" customFormat="false" ht="14.9" hidden="true" customHeight="false" outlineLevel="0" collapsed="false">
      <c r="A12" s="55" t="s">
        <v>66</v>
      </c>
      <c r="B12" s="80" t="n">
        <v>215</v>
      </c>
      <c r="C12" s="57" t="s">
        <v>61</v>
      </c>
      <c r="D12" s="90" t="s">
        <v>74</v>
      </c>
      <c r="E12" s="91" t="n">
        <v>27.9</v>
      </c>
      <c r="F12" s="91"/>
      <c r="G12" s="92" t="n">
        <v>20</v>
      </c>
      <c r="H12" s="92" t="n">
        <f aca="false">Papéis!$G12/500</f>
        <v>0.04</v>
      </c>
      <c r="I12" s="88" t="n">
        <f aca="false">_xlfn.IFS(Papéis!$D12="A3",(Papéis!$E12+Papéis!$F12)/Papéis!$G12,Papéis!$D12="A2",(Papéis!$E12+Papéis!$F12)/Papéis!$G12/2,Papéis!$D12="A4",(Papéis!$E12+Papéis!$F12)/Papéis!$G12*2,Papéis!$D12="A6",(Papéis!$E12+Papéis!$F12)/Papéis!$G12*8,Papéis!$D12="F1",(Papéis!$E12+Papéis!$F12)/Papéis!$G12/4,Papéis!$D12="50x66",(Papéis!$E12+Papéis!$F12)/Papéis!$G12/2)</f>
        <v>2.79</v>
      </c>
      <c r="J12" s="89" t="n">
        <f aca="false">Papéis!$I12/2</f>
        <v>1.395</v>
      </c>
      <c r="K12" s="85" t="n">
        <f aca="false">Papéis!$J12/2</f>
        <v>0.6975</v>
      </c>
      <c r="L12" s="85" t="n">
        <f aca="false">Papéis!$K12/2</f>
        <v>0.34875</v>
      </c>
      <c r="M12" s="55" t="s">
        <v>143</v>
      </c>
      <c r="N12" s="55" t="s">
        <v>144</v>
      </c>
    </row>
    <row r="13" customFormat="false" ht="14.9" hidden="true" customHeight="false" outlineLevel="0" collapsed="false">
      <c r="A13" s="4" t="s">
        <v>153</v>
      </c>
      <c r="B13" s="80" t="n">
        <v>108</v>
      </c>
      <c r="C13" s="81" t="s">
        <v>61</v>
      </c>
      <c r="D13" s="63" t="s">
        <v>74</v>
      </c>
      <c r="E13" s="82" t="n">
        <v>13.99</v>
      </c>
      <c r="G13" s="63" t="n">
        <v>20</v>
      </c>
      <c r="H13" s="63" t="n">
        <f aca="false">Papéis!$G13/500</f>
        <v>0.04</v>
      </c>
      <c r="I13" s="88" t="n">
        <f aca="false">_xlfn.IFS(Papéis!$D13="A3",(Papéis!$E13+Papéis!$F13)/Papéis!$G13,Papéis!$D13="A2",(Papéis!$E13+Papéis!$F13)/Papéis!$G13/2,Papéis!$D13="A4",(Papéis!$E13+Papéis!$F13)/Papéis!$G13*2,Papéis!$D13="A6",(Papéis!$E13+Papéis!$F13)/Papéis!$G13*8,Papéis!$D13="F1",(Papéis!$E13+Papéis!$F13)/Papéis!$G13/4,Papéis!$D13="50x66",(Papéis!$E13+Papéis!$F13)/Papéis!$G13/2)</f>
        <v>1.399</v>
      </c>
      <c r="J13" s="89" t="n">
        <f aca="false">Papéis!$I13/2</f>
        <v>0.6995</v>
      </c>
      <c r="K13" s="85" t="n">
        <f aca="false">Papéis!$J13/2</f>
        <v>0.34975</v>
      </c>
      <c r="L13" s="85" t="n">
        <f aca="false">Papéis!$K13/2</f>
        <v>0.174875</v>
      </c>
      <c r="M13" s="4" t="s">
        <v>151</v>
      </c>
      <c r="N13" s="4" t="s">
        <v>154</v>
      </c>
    </row>
    <row r="14" customFormat="false" ht="14.9" hidden="true" customHeight="false" outlineLevel="0" collapsed="false">
      <c r="A14" s="55" t="s">
        <v>72</v>
      </c>
      <c r="B14" s="80" t="n">
        <v>194</v>
      </c>
      <c r="C14" s="81" t="s">
        <v>61</v>
      </c>
      <c r="D14" s="90" t="s">
        <v>80</v>
      </c>
      <c r="E14" s="91" t="n">
        <v>57</v>
      </c>
      <c r="F14" s="91"/>
      <c r="G14" s="92" t="n">
        <v>50</v>
      </c>
      <c r="H14" s="92" t="n">
        <f aca="false">Papéis!$G14/500</f>
        <v>0.1</v>
      </c>
      <c r="I14" s="88" t="n">
        <f aca="false">_xlfn.IFS(Papéis!$D14="A3",(Papéis!$E14+Papéis!$F14)/Papéis!$G14,Papéis!$D14="A2",(Papéis!$E14+Papéis!$F14)/Papéis!$G14/2,Papéis!$D14="A4",(Papéis!$E14+Papéis!$F14)/Papéis!$G14*2,Papéis!$D14="A6",(Papéis!$E14+Papéis!$F14)/Papéis!$G14*8,Papéis!$D14="F1",(Papéis!$E14+Papéis!$F14)/Papéis!$G14/4,Papéis!$D14="50x66",(Papéis!$E14+Papéis!$F14)/Papéis!$G14/2)</f>
        <v>9.12</v>
      </c>
      <c r="J14" s="89" t="n">
        <f aca="false">Papéis!$I14/2</f>
        <v>4.56</v>
      </c>
      <c r="K14" s="85" t="n">
        <f aca="false">Papéis!$J14/2</f>
        <v>2.28</v>
      </c>
      <c r="L14" s="85" t="n">
        <f aca="false">Papéis!$K14/2</f>
        <v>1.14</v>
      </c>
      <c r="M14" s="55" t="s">
        <v>155</v>
      </c>
      <c r="N14" s="55" t="s">
        <v>144</v>
      </c>
    </row>
    <row r="15" customFormat="false" ht="14.9" hidden="true" customHeight="false" outlineLevel="0" collapsed="false">
      <c r="A15" s="55" t="s">
        <v>72</v>
      </c>
      <c r="B15" s="80" t="n">
        <v>200</v>
      </c>
      <c r="C15" s="81" t="s">
        <v>61</v>
      </c>
      <c r="D15" s="90" t="s">
        <v>74</v>
      </c>
      <c r="E15" s="91" t="n">
        <v>69.5</v>
      </c>
      <c r="F15" s="91"/>
      <c r="G15" s="92" t="n">
        <v>20</v>
      </c>
      <c r="H15" s="92" t="n">
        <f aca="false">Papéis!$G15/500</f>
        <v>0.04</v>
      </c>
      <c r="I15" s="88" t="n">
        <f aca="false">_xlfn.IFS(Papéis!$D15="A3",(Papéis!$E15+Papéis!$F15)/Papéis!$G15,Papéis!$D15="A2",(Papéis!$E15+Papéis!$F15)/Papéis!$G15/2,Papéis!$D15="A4",(Papéis!$E15+Papéis!$F15)/Papéis!$G15*2,Papéis!$D15="A6",(Papéis!$E15+Papéis!$F15)/Papéis!$G15*8,Papéis!$D15="F1",(Papéis!$E15+Papéis!$F15)/Papéis!$G15/4,Papéis!$D15="50x66",(Papéis!$E15+Papéis!$F15)/Papéis!$G15/2)</f>
        <v>6.95</v>
      </c>
      <c r="J15" s="89" t="n">
        <f aca="false">Papéis!$I15/2</f>
        <v>3.475</v>
      </c>
      <c r="K15" s="85" t="n">
        <f aca="false">Papéis!$J15/2</f>
        <v>1.7375</v>
      </c>
      <c r="L15" s="85" t="n">
        <f aca="false">Papéis!$K15/2</f>
        <v>0.86875</v>
      </c>
      <c r="M15" s="55" t="s">
        <v>155</v>
      </c>
      <c r="N15" s="55" t="s">
        <v>144</v>
      </c>
    </row>
    <row r="16" customFormat="false" ht="14.9" hidden="true" customHeight="false" outlineLevel="0" collapsed="false">
      <c r="A16" s="55" t="s">
        <v>75</v>
      </c>
      <c r="B16" s="80" t="n">
        <v>230</v>
      </c>
      <c r="C16" s="81" t="s">
        <v>61</v>
      </c>
      <c r="D16" s="90" t="s">
        <v>74</v>
      </c>
      <c r="E16" s="91" t="n">
        <v>19.99</v>
      </c>
      <c r="F16" s="91"/>
      <c r="G16" s="92" t="n">
        <v>50</v>
      </c>
      <c r="H16" s="92" t="n">
        <f aca="false">Papéis!$G16/500</f>
        <v>0.1</v>
      </c>
      <c r="I16" s="88" t="n">
        <f aca="false">_xlfn.IFS(Papéis!$D16="A3",(Papéis!$E16+Papéis!$F16)/Papéis!$G16,Papéis!$D16="A2",(Papéis!$E16+Papéis!$F16)/Papéis!$G16/2,Papéis!$D16="A4",(Papéis!$E16+Papéis!$F16)/Papéis!$G16*2,Papéis!$D16="A6",(Papéis!$E16+Papéis!$F16)/Papéis!$G16*8,Papéis!$D16="F1",(Papéis!$E16+Papéis!$F16)/Papéis!$G16/4,Papéis!$D16="50x66",(Papéis!$E16+Papéis!$F16)/Papéis!$G16/2)</f>
        <v>0.7996</v>
      </c>
      <c r="J16" s="89" t="n">
        <f aca="false">Papéis!$I16/2</f>
        <v>0.3998</v>
      </c>
      <c r="K16" s="85" t="n">
        <f aca="false">Papéis!$J16/2</f>
        <v>0.1999</v>
      </c>
      <c r="L16" s="85" t="n">
        <f aca="false">Papéis!$K16/2</f>
        <v>0.09995</v>
      </c>
      <c r="M16" s="55"/>
      <c r="N16" s="55" t="s">
        <v>150</v>
      </c>
    </row>
    <row r="17" customFormat="false" ht="14.9" hidden="true" customHeight="false" outlineLevel="0" collapsed="false">
      <c r="A17" s="55" t="s">
        <v>75</v>
      </c>
      <c r="B17" s="80" t="n">
        <v>180</v>
      </c>
      <c r="C17" s="81" t="s">
        <v>61</v>
      </c>
      <c r="D17" s="90" t="s">
        <v>74</v>
      </c>
      <c r="E17" s="91" t="n">
        <v>17.99</v>
      </c>
      <c r="F17" s="91"/>
      <c r="G17" s="92" t="n">
        <v>50</v>
      </c>
      <c r="H17" s="92" t="n">
        <f aca="false">Papéis!$G17/500</f>
        <v>0.1</v>
      </c>
      <c r="I17" s="88" t="n">
        <f aca="false">_xlfn.IFS(Papéis!$D17="A3",(Papéis!$E17+Papéis!$F17)/Papéis!$G17,Papéis!$D17="A2",(Papéis!$E17+Papéis!$F17)/Papéis!$G17/2,Papéis!$D17="A4",(Papéis!$E17+Papéis!$F17)/Papéis!$G17*2,Papéis!$D17="A6",(Papéis!$E17+Papéis!$F17)/Papéis!$G17*8,Papéis!$D17="F1",(Papéis!$E17+Papéis!$F17)/Papéis!$G17/4,Papéis!$D17="50x66",(Papéis!$E17+Papéis!$F17)/Papéis!$G17/2)</f>
        <v>0.7196</v>
      </c>
      <c r="J17" s="89" t="n">
        <f aca="false">Papéis!$I17/2</f>
        <v>0.3598</v>
      </c>
      <c r="K17" s="85" t="n">
        <f aca="false">Papéis!$J17/2</f>
        <v>0.1799</v>
      </c>
      <c r="L17" s="85" t="n">
        <f aca="false">Papéis!$K17/2</f>
        <v>0.08995</v>
      </c>
      <c r="M17" s="55" t="s">
        <v>151</v>
      </c>
      <c r="N17" s="55" t="s">
        <v>150</v>
      </c>
    </row>
    <row r="18" customFormat="false" ht="14.9" hidden="true" customHeight="false" outlineLevel="0" collapsed="false">
      <c r="A18" s="55" t="s">
        <v>75</v>
      </c>
      <c r="B18" s="80" t="n">
        <v>265</v>
      </c>
      <c r="C18" s="81" t="s">
        <v>61</v>
      </c>
      <c r="D18" s="90" t="s">
        <v>80</v>
      </c>
      <c r="E18" s="91" t="n">
        <v>3.2</v>
      </c>
      <c r="F18" s="91"/>
      <c r="G18" s="92" t="n">
        <v>20</v>
      </c>
      <c r="H18" s="92" t="n">
        <f aca="false">Papéis!$G18/500</f>
        <v>0.04</v>
      </c>
      <c r="I18" s="88" t="n">
        <f aca="false">_xlfn.IFS(Papéis!$D18="A3",(Papéis!$E18+Papéis!$F18)/Papéis!$G18,Papéis!$D18="A2",(Papéis!$E18+Papéis!$F18)/Papéis!$G18/2,Papéis!$D18="A4",(Papéis!$E18+Papéis!$F18)/Papéis!$G18*2,Papéis!$D18="A6",(Papéis!$E18+Papéis!$F18)/Papéis!$G18*8,Papéis!$D18="F1",(Papéis!$E18+Papéis!$F18)/Papéis!$G18/4,Papéis!$D18="50x66",(Papéis!$E18+Papéis!$F18)/Papéis!$G18/2)</f>
        <v>1.28</v>
      </c>
      <c r="J18" s="89" t="n">
        <f aca="false">Papéis!$I18/2</f>
        <v>0.64</v>
      </c>
      <c r="K18" s="85" t="n">
        <f aca="false">Papéis!$J18/2</f>
        <v>0.32</v>
      </c>
      <c r="L18" s="85" t="n">
        <f aca="false">Papéis!$K18/2</f>
        <v>0.16</v>
      </c>
      <c r="M18" s="55"/>
      <c r="N18" s="55" t="s">
        <v>150</v>
      </c>
    </row>
    <row r="19" customFormat="false" ht="14.9" hidden="true" customHeight="false" outlineLevel="0" collapsed="false">
      <c r="A19" s="55" t="s">
        <v>75</v>
      </c>
      <c r="B19" s="80" t="n">
        <v>180</v>
      </c>
      <c r="C19" s="81" t="s">
        <v>61</v>
      </c>
      <c r="D19" s="90" t="s">
        <v>74</v>
      </c>
      <c r="E19" s="91" t="n">
        <v>25.9</v>
      </c>
      <c r="F19" s="91"/>
      <c r="G19" s="92" t="n">
        <v>20</v>
      </c>
      <c r="H19" s="92" t="n">
        <f aca="false">Papéis!$G19/500</f>
        <v>0.04</v>
      </c>
      <c r="I19" s="88" t="n">
        <f aca="false">_xlfn.IFS(Papéis!$D19="A3",(Papéis!$E19+Papéis!$F19)/Papéis!$G19,Papéis!$D19="A2",(Papéis!$E19+Papéis!$F19)/Papéis!$G19/2,Papéis!$D19="A4",(Papéis!$E19+Papéis!$F19)/Papéis!$G19*2,Papéis!$D19="A6",(Papéis!$E19+Papéis!$F19)/Papéis!$G19*8,Papéis!$D19="F1",(Papéis!$E19+Papéis!$F19)/Papéis!$G19/4,Papéis!$D19="50x66",(Papéis!$E19+Papéis!$F19)/Papéis!$G19/2)</f>
        <v>2.59</v>
      </c>
      <c r="J19" s="89" t="n">
        <f aca="false">Papéis!$I19/2</f>
        <v>1.295</v>
      </c>
      <c r="K19" s="85" t="n">
        <f aca="false">Papéis!$J19/2</f>
        <v>0.6475</v>
      </c>
      <c r="L19" s="85" t="n">
        <f aca="false">Papéis!$K19/2</f>
        <v>0.32375</v>
      </c>
      <c r="M19" s="55" t="s">
        <v>143</v>
      </c>
      <c r="N19" s="55" t="s">
        <v>144</v>
      </c>
    </row>
    <row r="20" customFormat="false" ht="14.9" hidden="true" customHeight="false" outlineLevel="0" collapsed="false">
      <c r="A20" s="55" t="s">
        <v>75</v>
      </c>
      <c r="B20" s="80" t="n">
        <v>180</v>
      </c>
      <c r="C20" s="81" t="s">
        <v>61</v>
      </c>
      <c r="D20" s="90" t="s">
        <v>74</v>
      </c>
      <c r="E20" s="91" t="n">
        <v>48.8</v>
      </c>
      <c r="F20" s="91"/>
      <c r="G20" s="92" t="n">
        <v>50</v>
      </c>
      <c r="H20" s="92" t="n">
        <f aca="false">Papéis!$G20/500</f>
        <v>0.1</v>
      </c>
      <c r="I20" s="88" t="n">
        <f aca="false">_xlfn.IFS(Papéis!$D20="A3",(Papéis!$E20+Papéis!$F20)/Papéis!$G20,Papéis!$D20="A2",(Papéis!$E20+Papéis!$F20)/Papéis!$G20/2,Papéis!$D20="A4",(Papéis!$E20+Papéis!$F20)/Papéis!$G20*2,Papéis!$D20="A6",(Papéis!$E20+Papéis!$F20)/Papéis!$G20*8,Papéis!$D20="F1",(Papéis!$E20+Papéis!$F20)/Papéis!$G20/4,Papéis!$D20="50x66",(Papéis!$E20+Papéis!$F20)/Papéis!$G20/2)</f>
        <v>1.952</v>
      </c>
      <c r="J20" s="89" t="n">
        <f aca="false">Papéis!$I20/2</f>
        <v>0.976</v>
      </c>
      <c r="K20" s="85" t="n">
        <f aca="false">Papéis!$J20/2</f>
        <v>0.488</v>
      </c>
      <c r="L20" s="85" t="n">
        <f aca="false">Papéis!$K20/2</f>
        <v>0.244</v>
      </c>
      <c r="M20" s="55" t="s">
        <v>143</v>
      </c>
      <c r="N20" s="55" t="s">
        <v>144</v>
      </c>
    </row>
    <row r="21" customFormat="false" ht="14.9" hidden="true" customHeight="false" outlineLevel="0" collapsed="false">
      <c r="A21" s="55" t="s">
        <v>75</v>
      </c>
      <c r="B21" s="80" t="n">
        <v>130</v>
      </c>
      <c r="C21" s="81" t="s">
        <v>61</v>
      </c>
      <c r="D21" s="90" t="s">
        <v>74</v>
      </c>
      <c r="E21" s="91" t="n">
        <v>44.9</v>
      </c>
      <c r="F21" s="91"/>
      <c r="G21" s="92" t="n">
        <v>50</v>
      </c>
      <c r="H21" s="92" t="n">
        <f aca="false">Papéis!$G21/500</f>
        <v>0.1</v>
      </c>
      <c r="I21" s="88" t="n">
        <f aca="false">_xlfn.IFS(Papéis!$D21="A3",(Papéis!$E21+Papéis!$F21)/Papéis!$G21,Papéis!$D21="A2",(Papéis!$E21+Papéis!$F21)/Papéis!$G21/2,Papéis!$D21="A4",(Papéis!$E21+Papéis!$F21)/Papéis!$G21*2,Papéis!$D21="A6",(Papéis!$E21+Papéis!$F21)/Papéis!$G21*8,Papéis!$D21="F1",(Papéis!$E21+Papéis!$F21)/Papéis!$G21/4,Papéis!$D21="50x66",(Papéis!$E21+Papéis!$F21)/Papéis!$G21/2)</f>
        <v>1.796</v>
      </c>
      <c r="J21" s="89" t="n">
        <f aca="false">Papéis!$I21/2</f>
        <v>0.898</v>
      </c>
      <c r="K21" s="85" t="n">
        <f aca="false">Papéis!$J21/2</f>
        <v>0.449</v>
      </c>
      <c r="L21" s="85" t="n">
        <f aca="false">Papéis!$K21/2</f>
        <v>0.2245</v>
      </c>
      <c r="M21" s="55" t="s">
        <v>143</v>
      </c>
      <c r="N21" s="55" t="s">
        <v>144</v>
      </c>
    </row>
    <row r="22" customFormat="false" ht="14.9" hidden="true" customHeight="false" outlineLevel="0" collapsed="false">
      <c r="A22" s="55" t="s">
        <v>75</v>
      </c>
      <c r="B22" s="80" t="n">
        <v>180</v>
      </c>
      <c r="C22" s="81" t="s">
        <v>61</v>
      </c>
      <c r="D22" s="90" t="s">
        <v>80</v>
      </c>
      <c r="E22" s="91" t="n">
        <v>48.9</v>
      </c>
      <c r="F22" s="91"/>
      <c r="G22" s="92" t="n">
        <v>100</v>
      </c>
      <c r="H22" s="92" t="n">
        <f aca="false">Papéis!$G22/500</f>
        <v>0.2</v>
      </c>
      <c r="I22" s="88" t="n">
        <f aca="false">_xlfn.IFS(Papéis!$D22="A3",(Papéis!$E22+Papéis!$F22)/Papéis!$G22,Papéis!$D22="A2",(Papéis!$E22+Papéis!$F22)/Papéis!$G22/2,Papéis!$D22="A4",(Papéis!$E22+Papéis!$F22)/Papéis!$G22*2,Papéis!$D22="A6",(Papéis!$E22+Papéis!$F22)/Papéis!$G22*8,Papéis!$D22="F1",(Papéis!$E22+Papéis!$F22)/Papéis!$G22/4,Papéis!$D22="50x66",(Papéis!$E22+Papéis!$F22)/Papéis!$G22/2)</f>
        <v>3.912</v>
      </c>
      <c r="J22" s="89" t="n">
        <f aca="false">Papéis!$I22/2</f>
        <v>1.956</v>
      </c>
      <c r="K22" s="85" t="n">
        <f aca="false">Papéis!$J22/2</f>
        <v>0.978</v>
      </c>
      <c r="L22" s="85" t="n">
        <f aca="false">Papéis!$K22/2</f>
        <v>0.489</v>
      </c>
      <c r="M22" s="55" t="s">
        <v>143</v>
      </c>
      <c r="N22" s="55" t="s">
        <v>144</v>
      </c>
    </row>
    <row r="23" customFormat="false" ht="14.9" hidden="true" customHeight="false" outlineLevel="0" collapsed="false">
      <c r="A23" s="55" t="s">
        <v>75</v>
      </c>
      <c r="B23" s="80" t="n">
        <v>130</v>
      </c>
      <c r="C23" s="81" t="s">
        <v>61</v>
      </c>
      <c r="D23" s="90" t="s">
        <v>74</v>
      </c>
      <c r="E23" s="91" t="n">
        <v>24.9</v>
      </c>
      <c r="F23" s="91"/>
      <c r="G23" s="92" t="n">
        <v>20</v>
      </c>
      <c r="H23" s="92" t="n">
        <f aca="false">Papéis!$G23/500</f>
        <v>0.04</v>
      </c>
      <c r="I23" s="88" t="n">
        <f aca="false">_xlfn.IFS(Papéis!$D23="A3",(Papéis!$E23+Papéis!$F23)/Papéis!$G23,Papéis!$D23="A2",(Papéis!$E23+Papéis!$F23)/Papéis!$G23/2,Papéis!$D23="A4",(Papéis!$E23+Papéis!$F23)/Papéis!$G23*2,Papéis!$D23="A6",(Papéis!$E23+Papéis!$F23)/Papéis!$G23*8,Papéis!$D23="F1",(Papéis!$E23+Papéis!$F23)/Papéis!$G23/4,Papéis!$D23="50x66",(Papéis!$E23+Papéis!$F23)/Papéis!$G23/2)</f>
        <v>2.49</v>
      </c>
      <c r="J23" s="89" t="n">
        <f aca="false">Papéis!$I23/2</f>
        <v>1.245</v>
      </c>
      <c r="K23" s="85" t="n">
        <f aca="false">Papéis!$J23/2</f>
        <v>0.6225</v>
      </c>
      <c r="L23" s="85" t="n">
        <f aca="false">Papéis!$K23/2</f>
        <v>0.31125</v>
      </c>
      <c r="M23" s="55" t="s">
        <v>143</v>
      </c>
      <c r="N23" s="55" t="s">
        <v>144</v>
      </c>
    </row>
    <row r="24" customFormat="false" ht="14.9" hidden="true" customHeight="false" outlineLevel="0" collapsed="false">
      <c r="A24" s="55" t="s">
        <v>75</v>
      </c>
      <c r="B24" s="80" t="n">
        <v>180</v>
      </c>
      <c r="C24" s="81" t="s">
        <v>61</v>
      </c>
      <c r="D24" s="90" t="s">
        <v>80</v>
      </c>
      <c r="E24" s="91" t="n">
        <v>26.9</v>
      </c>
      <c r="F24" s="91"/>
      <c r="G24" s="92" t="n">
        <v>50</v>
      </c>
      <c r="H24" s="92" t="n">
        <f aca="false">Papéis!$G24/500</f>
        <v>0.1</v>
      </c>
      <c r="I24" s="88" t="n">
        <f aca="false">_xlfn.IFS(Papéis!$D24="A3",(Papéis!$E24+Papéis!$F24)/Papéis!$G24,Papéis!$D24="A2",(Papéis!$E24+Papéis!$F24)/Papéis!$G24/2,Papéis!$D24="A4",(Papéis!$E24+Papéis!$F24)/Papéis!$G24*2,Papéis!$D24="A6",(Papéis!$E24+Papéis!$F24)/Papéis!$G24*8,Papéis!$D24="F1",(Papéis!$E24+Papéis!$F24)/Papéis!$G24/4,Papéis!$D24="50x66",(Papéis!$E24+Papéis!$F24)/Papéis!$G24/2)</f>
        <v>4.304</v>
      </c>
      <c r="J24" s="89" t="n">
        <f aca="false">Papéis!$I24/2</f>
        <v>2.152</v>
      </c>
      <c r="K24" s="85" t="n">
        <f aca="false">Papéis!$J24/2</f>
        <v>1.076</v>
      </c>
      <c r="L24" s="85" t="n">
        <f aca="false">Papéis!$K24/2</f>
        <v>0.538</v>
      </c>
      <c r="M24" s="55" t="s">
        <v>143</v>
      </c>
      <c r="N24" s="55" t="s">
        <v>144</v>
      </c>
    </row>
    <row r="25" customFormat="false" ht="14.9" hidden="true" customHeight="false" outlineLevel="0" collapsed="false">
      <c r="A25" s="55" t="s">
        <v>75</v>
      </c>
      <c r="B25" s="80" t="n">
        <v>220</v>
      </c>
      <c r="C25" s="81" t="s">
        <v>61</v>
      </c>
      <c r="D25" s="90" t="s">
        <v>74</v>
      </c>
      <c r="E25" s="91" t="n">
        <v>63.2</v>
      </c>
      <c r="F25" s="91"/>
      <c r="G25" s="92" t="n">
        <v>50</v>
      </c>
      <c r="H25" s="92" t="n">
        <f aca="false">Papéis!$G25/500</f>
        <v>0.1</v>
      </c>
      <c r="I25" s="88" t="n">
        <f aca="false">_xlfn.IFS(Papéis!$D25="A3",(Papéis!$E25+Papéis!$F25)/Papéis!$G25,Papéis!$D25="A2",(Papéis!$E25+Papéis!$F25)/Papéis!$G25/2,Papéis!$D25="A4",(Papéis!$E25+Papéis!$F25)/Papéis!$G25*2,Papéis!$D25="A6",(Papéis!$E25+Papéis!$F25)/Papéis!$G25*8,Papéis!$D25="F1",(Papéis!$E25+Papéis!$F25)/Papéis!$G25/4,Papéis!$D25="50x66",(Papéis!$E25+Papéis!$F25)/Papéis!$G25/2)</f>
        <v>2.528</v>
      </c>
      <c r="J25" s="89" t="n">
        <f aca="false">Papéis!$I25/2</f>
        <v>1.264</v>
      </c>
      <c r="K25" s="85" t="n">
        <f aca="false">Papéis!$J25/2</f>
        <v>0.632</v>
      </c>
      <c r="L25" s="85" t="n">
        <f aca="false">Papéis!$K25/2</f>
        <v>0.316</v>
      </c>
      <c r="M25" s="55" t="s">
        <v>143</v>
      </c>
      <c r="N25" s="55" t="s">
        <v>144</v>
      </c>
    </row>
    <row r="26" customFormat="false" ht="14.9" hidden="true" customHeight="false" outlineLevel="0" collapsed="false">
      <c r="A26" s="55" t="s">
        <v>75</v>
      </c>
      <c r="B26" s="80" t="n">
        <v>220</v>
      </c>
      <c r="C26" s="81" t="s">
        <v>61</v>
      </c>
      <c r="D26" s="90" t="s">
        <v>74</v>
      </c>
      <c r="E26" s="91" t="n">
        <v>31.9</v>
      </c>
      <c r="F26" s="91"/>
      <c r="G26" s="92" t="n">
        <v>20</v>
      </c>
      <c r="H26" s="92" t="n">
        <f aca="false">Papéis!$G26/500</f>
        <v>0.04</v>
      </c>
      <c r="I26" s="88" t="n">
        <f aca="false">_xlfn.IFS(Papéis!$D26="A3",(Papéis!$E26+Papéis!$F26)/Papéis!$G26,Papéis!$D26="A2",(Papéis!$E26+Papéis!$F26)/Papéis!$G26/2,Papéis!$D26="A4",(Papéis!$E26+Papéis!$F26)/Papéis!$G26*2,Papéis!$D26="A6",(Papéis!$E26+Papéis!$F26)/Papéis!$G26*8,Papéis!$D26="F1",(Papéis!$E26+Papéis!$F26)/Papéis!$G26/4,Papéis!$D26="50x66",(Papéis!$E26+Papéis!$F26)/Papéis!$G26/2)</f>
        <v>3.19</v>
      </c>
      <c r="J26" s="89" t="n">
        <f aca="false">Papéis!$I26/2</f>
        <v>1.595</v>
      </c>
      <c r="K26" s="85" t="n">
        <f aca="false">Papéis!$J26/2</f>
        <v>0.7975</v>
      </c>
      <c r="L26" s="85" t="n">
        <f aca="false">Papéis!$K26/2</f>
        <v>0.39875</v>
      </c>
      <c r="M26" s="55" t="s">
        <v>143</v>
      </c>
      <c r="N26" s="55" t="s">
        <v>144</v>
      </c>
    </row>
    <row r="27" customFormat="false" ht="14.9" hidden="true" customHeight="false" outlineLevel="0" collapsed="false">
      <c r="A27" s="55" t="s">
        <v>75</v>
      </c>
      <c r="B27" s="80" t="n">
        <v>270</v>
      </c>
      <c r="C27" s="81" t="s">
        <v>61</v>
      </c>
      <c r="D27" s="90" t="s">
        <v>80</v>
      </c>
      <c r="E27" s="91" t="n">
        <v>20.9</v>
      </c>
      <c r="F27" s="91"/>
      <c r="G27" s="92" t="n">
        <v>20</v>
      </c>
      <c r="H27" s="92" t="n">
        <f aca="false">Papéis!$G27/500</f>
        <v>0.04</v>
      </c>
      <c r="I27" s="88" t="n">
        <f aca="false">_xlfn.IFS(Papéis!$D27="A3",(Papéis!$E27+Papéis!$F27)/Papéis!$G27,Papéis!$D27="A2",(Papéis!$E27+Papéis!$F27)/Papéis!$G27/2,Papéis!$D27="A4",(Papéis!$E27+Papéis!$F27)/Papéis!$G27*2,Papéis!$D27="A6",(Papéis!$E27+Papéis!$F27)/Papéis!$G27*8,Papéis!$D27="F1",(Papéis!$E27+Papéis!$F27)/Papéis!$G27/4,Papéis!$D27="50x66",(Papéis!$E27+Papéis!$F27)/Papéis!$G27/2)</f>
        <v>8.36</v>
      </c>
      <c r="J27" s="89" t="n">
        <f aca="false">Papéis!$I27/2</f>
        <v>4.18</v>
      </c>
      <c r="K27" s="85" t="n">
        <f aca="false">Papéis!$J27/2</f>
        <v>2.09</v>
      </c>
      <c r="L27" s="85" t="n">
        <f aca="false">Papéis!$K27/2</f>
        <v>1.045</v>
      </c>
      <c r="M27" s="55" t="s">
        <v>143</v>
      </c>
      <c r="N27" s="55" t="s">
        <v>144</v>
      </c>
    </row>
    <row r="28" customFormat="false" ht="14.9" hidden="true" customHeight="false" outlineLevel="0" collapsed="false">
      <c r="A28" s="55" t="s">
        <v>75</v>
      </c>
      <c r="B28" s="80" t="n">
        <v>270</v>
      </c>
      <c r="C28" s="81" t="s">
        <v>61</v>
      </c>
      <c r="D28" s="90" t="s">
        <v>74</v>
      </c>
      <c r="E28" s="91" t="n">
        <v>45.9</v>
      </c>
      <c r="F28" s="91"/>
      <c r="G28" s="92" t="n">
        <v>20</v>
      </c>
      <c r="H28" s="92" t="n">
        <f aca="false">Papéis!$G28/500</f>
        <v>0.04</v>
      </c>
      <c r="I28" s="88" t="n">
        <f aca="false">_xlfn.IFS(Papéis!$D28="A3",(Papéis!$E28+Papéis!$F28)/Papéis!$G28,Papéis!$D28="A2",(Papéis!$E28+Papéis!$F28)/Papéis!$G28/2,Papéis!$D28="A4",(Papéis!$E28+Papéis!$F28)/Papéis!$G28*2,Papéis!$D28="A6",(Papéis!$E28+Papéis!$F28)/Papéis!$G28*8,Papéis!$D28="F1",(Papéis!$E28+Papéis!$F28)/Papéis!$G28/4,Papéis!$D28="50x66",(Papéis!$E28+Papéis!$F28)/Papéis!$G28/2)</f>
        <v>4.59</v>
      </c>
      <c r="J28" s="89" t="n">
        <f aca="false">Papéis!$I28/2</f>
        <v>2.295</v>
      </c>
      <c r="K28" s="85" t="n">
        <f aca="false">Papéis!$J28/2</f>
        <v>1.1475</v>
      </c>
      <c r="L28" s="85" t="n">
        <f aca="false">Papéis!$K28/2</f>
        <v>0.57375</v>
      </c>
      <c r="M28" s="55" t="s">
        <v>143</v>
      </c>
      <c r="N28" s="55" t="s">
        <v>144</v>
      </c>
    </row>
    <row r="29" customFormat="false" ht="14.9" hidden="true" customHeight="false" outlineLevel="0" collapsed="false">
      <c r="A29" s="55" t="s">
        <v>75</v>
      </c>
      <c r="B29" s="80" t="n">
        <v>180</v>
      </c>
      <c r="C29" s="81" t="s">
        <v>61</v>
      </c>
      <c r="D29" s="90" t="s">
        <v>74</v>
      </c>
      <c r="E29" s="82" t="n">
        <v>17.9</v>
      </c>
      <c r="G29" s="63" t="n">
        <v>20</v>
      </c>
      <c r="H29" s="63" t="n">
        <f aca="false">Papéis!$G29/500</f>
        <v>0.04</v>
      </c>
      <c r="I29" s="88" t="n">
        <f aca="false">_xlfn.IFS(Papéis!$D29="A3",(Papéis!$E29+Papéis!$F29)/Papéis!$G29,Papéis!$D29="A2",(Papéis!$E29+Papéis!$F29)/Papéis!$G29/2,Papéis!$D29="A4",(Papéis!$E29+Papéis!$F29)/Papéis!$G29*2,Papéis!$D29="A6",(Papéis!$E29+Papéis!$F29)/Papéis!$G29*8,Papéis!$D29="F1",(Papéis!$E29+Papéis!$F29)/Papéis!$G29/4,Papéis!$D29="50x66",(Papéis!$E29+Papéis!$F29)/Papéis!$G29/2)</f>
        <v>1.79</v>
      </c>
      <c r="J29" s="89" t="n">
        <f aca="false">Papéis!$I29/2</f>
        <v>0.895</v>
      </c>
      <c r="K29" s="85" t="n">
        <f aca="false">Papéis!$J29/2</f>
        <v>0.4475</v>
      </c>
      <c r="L29" s="85" t="n">
        <f aca="false">Papéis!$K29/2</f>
        <v>0.22375</v>
      </c>
      <c r="M29" s="55" t="s">
        <v>151</v>
      </c>
      <c r="N29" s="55" t="s">
        <v>156</v>
      </c>
    </row>
    <row r="30" customFormat="false" ht="14.9" hidden="true" customHeight="false" outlineLevel="0" collapsed="false">
      <c r="A30" s="55" t="s">
        <v>78</v>
      </c>
      <c r="B30" s="80" t="n">
        <v>180</v>
      </c>
      <c r="C30" s="81" t="s">
        <v>61</v>
      </c>
      <c r="D30" s="90" t="s">
        <v>74</v>
      </c>
      <c r="E30" s="91" t="n">
        <v>11</v>
      </c>
      <c r="F30" s="91"/>
      <c r="G30" s="92" t="n">
        <v>20</v>
      </c>
      <c r="H30" s="92" t="n">
        <f aca="false">Papéis!$G30/500</f>
        <v>0.04</v>
      </c>
      <c r="I30" s="88" t="n">
        <f aca="false">_xlfn.IFS(Papéis!$D30="A3",(Papéis!$E30+Papéis!$F30)/Papéis!$G30,Papéis!$D30="A2",(Papéis!$E30+Papéis!$F30)/Papéis!$G30/2,Papéis!$D30="A4",(Papéis!$E30+Papéis!$F30)/Papéis!$G30*2,Papéis!$D30="A6",(Papéis!$E30+Papéis!$F30)/Papéis!$G30*8,Papéis!$D30="F1",(Papéis!$E30+Papéis!$F30)/Papéis!$G30/4,Papéis!$D30="50x66",(Papéis!$E30+Papéis!$F30)/Papéis!$G30/2)</f>
        <v>1.1</v>
      </c>
      <c r="J30" s="89" t="n">
        <f aca="false">Papéis!$I30/2</f>
        <v>0.55</v>
      </c>
      <c r="K30" s="85" t="n">
        <f aca="false">Papéis!$J30/2</f>
        <v>0.275</v>
      </c>
      <c r="L30" s="85" t="n">
        <f aca="false">Papéis!$K30/2</f>
        <v>0.1375</v>
      </c>
      <c r="M30" s="55" t="s">
        <v>151</v>
      </c>
      <c r="N30" s="55" t="s">
        <v>150</v>
      </c>
    </row>
    <row r="31" customFormat="false" ht="14.9" hidden="true" customHeight="false" outlineLevel="0" collapsed="false">
      <c r="A31" s="55" t="s">
        <v>78</v>
      </c>
      <c r="B31" s="80" t="n">
        <v>220</v>
      </c>
      <c r="C31" s="81" t="s">
        <v>61</v>
      </c>
      <c r="D31" s="90" t="s">
        <v>74</v>
      </c>
      <c r="E31" s="91" t="n">
        <v>15.5</v>
      </c>
      <c r="F31" s="91"/>
      <c r="G31" s="92" t="n">
        <v>20</v>
      </c>
      <c r="H31" s="92" t="n">
        <f aca="false">Papéis!$G31/500</f>
        <v>0.04</v>
      </c>
      <c r="I31" s="88" t="n">
        <f aca="false">_xlfn.IFS(Papéis!$D31="A3",(Papéis!$E31+Papéis!$F31)/Papéis!$G31,Papéis!$D31="A2",(Papéis!$E31+Papéis!$F31)/Papéis!$G31/2,Papéis!$D31="A4",(Papéis!$E31+Papéis!$F31)/Papéis!$G31*2,Papéis!$D31="A6",(Papéis!$E31+Papéis!$F31)/Papéis!$G31*8,Papéis!$D31="F1",(Papéis!$E31+Papéis!$F31)/Papéis!$G31/4,Papéis!$D31="50x66",(Papéis!$E31+Papéis!$F31)/Papéis!$G31/2)</f>
        <v>1.55</v>
      </c>
      <c r="J31" s="89" t="n">
        <f aca="false">Papéis!$I31/2</f>
        <v>0.775</v>
      </c>
      <c r="K31" s="85" t="n">
        <f aca="false">Papéis!$J31/2</f>
        <v>0.3875</v>
      </c>
      <c r="L31" s="85" t="n">
        <f aca="false">Papéis!$K31/2</f>
        <v>0.19375</v>
      </c>
      <c r="M31" s="55" t="s">
        <v>151</v>
      </c>
      <c r="N31" s="55" t="s">
        <v>150</v>
      </c>
    </row>
    <row r="32" customFormat="false" ht="14.9" hidden="true" customHeight="false" outlineLevel="0" collapsed="false">
      <c r="A32" s="55" t="s">
        <v>81</v>
      </c>
      <c r="B32" s="80" t="n">
        <v>180</v>
      </c>
      <c r="C32" s="81" t="s">
        <v>61</v>
      </c>
      <c r="D32" s="90" t="s">
        <v>74</v>
      </c>
      <c r="E32" s="91" t="n">
        <v>11.9</v>
      </c>
      <c r="F32" s="91"/>
      <c r="G32" s="92" t="n">
        <v>20</v>
      </c>
      <c r="H32" s="92" t="n">
        <f aca="false">Papéis!$G32/500</f>
        <v>0.04</v>
      </c>
      <c r="I32" s="88" t="n">
        <f aca="false">_xlfn.IFS(Papéis!$D32="A3",(Papéis!$E32+Papéis!$F32)/Papéis!$G32,Papéis!$D32="A2",(Papéis!$E32+Papéis!$F32)/Papéis!$G32/2,Papéis!$D32="A4",(Papéis!$E32+Papéis!$F32)/Papéis!$G32*2,Papéis!$D32="A6",(Papéis!$E32+Papéis!$F32)/Papéis!$G32*8,Papéis!$D32="F1",(Papéis!$E32+Papéis!$F32)/Papéis!$G32/4,Papéis!$D32="50x66",(Papéis!$E32+Papéis!$F32)/Papéis!$G32/2)</f>
        <v>1.19</v>
      </c>
      <c r="J32" s="89" t="n">
        <f aca="false">Papéis!$I32/2</f>
        <v>0.595</v>
      </c>
      <c r="K32" s="85" t="n">
        <f aca="false">Papéis!$J32/2</f>
        <v>0.2975</v>
      </c>
      <c r="L32" s="85" t="n">
        <f aca="false">Papéis!$K32/2</f>
        <v>0.14875</v>
      </c>
      <c r="M32" s="55" t="s">
        <v>151</v>
      </c>
      <c r="N32" s="55" t="s">
        <v>152</v>
      </c>
    </row>
    <row r="33" customFormat="false" ht="14.9" hidden="true" customHeight="false" outlineLevel="0" collapsed="false">
      <c r="A33" s="4" t="s">
        <v>157</v>
      </c>
      <c r="B33" s="80" t="n">
        <v>108</v>
      </c>
      <c r="C33" s="81" t="s">
        <v>61</v>
      </c>
      <c r="D33" s="63" t="s">
        <v>74</v>
      </c>
      <c r="E33" s="82" t="n">
        <v>21.99</v>
      </c>
      <c r="G33" s="63" t="n">
        <v>100</v>
      </c>
      <c r="H33" s="63" t="n">
        <f aca="false">Papéis!$G33/500</f>
        <v>0.2</v>
      </c>
      <c r="I33" s="88" t="n">
        <f aca="false">_xlfn.IFS(Papéis!$D33="A3",(Papéis!$E33+Papéis!$F33)/Papéis!$G33,Papéis!$D33="A2",(Papéis!$E33+Papéis!$F33)/Papéis!$G33/2,Papéis!$D33="A4",(Papéis!$E33+Papéis!$F33)/Papéis!$G33*2,Papéis!$D33="A6",(Papéis!$E33+Papéis!$F33)/Papéis!$G33*8,Papéis!$D33="F1",(Papéis!$E33+Papéis!$F33)/Papéis!$G33/4,Papéis!$D33="50x66",(Papéis!$E33+Papéis!$F33)/Papéis!$G33/2)</f>
        <v>0.4398</v>
      </c>
      <c r="J33" s="89" t="n">
        <f aca="false">Papéis!$I33/2</f>
        <v>0.2199</v>
      </c>
      <c r="K33" s="85" t="n">
        <f aca="false">Papéis!$J33/2</f>
        <v>0.10995</v>
      </c>
      <c r="L33" s="85" t="n">
        <f aca="false">Papéis!$K33/2</f>
        <v>0.054975</v>
      </c>
      <c r="M33" s="4" t="s">
        <v>151</v>
      </c>
      <c r="N33" s="4" t="s">
        <v>154</v>
      </c>
    </row>
    <row r="34" customFormat="false" ht="14.9" hidden="true" customHeight="false" outlineLevel="0" collapsed="false">
      <c r="A34" s="4" t="s">
        <v>157</v>
      </c>
      <c r="B34" s="80" t="n">
        <v>90</v>
      </c>
      <c r="C34" s="81" t="s">
        <v>61</v>
      </c>
      <c r="D34" s="63" t="s">
        <v>74</v>
      </c>
      <c r="E34" s="82" t="n">
        <v>20.9</v>
      </c>
      <c r="G34" s="63" t="n">
        <v>100</v>
      </c>
      <c r="H34" s="63" t="n">
        <f aca="false">Papéis!$G34/500</f>
        <v>0.2</v>
      </c>
      <c r="I34" s="88" t="n">
        <f aca="false">_xlfn.IFS(Papéis!$D34="A3",(Papéis!$E34+Papéis!$F34)/Papéis!$G34,Papéis!$D34="A2",(Papéis!$E34+Papéis!$F34)/Papéis!$G34/2,Papéis!$D34="A4",(Papéis!$E34+Papéis!$F34)/Papéis!$G34*2,Papéis!$D34="A6",(Papéis!$E34+Papéis!$F34)/Papéis!$G34*8,Papéis!$D34="F1",(Papéis!$E34+Papéis!$F34)/Papéis!$G34/4,Papéis!$D34="50x66",(Papéis!$E34+Papéis!$F34)/Papéis!$G34/2)</f>
        <v>0.418</v>
      </c>
      <c r="J34" s="89" t="n">
        <f aca="false">Papéis!$I34/2</f>
        <v>0.209</v>
      </c>
      <c r="K34" s="85" t="n">
        <f aca="false">Papéis!$J34/2</f>
        <v>0.1045</v>
      </c>
      <c r="L34" s="85" t="n">
        <f aca="false">Papéis!$K34/2</f>
        <v>0.05225</v>
      </c>
      <c r="M34" s="4" t="s">
        <v>151</v>
      </c>
      <c r="N34" s="4" t="s">
        <v>154</v>
      </c>
    </row>
    <row r="35" customFormat="false" ht="14.9" hidden="true" customHeight="false" outlineLevel="0" collapsed="false">
      <c r="A35" s="4" t="s">
        <v>157</v>
      </c>
      <c r="B35" s="80" t="n">
        <v>170</v>
      </c>
      <c r="C35" s="81" t="s">
        <v>61</v>
      </c>
      <c r="D35" s="63" t="s">
        <v>74</v>
      </c>
      <c r="E35" s="82" t="n">
        <v>26</v>
      </c>
      <c r="G35" s="63" t="n">
        <v>100</v>
      </c>
      <c r="H35" s="63" t="n">
        <f aca="false">Papéis!$G35/500</f>
        <v>0.2</v>
      </c>
      <c r="I35" s="88" t="n">
        <f aca="false">_xlfn.IFS(Papéis!$D35="A3",(Papéis!$E35+Papéis!$F35)/Papéis!$G35,Papéis!$D35="A2",(Papéis!$E35+Papéis!$F35)/Papéis!$G35/2,Papéis!$D35="A4",(Papéis!$E35+Papéis!$F35)/Papéis!$G35*2,Papéis!$D35="A6",(Papéis!$E35+Papéis!$F35)/Papéis!$G35*8,Papéis!$D35="F1",(Papéis!$E35+Papéis!$F35)/Papéis!$G35/4,Papéis!$D35="50x66",(Papéis!$E35+Papéis!$F35)/Papéis!$G35/2)</f>
        <v>0.52</v>
      </c>
      <c r="J35" s="89" t="n">
        <f aca="false">Papéis!$I35/2</f>
        <v>0.26</v>
      </c>
      <c r="K35" s="85" t="n">
        <f aca="false">Papéis!$J35/2</f>
        <v>0.13</v>
      </c>
      <c r="L35" s="85" t="n">
        <f aca="false">Papéis!$K35/2</f>
        <v>0.065</v>
      </c>
      <c r="M35" s="4" t="s">
        <v>151</v>
      </c>
      <c r="N35" s="4" t="s">
        <v>154</v>
      </c>
    </row>
    <row r="36" customFormat="false" ht="14.9" hidden="true" customHeight="false" outlineLevel="0" collapsed="false">
      <c r="A36" s="55" t="s">
        <v>84</v>
      </c>
      <c r="B36" s="80" t="n">
        <v>120</v>
      </c>
      <c r="C36" s="57" t="s">
        <v>61</v>
      </c>
      <c r="D36" s="90" t="s">
        <v>83</v>
      </c>
      <c r="E36" s="91" t="n">
        <v>125</v>
      </c>
      <c r="F36" s="91"/>
      <c r="G36" s="92" t="n">
        <v>250</v>
      </c>
      <c r="H36" s="92" t="n">
        <f aca="false">Papéis!$G36/500</f>
        <v>0.5</v>
      </c>
      <c r="I36" s="88" t="n">
        <f aca="false">_xlfn.IFS(Papéis!$D36="A3",(Papéis!$E36+Papéis!$F36)/Papéis!$G36,Papéis!$D36="A2",(Papéis!$E36+Papéis!$F36)/Papéis!$G36/2,Papéis!$D36="A4",(Papéis!$E36+Papéis!$F36)/Papéis!$G36*2,Papéis!$D36="A6",(Papéis!$E36+Papéis!$F36)/Papéis!$G36*8,Papéis!$D36="F1",(Papéis!$E36+Papéis!$F36)/Papéis!$G36/4,Papéis!$D36="50x66",(Papéis!$E36+Papéis!$F36)/Papéis!$G36/2)</f>
        <v>0.125</v>
      </c>
      <c r="J36" s="89" t="n">
        <f aca="false">Papéis!$I36/2</f>
        <v>0.0625</v>
      </c>
      <c r="K36" s="85" t="n">
        <f aca="false">Papéis!$J36/2</f>
        <v>0.03125</v>
      </c>
      <c r="L36" s="85" t="n">
        <f aca="false">Papéis!$K36/2</f>
        <v>0.015625</v>
      </c>
      <c r="M36" s="55"/>
      <c r="N36" s="55" t="s">
        <v>158</v>
      </c>
    </row>
    <row r="37" customFormat="false" ht="14.9" hidden="true" customHeight="false" outlineLevel="0" collapsed="false">
      <c r="A37" s="55" t="s">
        <v>84</v>
      </c>
      <c r="B37" s="80" t="n">
        <v>120</v>
      </c>
      <c r="C37" s="57" t="s">
        <v>61</v>
      </c>
      <c r="D37" s="90" t="s">
        <v>68</v>
      </c>
      <c r="E37" s="91" t="n">
        <v>28.28</v>
      </c>
      <c r="F37" s="91"/>
      <c r="G37" s="92" t="n">
        <v>100</v>
      </c>
      <c r="H37" s="92" t="n">
        <f aca="false">Papéis!$G37/500</f>
        <v>0.2</v>
      </c>
      <c r="I37" s="88" t="n">
        <f aca="false">_xlfn.IFS(Papéis!$D37="A3",(Papéis!$E37+Papéis!$F37)/Papéis!$G37,Papéis!$D37="A2",(Papéis!$E37+Papéis!$F37)/Papéis!$G37/2,Papéis!$D37="A4",(Papéis!$E37+Papéis!$F37)/Papéis!$G37*2,Papéis!$D37="A6",(Papéis!$E37+Papéis!$F37)/Papéis!$G37*8,Papéis!$D37="F1",(Papéis!$E37+Papéis!$F37)/Papéis!$G37/4,Papéis!$D37="50x66",(Papéis!$E37+Papéis!$F37)/Papéis!$G37/2)</f>
        <v>0.2828</v>
      </c>
      <c r="J37" s="89" t="n">
        <f aca="false">Papéis!$I37/2</f>
        <v>0.1414</v>
      </c>
      <c r="K37" s="85" t="n">
        <f aca="false">Papéis!$J37/2</f>
        <v>0.0707</v>
      </c>
      <c r="L37" s="85" t="n">
        <f aca="false">Papéis!$K37/2</f>
        <v>0.03535</v>
      </c>
      <c r="M37" s="55" t="s">
        <v>159</v>
      </c>
      <c r="N37" s="55" t="s">
        <v>160</v>
      </c>
    </row>
    <row r="38" customFormat="false" ht="14.9" hidden="true" customHeight="false" outlineLevel="0" collapsed="false">
      <c r="A38" s="55" t="s">
        <v>84</v>
      </c>
      <c r="B38" s="80" t="n">
        <v>120</v>
      </c>
      <c r="C38" s="81" t="s">
        <v>61</v>
      </c>
      <c r="D38" s="90" t="s">
        <v>68</v>
      </c>
      <c r="E38" s="91" t="n">
        <v>25</v>
      </c>
      <c r="F38" s="91"/>
      <c r="G38" s="92" t="n">
        <v>50</v>
      </c>
      <c r="H38" s="92" t="n">
        <f aca="false">Papéis!$G38/500</f>
        <v>0.1</v>
      </c>
      <c r="I38" s="88" t="n">
        <f aca="false">_xlfn.IFS(Papéis!$D38="A3",(Papéis!$E38+Papéis!$F38)/Papéis!$G38,Papéis!$D38="A2",(Papéis!$E38+Papéis!$F38)/Papéis!$G38/2,Papéis!$D38="A4",(Papéis!$E38+Papéis!$F38)/Papéis!$G38*2,Papéis!$D38="A6",(Papéis!$E38+Papéis!$F38)/Papéis!$G38*8,Papéis!$D38="F1",(Papéis!$E38+Papéis!$F38)/Papéis!$G38/4,Papéis!$D38="50x66",(Papéis!$E38+Papéis!$F38)/Papéis!$G38/2)</f>
        <v>0.5</v>
      </c>
      <c r="J38" s="89" t="n">
        <f aca="false">Papéis!$I38/2</f>
        <v>0.25</v>
      </c>
      <c r="K38" s="85" t="n">
        <f aca="false">Papéis!$J38/2</f>
        <v>0.125</v>
      </c>
      <c r="L38" s="85" t="n">
        <f aca="false">Papéis!$K38/2</f>
        <v>0.0625</v>
      </c>
      <c r="M38" s="55" t="s">
        <v>161</v>
      </c>
      <c r="N38" s="55" t="s">
        <v>162</v>
      </c>
    </row>
    <row r="39" customFormat="false" ht="14.9" hidden="true" customHeight="false" outlineLevel="0" collapsed="false">
      <c r="A39" s="55" t="s">
        <v>84</v>
      </c>
      <c r="B39" s="80" t="n">
        <v>120</v>
      </c>
      <c r="C39" s="81" t="s">
        <v>61</v>
      </c>
      <c r="D39" s="90" t="s">
        <v>68</v>
      </c>
      <c r="E39" s="91" t="n">
        <v>17.17</v>
      </c>
      <c r="F39" s="91"/>
      <c r="G39" s="92" t="n">
        <v>50</v>
      </c>
      <c r="H39" s="92" t="n">
        <f aca="false">Papéis!$G39/500</f>
        <v>0.1</v>
      </c>
      <c r="I39" s="88" t="n">
        <f aca="false">_xlfn.IFS(Papéis!$D39="A3",(Papéis!$E39+Papéis!$F39)/Papéis!$G39,Papéis!$D39="A2",(Papéis!$E39+Papéis!$F39)/Papéis!$G39/2,Papéis!$D39="A4",(Papéis!$E39+Papéis!$F39)/Papéis!$G39*2,Papéis!$D39="A6",(Papéis!$E39+Papéis!$F39)/Papéis!$G39*8,Papéis!$D39="F1",(Papéis!$E39+Papéis!$F39)/Papéis!$G39/4,Papéis!$D39="50x66",(Papéis!$E39+Papéis!$F39)/Papéis!$G39/2)</f>
        <v>0.3434</v>
      </c>
      <c r="J39" s="89" t="n">
        <f aca="false">Papéis!$I39/2</f>
        <v>0.1717</v>
      </c>
      <c r="K39" s="85" t="n">
        <f aca="false">Papéis!$J39/2</f>
        <v>0.08585</v>
      </c>
      <c r="L39" s="85" t="n">
        <f aca="false">Papéis!$K39/2</f>
        <v>0.042925</v>
      </c>
      <c r="M39" s="55" t="s">
        <v>159</v>
      </c>
      <c r="N39" s="55" t="s">
        <v>160</v>
      </c>
    </row>
    <row r="40" customFormat="false" ht="14.9" hidden="true" customHeight="false" outlineLevel="0" collapsed="false">
      <c r="A40" s="55" t="s">
        <v>84</v>
      </c>
      <c r="B40" s="80" t="n">
        <v>120</v>
      </c>
      <c r="C40" s="81" t="s">
        <v>61</v>
      </c>
      <c r="D40" s="90" t="s">
        <v>68</v>
      </c>
      <c r="E40" s="91" t="n">
        <v>7.07</v>
      </c>
      <c r="F40" s="91"/>
      <c r="G40" s="92" t="n">
        <v>10</v>
      </c>
      <c r="H40" s="92" t="n">
        <f aca="false">Papéis!$G40/500</f>
        <v>0.02</v>
      </c>
      <c r="I40" s="88" t="n">
        <f aca="false">_xlfn.IFS(Papéis!$D40="A3",(Papéis!$E40+Papéis!$F40)/Papéis!$G40,Papéis!$D40="A2",(Papéis!$E40+Papéis!$F40)/Papéis!$G40/2,Papéis!$D40="A4",(Papéis!$E40+Papéis!$F40)/Papéis!$G40*2,Papéis!$D40="A6",(Papéis!$E40+Papéis!$F40)/Papéis!$G40*8,Papéis!$D40="F1",(Papéis!$E40+Papéis!$F40)/Papéis!$G40/4,Papéis!$D40="50x66",(Papéis!$E40+Papéis!$F40)/Papéis!$G40/2)</f>
        <v>0.707</v>
      </c>
      <c r="J40" s="89" t="n">
        <f aca="false">Papéis!$I40/2</f>
        <v>0.3535</v>
      </c>
      <c r="K40" s="85" t="n">
        <f aca="false">Papéis!$J40/2</f>
        <v>0.17675</v>
      </c>
      <c r="L40" s="85" t="n">
        <f aca="false">Papéis!$K40/2</f>
        <v>0.088375</v>
      </c>
      <c r="M40" s="55" t="s">
        <v>159</v>
      </c>
      <c r="N40" s="55" t="s">
        <v>160</v>
      </c>
    </row>
    <row r="41" customFormat="false" ht="14.9" hidden="true" customHeight="false" outlineLevel="0" collapsed="false">
      <c r="A41" s="55" t="s">
        <v>84</v>
      </c>
      <c r="B41" s="80" t="n">
        <v>90</v>
      </c>
      <c r="C41" s="81" t="s">
        <v>61</v>
      </c>
      <c r="D41" s="90" t="s">
        <v>68</v>
      </c>
      <c r="E41" s="91" t="n">
        <v>68.8</v>
      </c>
      <c r="F41" s="91"/>
      <c r="G41" s="92" t="n">
        <v>500</v>
      </c>
      <c r="H41" s="92" t="n">
        <f aca="false">Papéis!$G41/500</f>
        <v>1</v>
      </c>
      <c r="I41" s="88" t="n">
        <f aca="false">_xlfn.IFS(Papéis!$D41="A3",(Papéis!$E41+Papéis!$F41)/Papéis!$G41,Papéis!$D41="A2",(Papéis!$E41+Papéis!$F41)/Papéis!$G41/2,Papéis!$D41="A4",(Papéis!$E41+Papéis!$F41)/Papéis!$G41*2,Papéis!$D41="A6",(Papéis!$E41+Papéis!$F41)/Papéis!$G41*8,Papéis!$D41="F1",(Papéis!$E41+Papéis!$F41)/Papéis!$G41/4,Papéis!$D41="50x66",(Papéis!$E41+Papéis!$F41)/Papéis!$G41/2)</f>
        <v>0.1376</v>
      </c>
      <c r="J41" s="89" t="n">
        <f aca="false">Papéis!$I41/2</f>
        <v>0.0688</v>
      </c>
      <c r="K41" s="85" t="n">
        <f aca="false">Papéis!$J41/2</f>
        <v>0.0344</v>
      </c>
      <c r="L41" s="85" t="n">
        <f aca="false">Papéis!$K41/2</f>
        <v>0.0172</v>
      </c>
      <c r="M41" s="55" t="s">
        <v>163</v>
      </c>
      <c r="N41" s="55" t="s">
        <v>144</v>
      </c>
    </row>
    <row r="42" customFormat="false" ht="14.9" hidden="true" customHeight="false" outlineLevel="0" collapsed="false">
      <c r="A42" s="55" t="s">
        <v>84</v>
      </c>
      <c r="B42" s="80" t="n">
        <v>240</v>
      </c>
      <c r="C42" s="81" t="s">
        <v>61</v>
      </c>
      <c r="D42" s="90" t="s">
        <v>83</v>
      </c>
      <c r="E42" s="91" t="n">
        <v>175</v>
      </c>
      <c r="F42" s="91" t="n">
        <v>50</v>
      </c>
      <c r="G42" s="92" t="n">
        <v>125</v>
      </c>
      <c r="H42" s="92" t="n">
        <f aca="false">Papéis!$G42/500</f>
        <v>0.25</v>
      </c>
      <c r="I42" s="88" t="n">
        <f aca="false">_xlfn.IFS(Papéis!$D42="A3",(Papéis!$E42+Papéis!$F42)/Papéis!$G42,Papéis!$D42="A2",(Papéis!$E42+Papéis!$F42)/Papéis!$G42/2,Papéis!$D42="A4",(Papéis!$E42+Papéis!$F42)/Papéis!$G42*2,Papéis!$D42="A6",(Papéis!$E42+Papéis!$F42)/Papéis!$G42*8,Papéis!$D42="F1",(Papéis!$E42+Papéis!$F42)/Papéis!$G42/4,Papéis!$D42="50x66",(Papéis!$E42+Papéis!$F42)/Papéis!$G42/2)</f>
        <v>0.45</v>
      </c>
      <c r="J42" s="89" t="n">
        <f aca="false">Papéis!$I42/2</f>
        <v>0.225</v>
      </c>
      <c r="K42" s="85" t="n">
        <f aca="false">Papéis!$J42/2</f>
        <v>0.1125</v>
      </c>
      <c r="L42" s="85" t="n">
        <f aca="false">Papéis!$K42/2</f>
        <v>0.05625</v>
      </c>
      <c r="M42" s="55"/>
      <c r="N42" s="55" t="s">
        <v>158</v>
      </c>
    </row>
    <row r="43" customFormat="false" ht="14.9" hidden="true" customHeight="false" outlineLevel="0" collapsed="false">
      <c r="A43" s="55" t="s">
        <v>84</v>
      </c>
      <c r="B43" s="80" t="n">
        <v>180</v>
      </c>
      <c r="C43" s="81" t="s">
        <v>61</v>
      </c>
      <c r="D43" s="90" t="s">
        <v>83</v>
      </c>
      <c r="E43" s="91" t="n">
        <v>132</v>
      </c>
      <c r="F43" s="91"/>
      <c r="G43" s="92" t="n">
        <v>125</v>
      </c>
      <c r="H43" s="92" t="n">
        <f aca="false">Papéis!$G43/500</f>
        <v>0.25</v>
      </c>
      <c r="I43" s="88" t="n">
        <f aca="false">_xlfn.IFS(Papéis!$D43="A3",(Papéis!$E43+Papéis!$F43)/Papéis!$G43,Papéis!$D43="A2",(Papéis!$E43+Papéis!$F43)/Papéis!$G43/2,Papéis!$D43="A4",(Papéis!$E43+Papéis!$F43)/Papéis!$G43*2,Papéis!$D43="A6",(Papéis!$E43+Papéis!$F43)/Papéis!$G43*8,Papéis!$D43="F1",(Papéis!$E43+Papéis!$F43)/Papéis!$G43/4,Papéis!$D43="50x66",(Papéis!$E43+Papéis!$F43)/Papéis!$G43/2)</f>
        <v>0.264</v>
      </c>
      <c r="J43" s="89" t="n">
        <f aca="false">Papéis!$I43/2</f>
        <v>0.132</v>
      </c>
      <c r="K43" s="85" t="n">
        <f aca="false">Papéis!$J43/2</f>
        <v>0.066</v>
      </c>
      <c r="L43" s="85" t="n">
        <f aca="false">Papéis!$K43/2</f>
        <v>0.033</v>
      </c>
      <c r="M43" s="55"/>
      <c r="N43" s="55" t="s">
        <v>158</v>
      </c>
    </row>
    <row r="44" customFormat="false" ht="14.9" hidden="true" customHeight="false" outlineLevel="0" collapsed="false">
      <c r="A44" s="55" t="s">
        <v>86</v>
      </c>
      <c r="B44" s="80" t="n">
        <v>120</v>
      </c>
      <c r="C44" s="81" t="s">
        <v>61</v>
      </c>
      <c r="D44" s="90" t="s">
        <v>74</v>
      </c>
      <c r="E44" s="91" t="n">
        <v>14.4</v>
      </c>
      <c r="F44" s="91"/>
      <c r="G44" s="92" t="n">
        <v>50</v>
      </c>
      <c r="H44" s="92" t="n">
        <f aca="false">Papéis!$G44/500</f>
        <v>0.1</v>
      </c>
      <c r="I44" s="88" t="n">
        <f aca="false">_xlfn.IFS(Papéis!$D44="A3",(Papéis!$E44+Papéis!$F44)/Papéis!$G44,Papéis!$D44="A2",(Papéis!$E44+Papéis!$F44)/Papéis!$G44/2,Papéis!$D44="A4",(Papéis!$E44+Papéis!$F44)/Papéis!$G44*2,Papéis!$D44="A6",(Papéis!$E44+Papéis!$F44)/Papéis!$G44*8,Papéis!$D44="F1",(Papéis!$E44+Papéis!$F44)/Papéis!$G44/4,Papéis!$D44="50x66",(Papéis!$E44+Papéis!$F44)/Papéis!$G44/2)</f>
        <v>0.576</v>
      </c>
      <c r="J44" s="89" t="n">
        <f aca="false">Papéis!$I44/2</f>
        <v>0.288</v>
      </c>
      <c r="K44" s="85" t="n">
        <f aca="false">Papéis!$J44/2</f>
        <v>0.144</v>
      </c>
      <c r="L44" s="85" t="n">
        <f aca="false">Papéis!$K44/2</f>
        <v>0.072</v>
      </c>
      <c r="M44" s="55" t="s">
        <v>143</v>
      </c>
      <c r="N44" s="55" t="s">
        <v>144</v>
      </c>
    </row>
    <row r="45" customFormat="false" ht="14.9" hidden="false" customHeight="false" outlineLevel="0" collapsed="false">
      <c r="A45" s="55" t="s">
        <v>86</v>
      </c>
      <c r="B45" s="80" t="n">
        <v>75</v>
      </c>
      <c r="C45" s="81" t="s">
        <v>61</v>
      </c>
      <c r="D45" s="90" t="s">
        <v>74</v>
      </c>
      <c r="E45" s="91" t="n">
        <v>220</v>
      </c>
      <c r="F45" s="91" t="n">
        <v>0</v>
      </c>
      <c r="G45" s="92" t="n">
        <v>5000</v>
      </c>
      <c r="H45" s="92" t="n">
        <f aca="false">Papéis!$G45/500</f>
        <v>10</v>
      </c>
      <c r="I45" s="88" t="n">
        <f aca="false">_xlfn.IFS(Papéis!$D45="A3",(Papéis!$E45+Papéis!$F45)/Papéis!$G45,Papéis!$D45="A2",(Papéis!$E45+Papéis!$F45)/Papéis!$G45/2,Papéis!$D45="A4",(Papéis!$E45+Papéis!$F45)/Papéis!$G45*2,Papéis!$D45="A6",(Papéis!$E45+Papéis!$F45)/Papéis!$G45*8,Papéis!$D45="F1",(Papéis!$E45+Papéis!$F45)/Papéis!$G45/4,Papéis!$D45="50x66",(Papéis!$E45+Papéis!$F45)/Papéis!$G45/2)</f>
        <v>0.088</v>
      </c>
      <c r="J45" s="84" t="n">
        <f aca="false">Papéis!$I45/2</f>
        <v>0.044</v>
      </c>
      <c r="K45" s="85" t="n">
        <f aca="false">Papéis!$J45/2</f>
        <v>0.022</v>
      </c>
      <c r="L45" s="85" t="n">
        <f aca="false">Papéis!$K45/2</f>
        <v>0.011</v>
      </c>
      <c r="M45" s="55" t="s">
        <v>163</v>
      </c>
      <c r="N45" s="55" t="s">
        <v>164</v>
      </c>
    </row>
    <row r="46" customFormat="false" ht="14.9" hidden="false" customHeight="false" outlineLevel="0" collapsed="false">
      <c r="A46" s="55" t="s">
        <v>86</v>
      </c>
      <c r="B46" s="80" t="n">
        <v>75</v>
      </c>
      <c r="C46" s="81" t="s">
        <v>61</v>
      </c>
      <c r="D46" s="90" t="s">
        <v>83</v>
      </c>
      <c r="E46" s="91" t="n">
        <v>210</v>
      </c>
      <c r="F46" s="91" t="n">
        <v>35</v>
      </c>
      <c r="G46" s="92" t="n">
        <v>500</v>
      </c>
      <c r="H46" s="92" t="n">
        <f aca="false">Papéis!$G46/500</f>
        <v>1</v>
      </c>
      <c r="I46" s="88" t="n">
        <f aca="false">_xlfn.IFS(Papéis!$D46="A3",(Papéis!$E46+Papéis!$F46)/Papéis!$G46,Papéis!$D46="A2",(Papéis!$E46+Papéis!$F46)/Papéis!$G46/2,Papéis!$D46="A4",(Papéis!$E46+Papéis!$F46)/Papéis!$G46*2,Papéis!$D46="A6",(Papéis!$E46+Papéis!$F46)/Papéis!$G46*8,Papéis!$D46="F1",(Papéis!$E46+Papéis!$F46)/Papéis!$G46/4,Papéis!$D46="50x66",(Papéis!$E46+Papéis!$F46)/Papéis!$G46/2)</f>
        <v>0.1225</v>
      </c>
      <c r="J46" s="89" t="n">
        <f aca="false">Papéis!$I46/2</f>
        <v>0.06125</v>
      </c>
      <c r="K46" s="85" t="n">
        <f aca="false">Papéis!$J46/2</f>
        <v>0.030625</v>
      </c>
      <c r="L46" s="85" t="n">
        <f aca="false">Papéis!$K46/2</f>
        <v>0.0153125</v>
      </c>
      <c r="M46" s="55"/>
      <c r="N46" s="55" t="s">
        <v>158</v>
      </c>
    </row>
    <row r="47" customFormat="false" ht="14.9" hidden="false" customHeight="false" outlineLevel="0" collapsed="false">
      <c r="A47" s="55" t="s">
        <v>86</v>
      </c>
      <c r="B47" s="80" t="n">
        <v>75</v>
      </c>
      <c r="C47" s="57" t="s">
        <v>61</v>
      </c>
      <c r="D47" s="90" t="s">
        <v>74</v>
      </c>
      <c r="E47" s="91" t="n">
        <v>22.9</v>
      </c>
      <c r="F47" s="91"/>
      <c r="G47" s="92" t="n">
        <v>500</v>
      </c>
      <c r="H47" s="92" t="n">
        <f aca="false">Papéis!$G47/500</f>
        <v>1</v>
      </c>
      <c r="I47" s="88" t="n">
        <f aca="false">_xlfn.IFS(Papéis!$D47="A3",(Papéis!$E47+Papéis!$F47)/Papéis!$G47,Papéis!$D47="A2",(Papéis!$E47+Papéis!$F47)/Papéis!$G47/2,Papéis!$D47="A4",(Papéis!$E47+Papéis!$F47)/Papéis!$G47*2,Papéis!$D47="A6",(Papéis!$E47+Papéis!$F47)/Papéis!$G47*8,Papéis!$D47="F1",(Papéis!$E47+Papéis!$F47)/Papéis!$G47/4,Papéis!$D47="50x66",(Papéis!$E47+Papéis!$F47)/Papéis!$G47/2)</f>
        <v>0.0916</v>
      </c>
      <c r="J47" s="84" t="n">
        <f aca="false">Papéis!$I47/2</f>
        <v>0.0458</v>
      </c>
      <c r="K47" s="85" t="n">
        <f aca="false">Papéis!$J47/2</f>
        <v>0.0229</v>
      </c>
      <c r="L47" s="85" t="n">
        <f aca="false">Papéis!$K47/2</f>
        <v>0.01145</v>
      </c>
      <c r="M47" s="55" t="s">
        <v>163</v>
      </c>
      <c r="N47" s="55" t="s">
        <v>144</v>
      </c>
    </row>
    <row r="48" customFormat="false" ht="14.9" hidden="true" customHeight="false" outlineLevel="0" collapsed="false">
      <c r="A48" s="55" t="s">
        <v>86</v>
      </c>
      <c r="B48" s="80" t="n">
        <v>75</v>
      </c>
      <c r="C48" s="81" t="s">
        <v>67</v>
      </c>
      <c r="D48" s="90" t="s">
        <v>74</v>
      </c>
      <c r="E48" s="91" t="n">
        <v>22.9</v>
      </c>
      <c r="F48" s="91"/>
      <c r="G48" s="92" t="n">
        <v>500</v>
      </c>
      <c r="H48" s="92" t="n">
        <f aca="false">Papéis!$G48/500</f>
        <v>1</v>
      </c>
      <c r="I48" s="88" t="n">
        <f aca="false">_xlfn.IFS(Papéis!$D48="A3",(Papéis!$E48+Papéis!$F48)/Papéis!$G48,Papéis!$D48="A2",(Papéis!$E48+Papéis!$F48)/Papéis!$G48/2,Papéis!$D48="A4",(Papéis!$E48+Papéis!$F48)/Papéis!$G48*2,Papéis!$D48="A6",(Papéis!$E48+Papéis!$F48)/Papéis!$G48*8,Papéis!$D48="F1",(Papéis!$E48+Papéis!$F48)/Papéis!$G48/4,Papéis!$D48="50x66",(Papéis!$E48+Papéis!$F48)/Papéis!$G48/2)</f>
        <v>0.0916</v>
      </c>
      <c r="J48" s="84" t="n">
        <f aca="false">Papéis!$I48/2</f>
        <v>0.0458</v>
      </c>
      <c r="K48" s="85" t="n">
        <f aca="false">Papéis!$J48/2</f>
        <v>0.0229</v>
      </c>
      <c r="L48" s="85" t="n">
        <f aca="false">Papéis!$K48/2</f>
        <v>0.01145</v>
      </c>
      <c r="M48" s="55" t="s">
        <v>155</v>
      </c>
      <c r="N48" s="55" t="s">
        <v>144</v>
      </c>
    </row>
    <row r="49" customFormat="false" ht="14.9" hidden="true" customHeight="false" outlineLevel="0" collapsed="false">
      <c r="A49" s="55" t="s">
        <v>86</v>
      </c>
      <c r="B49" s="80" t="n">
        <v>75</v>
      </c>
      <c r="C49" s="57" t="s">
        <v>73</v>
      </c>
      <c r="D49" s="90" t="s">
        <v>74</v>
      </c>
      <c r="E49" s="91" t="n">
        <v>31.1</v>
      </c>
      <c r="F49" s="91"/>
      <c r="G49" s="92" t="n">
        <v>500</v>
      </c>
      <c r="H49" s="92" t="n">
        <f aca="false">Papéis!$G49/500</f>
        <v>1</v>
      </c>
      <c r="I49" s="88" t="n">
        <f aca="false">_xlfn.IFS(Papéis!$D49="A3",(Papéis!$E49+Papéis!$F49)/Papéis!$G49,Papéis!$D49="A2",(Papéis!$E49+Papéis!$F49)/Papéis!$G49/2,Papéis!$D49="A4",(Papéis!$E49+Papéis!$F49)/Papéis!$G49*2,Papéis!$D49="A6",(Papéis!$E49+Papéis!$F49)/Papéis!$G49*8,Papéis!$D49="F1",(Papéis!$E49+Papéis!$F49)/Papéis!$G49/4,Papéis!$D49="50x66",(Papéis!$E49+Papéis!$F49)/Papéis!$G49/2)</f>
        <v>0.1244</v>
      </c>
      <c r="J49" s="89" t="n">
        <f aca="false">Papéis!$I49/2</f>
        <v>0.0622</v>
      </c>
      <c r="K49" s="85" t="n">
        <f aca="false">Papéis!$J49/2</f>
        <v>0.0311</v>
      </c>
      <c r="L49" s="85" t="n">
        <f aca="false">Papéis!$K49/2</f>
        <v>0.01555</v>
      </c>
      <c r="M49" s="55" t="s">
        <v>163</v>
      </c>
      <c r="N49" s="55" t="s">
        <v>144</v>
      </c>
    </row>
    <row r="50" customFormat="false" ht="14.9" hidden="true" customHeight="false" outlineLevel="0" collapsed="false">
      <c r="A50" s="55" t="s">
        <v>86</v>
      </c>
      <c r="B50" s="80" t="n">
        <v>75</v>
      </c>
      <c r="C50" s="57" t="s">
        <v>76</v>
      </c>
      <c r="D50" s="90" t="s">
        <v>74</v>
      </c>
      <c r="E50" s="91" t="n">
        <v>31.1</v>
      </c>
      <c r="F50" s="91"/>
      <c r="G50" s="92" t="n">
        <v>500</v>
      </c>
      <c r="H50" s="92" t="n">
        <f aca="false">Papéis!$G50/500</f>
        <v>1</v>
      </c>
      <c r="I50" s="88" t="n">
        <f aca="false">_xlfn.IFS(Papéis!$D50="A3",(Papéis!$E50+Papéis!$F50)/Papéis!$G50,Papéis!$D50="A2",(Papéis!$E50+Papéis!$F50)/Papéis!$G50/2,Papéis!$D50="A4",(Papéis!$E50+Papéis!$F50)/Papéis!$G50*2,Papéis!$D50="A6",(Papéis!$E50+Papéis!$F50)/Papéis!$G50*8,Papéis!$D50="F1",(Papéis!$E50+Papéis!$F50)/Papéis!$G50/4,Papéis!$D50="50x66",(Papéis!$E50+Papéis!$F50)/Papéis!$G50/2)</f>
        <v>0.1244</v>
      </c>
      <c r="J50" s="89" t="n">
        <f aca="false">Papéis!$I50/2</f>
        <v>0.0622</v>
      </c>
      <c r="K50" s="85" t="n">
        <f aca="false">Papéis!$J50/2</f>
        <v>0.0311</v>
      </c>
      <c r="L50" s="85" t="n">
        <f aca="false">Papéis!$K50/2</f>
        <v>0.01555</v>
      </c>
      <c r="M50" s="55" t="s">
        <v>163</v>
      </c>
      <c r="N50" s="55" t="s">
        <v>144</v>
      </c>
    </row>
    <row r="51" customFormat="false" ht="13.8" hidden="true" customHeight="false" outlineLevel="0" collapsed="false">
      <c r="A51" s="55" t="s">
        <v>86</v>
      </c>
      <c r="B51" s="80" t="n">
        <v>75</v>
      </c>
      <c r="C51" s="57" t="s">
        <v>79</v>
      </c>
      <c r="D51" s="90" t="s">
        <v>74</v>
      </c>
      <c r="E51" s="91" t="n">
        <v>31.1</v>
      </c>
      <c r="F51" s="91"/>
      <c r="G51" s="92" t="n">
        <v>500</v>
      </c>
      <c r="H51" s="92" t="n">
        <f aca="false">Papéis!$G51/500</f>
        <v>1</v>
      </c>
      <c r="I51" s="88" t="n">
        <f aca="false">_xlfn.IFS(Papéis!$D51="A3",(Papéis!$E51+Papéis!$F51)/Papéis!$G51,Papéis!$D51="A2",(Papéis!$E51+Papéis!$F51)/Papéis!$G51/2,Papéis!$D51="A4",(Papéis!$E51+Papéis!$F51)/Papéis!$G51*2,Papéis!$D51="A6",(Papéis!$E51+Papéis!$F51)/Papéis!$G51*8,Papéis!$D51="F1",(Papéis!$E51+Papéis!$F51)/Papéis!$G51/4,Papéis!$D51="50x66",(Papéis!$E51+Papéis!$F51)/Papéis!$G51/2)</f>
        <v>0.1244</v>
      </c>
      <c r="J51" s="89" t="n">
        <f aca="false">Papéis!$I51/2</f>
        <v>0.0622</v>
      </c>
      <c r="K51" s="85" t="n">
        <f aca="false">Papéis!$J51/2</f>
        <v>0.0311</v>
      </c>
      <c r="L51" s="85" t="n">
        <f aca="false">Papéis!$K51/2</f>
        <v>0.01555</v>
      </c>
      <c r="M51" s="55" t="s">
        <v>163</v>
      </c>
      <c r="N51" s="55" t="s">
        <v>144</v>
      </c>
    </row>
    <row r="52" customFormat="false" ht="13.8" hidden="true" customHeight="false" outlineLevel="0" collapsed="false">
      <c r="A52" s="55" t="s">
        <v>86</v>
      </c>
      <c r="B52" s="80" t="n">
        <v>75</v>
      </c>
      <c r="C52" s="57" t="s">
        <v>82</v>
      </c>
      <c r="D52" s="90" t="s">
        <v>74</v>
      </c>
      <c r="E52" s="91" t="n">
        <v>31.1</v>
      </c>
      <c r="F52" s="91"/>
      <c r="G52" s="92" t="n">
        <v>500</v>
      </c>
      <c r="H52" s="92" t="n">
        <f aca="false">Papéis!$G52/500</f>
        <v>1</v>
      </c>
      <c r="I52" s="88" t="n">
        <f aca="false">_xlfn.IFS(Papéis!$D52="A3",(Papéis!$E52+Papéis!$F52)/Papéis!$G52,Papéis!$D52="A2",(Papéis!$E52+Papéis!$F52)/Papéis!$G52/2,Papéis!$D52="A4",(Papéis!$E52+Papéis!$F52)/Papéis!$G52*2,Papéis!$D52="A6",(Papéis!$E52+Papéis!$F52)/Papéis!$G52*8,Papéis!$D52="F1",(Papéis!$E52+Papéis!$F52)/Papéis!$G52/4,Papéis!$D52="50x66",(Papéis!$E52+Papéis!$F52)/Papéis!$G52/2)</f>
        <v>0.1244</v>
      </c>
      <c r="J52" s="89" t="n">
        <f aca="false">Papéis!$I52/2</f>
        <v>0.0622</v>
      </c>
      <c r="K52" s="85" t="n">
        <f aca="false">Papéis!$J52/2</f>
        <v>0.0311</v>
      </c>
      <c r="L52" s="85" t="n">
        <f aca="false">Papéis!$K52/2</f>
        <v>0.01555</v>
      </c>
      <c r="M52" s="55" t="s">
        <v>163</v>
      </c>
      <c r="N52" s="55" t="s">
        <v>144</v>
      </c>
    </row>
    <row r="53" customFormat="false" ht="13.8" hidden="true" customHeight="false" outlineLevel="0" collapsed="false">
      <c r="A53" s="55" t="s">
        <v>86</v>
      </c>
      <c r="B53" s="80" t="n">
        <v>75</v>
      </c>
      <c r="C53" s="57" t="s">
        <v>85</v>
      </c>
      <c r="D53" s="90" t="s">
        <v>74</v>
      </c>
      <c r="E53" s="91" t="n">
        <v>31.1</v>
      </c>
      <c r="F53" s="91"/>
      <c r="G53" s="92" t="n">
        <v>500</v>
      </c>
      <c r="H53" s="92" t="n">
        <f aca="false">Papéis!$G53/500</f>
        <v>1</v>
      </c>
      <c r="I53" s="88" t="n">
        <f aca="false">_xlfn.IFS(Papéis!$D53="A3",(Papéis!$E53+Papéis!$F53)/Papéis!$G53,Papéis!$D53="A2",(Papéis!$E53+Papéis!$F53)/Papéis!$G53/2,Papéis!$D53="A4",(Papéis!$E53+Papéis!$F53)/Papéis!$G53*2,Papéis!$D53="A6",(Papéis!$E53+Papéis!$F53)/Papéis!$G53*8,Papéis!$D53="F1",(Papéis!$E53+Papéis!$F53)/Papéis!$G53/4,Papéis!$D53="50x66",(Papéis!$E53+Papéis!$F53)/Papéis!$G53/2)</f>
        <v>0.1244</v>
      </c>
      <c r="J53" s="89" t="n">
        <f aca="false">Papéis!$I53/2</f>
        <v>0.0622</v>
      </c>
      <c r="K53" s="85" t="n">
        <f aca="false">Papéis!$J53/2</f>
        <v>0.0311</v>
      </c>
      <c r="L53" s="85" t="n">
        <f aca="false">Papéis!$K53/2</f>
        <v>0.01555</v>
      </c>
      <c r="M53" s="55" t="s">
        <v>163</v>
      </c>
      <c r="N53" s="55" t="s">
        <v>144</v>
      </c>
    </row>
    <row r="54" customFormat="false" ht="13.8" hidden="false" customHeight="false" outlineLevel="0" collapsed="false">
      <c r="A54" s="55" t="s">
        <v>86</v>
      </c>
      <c r="B54" s="80" t="n">
        <v>75</v>
      </c>
      <c r="C54" s="81" t="s">
        <v>61</v>
      </c>
      <c r="D54" s="90" t="s">
        <v>68</v>
      </c>
      <c r="E54" s="82" t="n">
        <v>41.46</v>
      </c>
      <c r="G54" s="63" t="n">
        <v>500</v>
      </c>
      <c r="H54" s="63" t="n">
        <f aca="false">Papéis!$G54/500</f>
        <v>1</v>
      </c>
      <c r="I54" s="88" t="n">
        <f aca="false">_xlfn.IFS(Papéis!$D54="A3",(Papéis!$E54+Papéis!$F54)/Papéis!$G54,Papéis!$D54="A2",(Papéis!$E54+Papéis!$F54)/Papéis!$G54/2,Papéis!$D54="A4",(Papéis!$E54+Papéis!$F54)/Papéis!$G54*2,Papéis!$D54="A6",(Papéis!$E54+Papéis!$F54)/Papéis!$G54*8,Papéis!$D54="F1",(Papéis!$E54+Papéis!$F54)/Papéis!$G54/4,Papéis!$D54="50x66",(Papéis!$E54+Papéis!$F54)/Papéis!$G54/2)</f>
        <v>0.08292</v>
      </c>
      <c r="J54" s="89" t="n">
        <f aca="false">Papéis!$I54/2</f>
        <v>0.04146</v>
      </c>
      <c r="K54" s="85" t="n">
        <f aca="false">Papéis!$J54/2</f>
        <v>0.02073</v>
      </c>
      <c r="L54" s="85" t="n">
        <f aca="false">Papéis!$K54/2</f>
        <v>0.010365</v>
      </c>
      <c r="M54" s="55" t="s">
        <v>163</v>
      </c>
      <c r="N54" s="55" t="s">
        <v>165</v>
      </c>
    </row>
    <row r="55" customFormat="false" ht="14.9" hidden="false" customHeight="false" outlineLevel="0" collapsed="false">
      <c r="A55" s="55" t="s">
        <v>86</v>
      </c>
      <c r="B55" s="80" t="n">
        <v>75</v>
      </c>
      <c r="C55" s="57" t="s">
        <v>61</v>
      </c>
      <c r="D55" s="90" t="s">
        <v>74</v>
      </c>
      <c r="E55" s="91" t="n">
        <v>29.9</v>
      </c>
      <c r="F55" s="91"/>
      <c r="G55" s="92" t="n">
        <v>500</v>
      </c>
      <c r="H55" s="92" t="n">
        <f aca="false">Papéis!$G55/500</f>
        <v>1</v>
      </c>
      <c r="I55" s="88" t="n">
        <f aca="false">_xlfn.IFS(Papéis!$D55="A3",(Papéis!$E55+Papéis!$F55)/Papéis!$G55,Papéis!$D55="A2",(Papéis!$E55+Papéis!$F55)/Papéis!$G55/2,Papéis!$D55="A4",(Papéis!$E55+Papéis!$F55)/Papéis!$G55*2,Papéis!$D55="A6",(Papéis!$E55+Papéis!$F55)/Papéis!$G55*8,Papéis!$D55="F1",(Papéis!$E55+Papéis!$F55)/Papéis!$G55/4,Papéis!$D55="50x66",(Papéis!$E55+Papéis!$F55)/Papéis!$G55/2)</f>
        <v>0.1196</v>
      </c>
      <c r="J55" s="84" t="n">
        <f aca="false">Papéis!$I55/2</f>
        <v>0.0598</v>
      </c>
      <c r="K55" s="85" t="n">
        <f aca="false">Papéis!$J55/2</f>
        <v>0.0299</v>
      </c>
      <c r="L55" s="85" t="n">
        <f aca="false">Papéis!$K55/2</f>
        <v>0.01495</v>
      </c>
      <c r="M55" s="55" t="s">
        <v>163</v>
      </c>
      <c r="N55" s="4" t="s">
        <v>166</v>
      </c>
    </row>
    <row r="56" customFormat="false" ht="13.8" hidden="true" customHeight="false" outlineLevel="0" collapsed="false">
      <c r="A56" s="55" t="s">
        <v>167</v>
      </c>
      <c r="B56" s="80" t="n">
        <v>250</v>
      </c>
      <c r="C56" s="81" t="s">
        <v>168</v>
      </c>
      <c r="D56" s="90" t="s">
        <v>83</v>
      </c>
      <c r="E56" s="91" t="n">
        <v>175</v>
      </c>
      <c r="F56" s="91"/>
      <c r="G56" s="92" t="n">
        <v>100</v>
      </c>
      <c r="H56" s="92" t="n">
        <f aca="false">Papéis!$G56/500</f>
        <v>0.2</v>
      </c>
      <c r="I56" s="88" t="n">
        <f aca="false">_xlfn.IFS(Papéis!$D56="A3",(Papéis!$E56+Papéis!$F56)/Papéis!$G56,Papéis!$D56="A2",(Papéis!$E56+Papéis!$F56)/Papéis!$G56/2,Papéis!$D56="A4",(Papéis!$E56+Papéis!$F56)/Papéis!$G56*2,Papéis!$D56="A6",(Papéis!$E56+Papéis!$F56)/Papéis!$G56*8,Papéis!$D56="F1",(Papéis!$E56+Papéis!$F56)/Papéis!$G56/4,Papéis!$D56="50x66",(Papéis!$E56+Papéis!$F56)/Papéis!$G56/2)</f>
        <v>0.4375</v>
      </c>
      <c r="J56" s="89" t="n">
        <f aca="false">Papéis!$I56/2</f>
        <v>0.21875</v>
      </c>
      <c r="K56" s="85" t="n">
        <f aca="false">Papéis!$J56/2</f>
        <v>0.109375</v>
      </c>
      <c r="L56" s="85" t="n">
        <f aca="false">Papéis!$K56/2</f>
        <v>0.0546875</v>
      </c>
      <c r="M56" s="55"/>
      <c r="N56" s="4" t="s">
        <v>158</v>
      </c>
    </row>
    <row r="57" customFormat="false" ht="13.8" hidden="true" customHeight="false" outlineLevel="0" collapsed="false">
      <c r="A57" s="55" t="s">
        <v>84</v>
      </c>
      <c r="B57" s="80" t="n">
        <v>200</v>
      </c>
      <c r="C57" s="81" t="s">
        <v>61</v>
      </c>
      <c r="D57" s="90" t="s">
        <v>74</v>
      </c>
      <c r="E57" s="91" t="n">
        <v>22.9</v>
      </c>
      <c r="F57" s="91"/>
      <c r="G57" s="92" t="n">
        <v>20</v>
      </c>
      <c r="H57" s="92" t="n">
        <f aca="false">Papéis!$G57/500</f>
        <v>0.04</v>
      </c>
      <c r="I57" s="88" t="n">
        <f aca="false">_xlfn.IFS(Papéis!$D57="A3",(Papéis!$E57+Papéis!$F57)/Papéis!$G57,Papéis!$D57="A2",(Papéis!$E57+Papéis!$F57)/Papéis!$G57/2,Papéis!$D57="A4",(Papéis!$E57+Papéis!$F57)/Papéis!$G57*2,Papéis!$D57="A6",(Papéis!$E57+Papéis!$F57)/Papéis!$G57*8,Papéis!$D57="F1",(Papéis!$E57+Papéis!$F57)/Papéis!$G57/4,Papéis!$D57="50x66",(Papéis!$E57+Papéis!$F57)/Papéis!$G57/2)</f>
        <v>2.29</v>
      </c>
      <c r="J57" s="89" t="n">
        <f aca="false">Papéis!$I57/2</f>
        <v>1.145</v>
      </c>
      <c r="K57" s="85" t="n">
        <f aca="false">Papéis!$J57/2</f>
        <v>0.5725</v>
      </c>
      <c r="L57" s="85" t="n">
        <f aca="false">Papéis!$K57/2</f>
        <v>0.28625</v>
      </c>
      <c r="M57" s="55"/>
    </row>
    <row r="58" customFormat="false" ht="14.9" hidden="true" customHeight="false" outlineLevel="0" collapsed="false">
      <c r="A58" s="4" t="s">
        <v>35</v>
      </c>
      <c r="B58" s="93"/>
      <c r="C58" s="93"/>
      <c r="E58" s="82" t="n">
        <f aca="false">SUBTOTAL(109,Papéis!$E$2:$E$57)</f>
        <v>524.26</v>
      </c>
      <c r="F58" s="4"/>
      <c r="I58" s="94" t="n">
        <f aca="false">SUBTOTAL(104,Papéis!$I$2:$I$57)</f>
        <v>0.1225</v>
      </c>
      <c r="J58" s="95" t="n">
        <f aca="false">SUBTOTAL(104,Papéis!$J$2:$J$57)</f>
        <v>0.06125</v>
      </c>
      <c r="K58" s="94" t="n">
        <f aca="false">SUBTOTAL(104,Papéis!$K$2:$K$57)</f>
        <v>0.030625</v>
      </c>
      <c r="L58" s="94" t="n">
        <f aca="false">SUBTOTAL(104,Papéis!$L$2:$L$57)</f>
        <v>0.0153125</v>
      </c>
    </row>
  </sheetData>
  <conditionalFormatting sqref="K58:L58 I58:J1048576 I1:J41 I43:J49">
    <cfRule type="cellIs" priority="2" operator="lessThan" aboveAverage="0" equalAverage="0" bottom="0" percent="0" rank="0" text="" dxfId="81">
      <formula>0.05</formula>
    </cfRule>
  </conditionalFormatting>
  <conditionalFormatting sqref="I58:I1048576 I1:I41 I43:I49">
    <cfRule type="cellIs" priority="3" operator="lessThan" aboveAverage="0" equalAverage="0" bottom="0" percent="0" rank="0" text="" dxfId="82">
      <formula>0.08</formula>
    </cfRule>
  </conditionalFormatting>
  <conditionalFormatting sqref="I58:L58 I2:L41 I43:L49">
    <cfRule type="colorScale" priority="4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0:J50">
    <cfRule type="cellIs" priority="6" operator="lessThan" aboveAverage="0" equalAverage="0" bottom="0" percent="0" rank="0" text="" dxfId="83">
      <formula>0.05</formula>
    </cfRule>
  </conditionalFormatting>
  <conditionalFormatting sqref="I50">
    <cfRule type="cellIs" priority="7" operator="lessThan" aboveAverage="0" equalAverage="0" bottom="0" percent="0" rank="0" text="" dxfId="84">
      <formula>0.08</formula>
    </cfRule>
  </conditionalFormatting>
  <conditionalFormatting sqref="I50:L50">
    <cfRule type="colorScale" priority="8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:I41 I43:I46">
    <cfRule type="colorScale" priority="1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J27:J41 J43:J46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K27:K41 K43:K46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L27:L41 L43:L46">
    <cfRule type="colorScale" priority="1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I42:J42">
    <cfRule type="cellIs" priority="14" operator="lessThan" aboveAverage="0" equalAverage="0" bottom="0" percent="0" rank="0" text="" dxfId="85">
      <formula>0.05</formula>
    </cfRule>
  </conditionalFormatting>
  <conditionalFormatting sqref="I42">
    <cfRule type="cellIs" priority="15" operator="lessThan" aboveAverage="0" equalAverage="0" bottom="0" percent="0" rank="0" text="" dxfId="86">
      <formula>0.08</formula>
    </cfRule>
  </conditionalFormatting>
  <conditionalFormatting sqref="I42:L42">
    <cfRule type="colorScale" priority="16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2">
    <cfRule type="colorScale" priority="18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J42">
    <cfRule type="colorScale" priority="1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K42">
    <cfRule type="colorScale" priority="2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L42">
    <cfRule type="colorScale" priority="2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I55:J55">
    <cfRule type="cellIs" priority="22" operator="lessThan" aboveAverage="0" equalAverage="0" bottom="0" percent="0" rank="0" text="" dxfId="87">
      <formula>0.05</formula>
    </cfRule>
  </conditionalFormatting>
  <conditionalFormatting sqref="I55">
    <cfRule type="cellIs" priority="23" operator="lessThan" aboveAverage="0" equalAverage="0" bottom="0" percent="0" rank="0" text="" dxfId="88">
      <formula>0.08</formula>
    </cfRule>
  </conditionalFormatting>
  <conditionalFormatting sqref="I55:L55">
    <cfRule type="colorScale" priority="24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5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1.43"/>
    <col collapsed="false" customWidth="true" hidden="false" outlineLevel="0" max="3" min="3" style="96" width="11.28"/>
    <col collapsed="false" customWidth="true" hidden="false" outlineLevel="0" max="4" min="4" style="96" width="12.85"/>
    <col collapsed="false" customWidth="true" hidden="false" outlineLevel="0" max="5" min="5" style="96" width="16.14"/>
    <col collapsed="false" customWidth="true" hidden="false" outlineLevel="0" max="6" min="6" style="60" width="17.71"/>
    <col collapsed="false" customWidth="true" hidden="false" outlineLevel="0" max="7" min="7" style="0" width="12.71"/>
    <col collapsed="false" customWidth="true" hidden="false" outlineLevel="0" max="8" min="8" style="96" width="17.71"/>
    <col collapsed="false" customWidth="true" hidden="false" outlineLevel="0" max="9" min="9" style="96" width="16"/>
    <col collapsed="false" customWidth="true" hidden="false" outlineLevel="0" max="10" min="10" style="96" width="16.43"/>
    <col collapsed="false" customWidth="true" hidden="false" outlineLevel="0" max="11" min="11" style="64" width="16.43"/>
    <col collapsed="false" customWidth="true" hidden="false" outlineLevel="0" max="12" min="12" style="0" width="11.85"/>
    <col collapsed="false" customWidth="true" hidden="false" outlineLevel="0" max="13" min="13" style="0" width="14.14"/>
    <col collapsed="false" customWidth="true" hidden="false" outlineLevel="0" max="14" min="14" style="0" width="12.57"/>
  </cols>
  <sheetData>
    <row r="1" customFormat="false" ht="13.8" hidden="false" customHeight="false" outlineLevel="0" collapsed="false">
      <c r="A1" s="97" t="s">
        <v>169</v>
      </c>
      <c r="B1" s="97" t="s">
        <v>170</v>
      </c>
      <c r="C1" s="98" t="s">
        <v>171</v>
      </c>
      <c r="D1" s="98" t="s">
        <v>172</v>
      </c>
      <c r="E1" s="98" t="s">
        <v>173</v>
      </c>
      <c r="F1" s="99" t="s">
        <v>174</v>
      </c>
      <c r="G1" s="99" t="s">
        <v>175</v>
      </c>
      <c r="H1" s="98" t="s">
        <v>176</v>
      </c>
      <c r="I1" s="98" t="s">
        <v>177</v>
      </c>
      <c r="J1" s="98" t="s">
        <v>178</v>
      </c>
      <c r="K1" s="100" t="s">
        <v>179</v>
      </c>
      <c r="L1" s="99" t="s">
        <v>180</v>
      </c>
      <c r="M1" s="97" t="s">
        <v>181</v>
      </c>
      <c r="N1" s="97" t="s">
        <v>182</v>
      </c>
    </row>
    <row r="2" customFormat="false" ht="13.8" hidden="false" customHeight="false" outlineLevel="0" collapsed="false">
      <c r="A2" s="97" t="s">
        <v>183</v>
      </c>
      <c r="B2" s="97" t="s">
        <v>184</v>
      </c>
      <c r="C2" s="98" t="s">
        <v>61</v>
      </c>
      <c r="D2" s="98" t="s">
        <v>77</v>
      </c>
      <c r="E2" s="98" t="s">
        <v>185</v>
      </c>
      <c r="F2" s="99" t="n">
        <v>9.1</v>
      </c>
      <c r="G2" s="99" t="n">
        <v>0</v>
      </c>
      <c r="H2" s="98" t="n">
        <v>12</v>
      </c>
      <c r="I2" s="98" t="n">
        <v>70</v>
      </c>
      <c r="J2" s="98" t="n">
        <v>840</v>
      </c>
      <c r="K2" s="100" t="n">
        <f aca="false">Etiquetas!$F2/Etiquetas!$H2</f>
        <v>0.758333333333333</v>
      </c>
      <c r="L2" s="99" t="n">
        <f aca="false">(F2+Etiquetas!$G2)/J2</f>
        <v>0.0108333333333333</v>
      </c>
      <c r="M2" s="97" t="s">
        <v>186</v>
      </c>
      <c r="N2" s="97" t="s">
        <v>144</v>
      </c>
    </row>
    <row r="3" customFormat="false" ht="13.8" hidden="false" customHeight="false" outlineLevel="0" collapsed="false">
      <c r="A3" s="97" t="s">
        <v>187</v>
      </c>
      <c r="B3" s="97" t="s">
        <v>188</v>
      </c>
      <c r="C3" s="98" t="s">
        <v>61</v>
      </c>
      <c r="D3" s="98"/>
      <c r="E3" s="98" t="s">
        <v>185</v>
      </c>
      <c r="F3" s="99" t="n">
        <v>5.7</v>
      </c>
      <c r="G3" s="99" t="n">
        <v>0</v>
      </c>
      <c r="H3" s="98" t="n">
        <v>5</v>
      </c>
      <c r="I3" s="98" t="n">
        <v>21</v>
      </c>
      <c r="J3" s="98" t="n">
        <v>105</v>
      </c>
      <c r="K3" s="100" t="n">
        <f aca="false">Etiquetas!$F3/Etiquetas!$H3</f>
        <v>1.14</v>
      </c>
      <c r="L3" s="99" t="n">
        <f aca="false">(F3+Etiquetas!$G3)/J3</f>
        <v>0.0542857142857143</v>
      </c>
      <c r="M3" s="97" t="s">
        <v>186</v>
      </c>
      <c r="N3" s="97" t="s">
        <v>144</v>
      </c>
    </row>
    <row r="4" customFormat="false" ht="13.8" hidden="false" customHeight="false" outlineLevel="0" collapsed="false">
      <c r="A4" s="97" t="s">
        <v>35</v>
      </c>
      <c r="B4" s="97"/>
      <c r="C4" s="98"/>
      <c r="D4" s="98"/>
      <c r="E4" s="98"/>
      <c r="F4" s="101" t="n">
        <f aca="false">SUBTOTAL(109,Etiquetas!$F$2:$F$3)</f>
        <v>14.8</v>
      </c>
      <c r="G4" s="101" t="n">
        <f aca="false">SUBTOTAL(109,Etiquetas!$G$2:$G$3)</f>
        <v>0</v>
      </c>
      <c r="H4" s="98" t="n">
        <f aca="false">SUBTOTAL(109,Etiquetas!$H$2:$H$3)</f>
        <v>17</v>
      </c>
      <c r="I4" s="98" t="n">
        <f aca="false">SUBTOTAL(109,Etiquetas!$I$2:$I$3)</f>
        <v>91</v>
      </c>
      <c r="J4" s="98"/>
      <c r="K4" s="100" t="n">
        <f aca="false">SUBTOTAL(109,Etiquetas!$K$2:$K$3)</f>
        <v>1.89833333333333</v>
      </c>
      <c r="L4" s="101" t="n">
        <f aca="false">SUBTOTAL(109,Etiquetas!$L$2:$L$3)</f>
        <v>0.0651190476190476</v>
      </c>
      <c r="M4" s="97"/>
      <c r="N4" s="97" t="n">
        <f aca="false">SUBTOTAL(103,Etiquetas!$N$2:$N$3)</f>
        <v>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2015-01-28T17:01:49Z</dcterms:created>
  <dc:creator>Rafael Vieira</dc:creator>
  <dc:description/>
  <dc:language>pt-BR</dc:language>
  <cp:lastModifiedBy>Emerson Missun</cp:lastModifiedBy>
  <cp:lastPrinted>2020-05-02T15:13:34Z</cp:lastPrinted>
  <dcterms:modified xsi:type="dcterms:W3CDTF">2023-02-24T00:36:45Z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05824461-57a4-40d0-9a3e-031a21f79228</vt:lpwstr>
  </property>
</Properties>
</file>