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9.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worksheets/sheet8.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2.xml" ContentType="application/vnd.openxmlformats-officedocument.spreadsheetml.comments+xml"/>
  <Override PartName="/xl/comments1.xml" ContentType="application/vnd.openxmlformats-officedocument.spreadsheetml.comment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Work\ARRC update 2020-08-27\"/>
    </mc:Choice>
  </mc:AlternateContent>
  <bookViews>
    <workbookView xWindow="0" yWindow="0" windowWidth="16230" windowHeight="5415" tabRatio="841" activeTab="3"/>
  </bookViews>
  <sheets>
    <sheet name="Loan Details" sheetId="1" r:id="rId1"/>
    <sheet name="FRBNY SOFR Data" sheetId="4" r:id="rId2"/>
    <sheet name=" Summary of Results " sheetId="19" r:id="rId3"/>
    <sheet name="1a Simple Int with int prepay" sheetId="50" r:id="rId4"/>
    <sheet name="1b Simple Int NO int prepay" sheetId="51" r:id="rId5"/>
    <sheet name="2a Comp Bal int prepay" sheetId="52" r:id="rId6"/>
    <sheet name="2b Comp Bal NO int prepay" sheetId="54" r:id="rId7"/>
    <sheet name="3a Comp Rate int prepay" sheetId="46" r:id="rId8"/>
    <sheet name="3b Comp Rate NO int prepay" sheetId="47" r:id="rId9"/>
    <sheet name="4a Comp Rate NCCR int prepay" sheetId="48" r:id="rId10"/>
    <sheet name="4b Comp Rate NCCR NO int prepay" sheetId="49" r:id="rId11"/>
    <sheet name="Pro Rata distribution" sheetId="3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 l="1"/>
  <c r="I17" i="1"/>
  <c r="J17" i="1"/>
  <c r="L17" i="1"/>
  <c r="H18" i="1"/>
  <c r="I18" i="1"/>
  <c r="J18" i="1"/>
  <c r="L18" i="1"/>
  <c r="H19" i="1"/>
  <c r="I19" i="1"/>
  <c r="J19" i="1"/>
  <c r="L19" i="1"/>
  <c r="L20" i="1" s="1"/>
  <c r="H20" i="1"/>
  <c r="I20" i="1"/>
  <c r="J20" i="1"/>
  <c r="E28" i="47" l="1"/>
  <c r="E27" i="47"/>
  <c r="E26" i="47"/>
  <c r="E25" i="47"/>
  <c r="E24" i="47"/>
  <c r="E23" i="47"/>
  <c r="E22" i="47"/>
  <c r="E21" i="47"/>
  <c r="E20" i="47"/>
  <c r="E19" i="47"/>
  <c r="E18" i="47"/>
  <c r="E17" i="47"/>
  <c r="E16" i="47"/>
  <c r="E15" i="47"/>
  <c r="E14" i="47"/>
  <c r="E13" i="47"/>
  <c r="E12" i="47"/>
  <c r="E11" i="47"/>
  <c r="E10" i="47"/>
  <c r="E8" i="47"/>
  <c r="E7" i="47"/>
  <c r="E6" i="47"/>
  <c r="D28" i="47"/>
  <c r="D27" i="47"/>
  <c r="D26" i="47"/>
  <c r="D25" i="47"/>
  <c r="D24" i="47"/>
  <c r="D23" i="47"/>
  <c r="D22" i="47"/>
  <c r="D21" i="47"/>
  <c r="D20" i="47"/>
  <c r="D19" i="47"/>
  <c r="D18" i="47"/>
  <c r="D17" i="47"/>
  <c r="D16" i="47"/>
  <c r="D15" i="47"/>
  <c r="D14" i="47"/>
  <c r="D13" i="47"/>
  <c r="D12" i="47"/>
  <c r="D11" i="47"/>
  <c r="D10" i="47"/>
  <c r="D8" i="47"/>
  <c r="D7" i="47"/>
  <c r="D6" i="47"/>
  <c r="K9" i="49"/>
  <c r="K9" i="48"/>
  <c r="L9" i="47"/>
  <c r="L9" i="46"/>
  <c r="L9" i="54"/>
  <c r="L9" i="52"/>
  <c r="L9" i="51"/>
  <c r="D28" i="49"/>
  <c r="D27" i="49"/>
  <c r="D26" i="49"/>
  <c r="D25" i="49"/>
  <c r="D24" i="49"/>
  <c r="D23" i="49"/>
  <c r="D22" i="49"/>
  <c r="D21" i="49"/>
  <c r="D20" i="49"/>
  <c r="D19" i="49"/>
  <c r="D18" i="49"/>
  <c r="D17" i="49"/>
  <c r="D16" i="49"/>
  <c r="D15" i="49"/>
  <c r="D14" i="49"/>
  <c r="D13" i="49"/>
  <c r="D12" i="49"/>
  <c r="D11" i="49"/>
  <c r="D10" i="49"/>
  <c r="D8" i="49"/>
  <c r="D7" i="49"/>
  <c r="D6" i="49"/>
  <c r="D28" i="48"/>
  <c r="D27" i="48"/>
  <c r="D26" i="48"/>
  <c r="D25" i="48"/>
  <c r="D24" i="48"/>
  <c r="D23" i="48"/>
  <c r="D22" i="48"/>
  <c r="D21" i="48"/>
  <c r="D20" i="48"/>
  <c r="D19" i="48"/>
  <c r="D18" i="48"/>
  <c r="D17" i="48"/>
  <c r="D16" i="48"/>
  <c r="D15" i="48"/>
  <c r="D14" i="48"/>
  <c r="D13" i="48"/>
  <c r="D12" i="48"/>
  <c r="D11" i="48"/>
  <c r="D10" i="48"/>
  <c r="D8" i="48"/>
  <c r="D7" i="48"/>
  <c r="D6" i="48"/>
  <c r="D28" i="46"/>
  <c r="D27" i="46"/>
  <c r="D26" i="46"/>
  <c r="D25" i="46"/>
  <c r="D24" i="46"/>
  <c r="D23" i="46"/>
  <c r="D22" i="46"/>
  <c r="D21" i="46"/>
  <c r="D20" i="46"/>
  <c r="D19" i="46"/>
  <c r="D18" i="46"/>
  <c r="D17" i="46"/>
  <c r="D16" i="46"/>
  <c r="D15" i="46"/>
  <c r="D14" i="46"/>
  <c r="D13" i="46"/>
  <c r="D12" i="46"/>
  <c r="D11" i="46"/>
  <c r="D10" i="46"/>
  <c r="D8" i="46"/>
  <c r="D7" i="46"/>
  <c r="D6" i="46"/>
  <c r="D28" i="54"/>
  <c r="D27" i="54"/>
  <c r="D26" i="54"/>
  <c r="D25" i="54"/>
  <c r="D24" i="54"/>
  <c r="D23" i="54"/>
  <c r="D22" i="54"/>
  <c r="D21" i="54"/>
  <c r="D20" i="54"/>
  <c r="D19" i="54"/>
  <c r="D18" i="54"/>
  <c r="D17" i="54"/>
  <c r="D16" i="54"/>
  <c r="D15" i="54"/>
  <c r="D14" i="54"/>
  <c r="D13" i="54"/>
  <c r="D12" i="54"/>
  <c r="D11" i="54"/>
  <c r="D10" i="54"/>
  <c r="D8" i="54"/>
  <c r="D7" i="54"/>
  <c r="D6" i="54"/>
  <c r="D28" i="52"/>
  <c r="D27" i="52"/>
  <c r="D26" i="52"/>
  <c r="D25" i="52"/>
  <c r="D24" i="52"/>
  <c r="D23" i="52"/>
  <c r="D22" i="52"/>
  <c r="D21" i="52"/>
  <c r="D20" i="52"/>
  <c r="D19" i="52"/>
  <c r="D18" i="52"/>
  <c r="D17" i="52"/>
  <c r="D16" i="52"/>
  <c r="D15" i="52"/>
  <c r="D14" i="52"/>
  <c r="D13" i="52"/>
  <c r="D12" i="52"/>
  <c r="D11" i="52"/>
  <c r="D10" i="52"/>
  <c r="D8" i="52"/>
  <c r="D7" i="52"/>
  <c r="D6" i="52"/>
  <c r="D28" i="51"/>
  <c r="D27" i="51"/>
  <c r="D26" i="51"/>
  <c r="D25" i="51"/>
  <c r="D24" i="51"/>
  <c r="D23" i="51"/>
  <c r="D22" i="51"/>
  <c r="D21" i="51"/>
  <c r="D20" i="51"/>
  <c r="D19" i="51"/>
  <c r="D18" i="51"/>
  <c r="D17" i="51"/>
  <c r="D16" i="51"/>
  <c r="D15" i="51"/>
  <c r="D14" i="51"/>
  <c r="D13" i="51"/>
  <c r="D12" i="51"/>
  <c r="D11" i="51"/>
  <c r="D10" i="51"/>
  <c r="D8" i="51"/>
  <c r="D7" i="51"/>
  <c r="D6" i="51"/>
  <c r="D28" i="50"/>
  <c r="D27" i="50"/>
  <c r="D26" i="50"/>
  <c r="D25" i="50"/>
  <c r="D24" i="50"/>
  <c r="D23" i="50"/>
  <c r="D22" i="50"/>
  <c r="D21" i="50"/>
  <c r="D20" i="50"/>
  <c r="D19" i="50"/>
  <c r="D18" i="50"/>
  <c r="D17" i="50"/>
  <c r="D16" i="50"/>
  <c r="D15" i="50"/>
  <c r="D14" i="50"/>
  <c r="D13" i="50"/>
  <c r="D12" i="50"/>
  <c r="D11" i="50"/>
  <c r="D10" i="50"/>
  <c r="D8" i="50"/>
  <c r="D7" i="50"/>
  <c r="D6" i="50"/>
  <c r="J27" i="1"/>
  <c r="J26" i="1"/>
  <c r="J25" i="1"/>
  <c r="J24" i="1"/>
  <c r="J23" i="1"/>
  <c r="J22" i="1"/>
  <c r="J21" i="1"/>
  <c r="J16" i="1"/>
  <c r="J15" i="1"/>
  <c r="J14" i="1"/>
  <c r="J13" i="1"/>
  <c r="J12" i="1"/>
  <c r="J11" i="1"/>
  <c r="J10" i="1"/>
  <c r="J9" i="1"/>
  <c r="J7" i="1"/>
  <c r="J6" i="1"/>
  <c r="J5" i="1"/>
  <c r="L9" i="50"/>
  <c r="L15" i="51" l="1"/>
  <c r="L28" i="51"/>
  <c r="L14" i="52"/>
  <c r="L8" i="52"/>
  <c r="L6" i="54"/>
  <c r="M7" i="54" s="1"/>
  <c r="L23" i="54"/>
  <c r="L27" i="54"/>
  <c r="L24" i="51"/>
  <c r="L10" i="52"/>
  <c r="L15" i="52"/>
  <c r="L23" i="52"/>
  <c r="L8" i="47"/>
  <c r="L24" i="46"/>
  <c r="F29" i="50"/>
  <c r="F6" i="50"/>
  <c r="F29" i="51"/>
  <c r="F6" i="51"/>
  <c r="F29" i="52"/>
  <c r="F6" i="52"/>
  <c r="F29" i="54"/>
  <c r="F6" i="54"/>
  <c r="F29" i="46"/>
  <c r="F6" i="46"/>
  <c r="F29" i="47"/>
  <c r="F6" i="47"/>
  <c r="F29" i="48"/>
  <c r="F6" i="48"/>
  <c r="F29" i="49"/>
  <c r="F6" i="49"/>
  <c r="G29" i="46"/>
  <c r="G29" i="52"/>
  <c r="G29" i="51"/>
  <c r="A6" i="51"/>
  <c r="E6" i="51"/>
  <c r="L6" i="51" s="1"/>
  <c r="M7" i="51" s="1"/>
  <c r="A28" i="49"/>
  <c r="A29" i="49" s="1"/>
  <c r="A27" i="49"/>
  <c r="A26" i="49"/>
  <c r="A25" i="49"/>
  <c r="A24" i="49"/>
  <c r="A23" i="49"/>
  <c r="A22" i="49"/>
  <c r="A21" i="49"/>
  <c r="A20" i="49"/>
  <c r="A19" i="49"/>
  <c r="A18" i="49"/>
  <c r="A17" i="49"/>
  <c r="A16" i="49"/>
  <c r="A15" i="49"/>
  <c r="A14" i="49"/>
  <c r="A13" i="49"/>
  <c r="A12" i="49"/>
  <c r="A11" i="49"/>
  <c r="A10" i="49"/>
  <c r="A9" i="49"/>
  <c r="A8" i="49"/>
  <c r="A7" i="49"/>
  <c r="A6" i="49"/>
  <c r="A28" i="48"/>
  <c r="A29" i="48" s="1"/>
  <c r="A27" i="48"/>
  <c r="A26" i="48"/>
  <c r="A25" i="48"/>
  <c r="A24" i="48"/>
  <c r="A23" i="48"/>
  <c r="A22" i="48"/>
  <c r="A21" i="48"/>
  <c r="A20" i="48"/>
  <c r="A19" i="48"/>
  <c r="A18" i="48"/>
  <c r="A17" i="48"/>
  <c r="A16" i="48"/>
  <c r="A15" i="48"/>
  <c r="A14" i="48"/>
  <c r="A13" i="48"/>
  <c r="A12" i="48"/>
  <c r="A11" i="48"/>
  <c r="A10" i="48"/>
  <c r="A9" i="48"/>
  <c r="A8" i="48"/>
  <c r="A7" i="48"/>
  <c r="A6" i="48"/>
  <c r="A28" i="47"/>
  <c r="A29" i="47" s="1"/>
  <c r="A27" i="47"/>
  <c r="A26" i="47"/>
  <c r="A25" i="47"/>
  <c r="A24" i="47"/>
  <c r="A23" i="47"/>
  <c r="A22" i="47"/>
  <c r="A21" i="47"/>
  <c r="A20" i="47"/>
  <c r="A19" i="47"/>
  <c r="A18" i="47"/>
  <c r="A17" i="47"/>
  <c r="A16" i="47"/>
  <c r="A15" i="47"/>
  <c r="A14" i="47"/>
  <c r="A13" i="47"/>
  <c r="A12" i="47"/>
  <c r="A11" i="47"/>
  <c r="A10" i="47"/>
  <c r="A9" i="47"/>
  <c r="A8" i="47"/>
  <c r="A7" i="47"/>
  <c r="A6" i="47"/>
  <c r="A28" i="46"/>
  <c r="A29" i="46" s="1"/>
  <c r="A27" i="46"/>
  <c r="A26" i="46"/>
  <c r="A25" i="46"/>
  <c r="A24" i="46"/>
  <c r="A23" i="46"/>
  <c r="A22" i="46"/>
  <c r="A21" i="46"/>
  <c r="A20" i="46"/>
  <c r="A19" i="46"/>
  <c r="A18" i="46"/>
  <c r="A17" i="46"/>
  <c r="A16" i="46"/>
  <c r="A15" i="46"/>
  <c r="A14" i="46"/>
  <c r="A13" i="46"/>
  <c r="A12" i="46"/>
  <c r="A11" i="46"/>
  <c r="A10" i="46"/>
  <c r="A9" i="46"/>
  <c r="A8" i="46"/>
  <c r="A7" i="46"/>
  <c r="A6" i="46"/>
  <c r="A28" i="54"/>
  <c r="A29" i="54" s="1"/>
  <c r="A27" i="54"/>
  <c r="A26" i="54"/>
  <c r="A25" i="54"/>
  <c r="A24" i="54"/>
  <c r="A23" i="54"/>
  <c r="A22" i="54"/>
  <c r="A21" i="54"/>
  <c r="A20" i="54"/>
  <c r="A19" i="54"/>
  <c r="A18" i="54"/>
  <c r="A17" i="54"/>
  <c r="A16" i="54"/>
  <c r="A15" i="54"/>
  <c r="A14" i="54"/>
  <c r="A13" i="54"/>
  <c r="A12" i="54"/>
  <c r="A11" i="54"/>
  <c r="A10" i="54"/>
  <c r="A9" i="54"/>
  <c r="A8" i="54"/>
  <c r="A7" i="54"/>
  <c r="A6" i="54"/>
  <c r="A28" i="52"/>
  <c r="A29" i="52" s="1"/>
  <c r="A27" i="52"/>
  <c r="A26" i="52"/>
  <c r="A25" i="52"/>
  <c r="A24" i="52"/>
  <c r="A23" i="52"/>
  <c r="A22" i="52"/>
  <c r="A21" i="52"/>
  <c r="A20" i="52"/>
  <c r="A19" i="52"/>
  <c r="A18" i="52"/>
  <c r="A17" i="52"/>
  <c r="A16" i="52"/>
  <c r="A15" i="52"/>
  <c r="A14" i="52"/>
  <c r="A13" i="52"/>
  <c r="A12" i="52"/>
  <c r="A11" i="52"/>
  <c r="A10" i="52"/>
  <c r="A9" i="52"/>
  <c r="A8" i="52"/>
  <c r="A7" i="52"/>
  <c r="A6" i="52"/>
  <c r="A28" i="51"/>
  <c r="A29" i="51" s="1"/>
  <c r="A27" i="51"/>
  <c r="A26" i="51"/>
  <c r="A25" i="51"/>
  <c r="A24" i="51"/>
  <c r="A23" i="51"/>
  <c r="A22" i="51"/>
  <c r="A21" i="51"/>
  <c r="A20" i="51"/>
  <c r="A19" i="51"/>
  <c r="A18" i="51"/>
  <c r="A17" i="51"/>
  <c r="A16" i="51"/>
  <c r="A15" i="51"/>
  <c r="A14" i="51"/>
  <c r="A13" i="51"/>
  <c r="A12" i="51"/>
  <c r="A11" i="51"/>
  <c r="A10" i="51"/>
  <c r="A9" i="51"/>
  <c r="A8" i="51"/>
  <c r="A7" i="51"/>
  <c r="H9" i="50"/>
  <c r="H9" i="51"/>
  <c r="H9" i="52"/>
  <c r="H9" i="54"/>
  <c r="H9" i="46"/>
  <c r="H9" i="47"/>
  <c r="H9" i="49"/>
  <c r="E28" i="49"/>
  <c r="K28" i="49" s="1"/>
  <c r="E27" i="49"/>
  <c r="K27" i="49" s="1"/>
  <c r="E26" i="49"/>
  <c r="K26" i="49" s="1"/>
  <c r="E25" i="49"/>
  <c r="K25" i="49" s="1"/>
  <c r="E24" i="49"/>
  <c r="K24" i="49" s="1"/>
  <c r="E23" i="49"/>
  <c r="K23" i="49" s="1"/>
  <c r="E22" i="49"/>
  <c r="K22" i="49" s="1"/>
  <c r="E21" i="49"/>
  <c r="K21" i="49" s="1"/>
  <c r="E20" i="49"/>
  <c r="K20" i="49" s="1"/>
  <c r="E19" i="49"/>
  <c r="K19" i="49" s="1"/>
  <c r="E18" i="49"/>
  <c r="K18" i="49" s="1"/>
  <c r="E17" i="49"/>
  <c r="K17" i="49" s="1"/>
  <c r="E16" i="49"/>
  <c r="K16" i="49" s="1"/>
  <c r="E15" i="49"/>
  <c r="K15" i="49" s="1"/>
  <c r="E14" i="49"/>
  <c r="K14" i="49" s="1"/>
  <c r="E13" i="49"/>
  <c r="K13" i="49" s="1"/>
  <c r="E12" i="49"/>
  <c r="K12" i="49" s="1"/>
  <c r="E11" i="49"/>
  <c r="K11" i="49" s="1"/>
  <c r="E10" i="49"/>
  <c r="K10" i="49" s="1"/>
  <c r="E8" i="49"/>
  <c r="K8" i="49" s="1"/>
  <c r="E7" i="49"/>
  <c r="K7" i="49" s="1"/>
  <c r="E6" i="49"/>
  <c r="K6" i="49" s="1"/>
  <c r="E28" i="48"/>
  <c r="K28" i="48" s="1"/>
  <c r="E27" i="48"/>
  <c r="K27" i="48" s="1"/>
  <c r="E26" i="48"/>
  <c r="K26" i="48" s="1"/>
  <c r="E25" i="48"/>
  <c r="K25" i="48" s="1"/>
  <c r="E24" i="48"/>
  <c r="K24" i="48" s="1"/>
  <c r="E23" i="48"/>
  <c r="K23" i="48" s="1"/>
  <c r="E22" i="48"/>
  <c r="K22" i="48" s="1"/>
  <c r="E21" i="48"/>
  <c r="K21" i="48" s="1"/>
  <c r="E20" i="48"/>
  <c r="K20" i="48" s="1"/>
  <c r="E19" i="48"/>
  <c r="K19" i="48" s="1"/>
  <c r="E18" i="48"/>
  <c r="K18" i="48" s="1"/>
  <c r="E17" i="48"/>
  <c r="K17" i="48" s="1"/>
  <c r="E16" i="48"/>
  <c r="K16" i="48" s="1"/>
  <c r="E15" i="48"/>
  <c r="K15" i="48" s="1"/>
  <c r="E14" i="48"/>
  <c r="K14" i="48" s="1"/>
  <c r="E13" i="48"/>
  <c r="K13" i="48" s="1"/>
  <c r="E12" i="48"/>
  <c r="K12" i="48" s="1"/>
  <c r="E11" i="48"/>
  <c r="K11" i="48" s="1"/>
  <c r="E10" i="48"/>
  <c r="K10" i="48" s="1"/>
  <c r="H9" i="48"/>
  <c r="E8" i="48"/>
  <c r="K8" i="48" s="1"/>
  <c r="E7" i="48"/>
  <c r="K7" i="48" s="1"/>
  <c r="E6" i="48"/>
  <c r="K6" i="48" s="1"/>
  <c r="L28" i="47"/>
  <c r="L27" i="47"/>
  <c r="L26" i="47"/>
  <c r="L25" i="47"/>
  <c r="L24" i="47"/>
  <c r="L23" i="47"/>
  <c r="L22" i="47"/>
  <c r="L21" i="47"/>
  <c r="L20" i="47"/>
  <c r="L19" i="47"/>
  <c r="L18" i="47"/>
  <c r="L17" i="47"/>
  <c r="L16" i="47"/>
  <c r="L15" i="47"/>
  <c r="L14" i="47"/>
  <c r="L13" i="47"/>
  <c r="L12" i="47"/>
  <c r="L11" i="47"/>
  <c r="L10" i="47"/>
  <c r="L7" i="47"/>
  <c r="L6" i="47"/>
  <c r="E28" i="46"/>
  <c r="L28" i="46" s="1"/>
  <c r="E27" i="46"/>
  <c r="L27" i="46" s="1"/>
  <c r="E26" i="46"/>
  <c r="L26" i="46" s="1"/>
  <c r="E25" i="46"/>
  <c r="L25" i="46" s="1"/>
  <c r="E24" i="46"/>
  <c r="E23" i="46"/>
  <c r="L23" i="46" s="1"/>
  <c r="E22" i="46"/>
  <c r="L22" i="46" s="1"/>
  <c r="E21" i="46"/>
  <c r="L21" i="46" s="1"/>
  <c r="E20" i="46"/>
  <c r="L20" i="46" s="1"/>
  <c r="E19" i="46"/>
  <c r="L19" i="46" s="1"/>
  <c r="E18" i="46"/>
  <c r="L18" i="46" s="1"/>
  <c r="E17" i="46"/>
  <c r="L17" i="46" s="1"/>
  <c r="E16" i="46"/>
  <c r="L16" i="46" s="1"/>
  <c r="E15" i="46"/>
  <c r="L15" i="46" s="1"/>
  <c r="E14" i="46"/>
  <c r="L14" i="46" s="1"/>
  <c r="E13" i="46"/>
  <c r="L13" i="46" s="1"/>
  <c r="E12" i="46"/>
  <c r="L12" i="46" s="1"/>
  <c r="E11" i="46"/>
  <c r="L11" i="46" s="1"/>
  <c r="E10" i="46"/>
  <c r="L10" i="46" s="1"/>
  <c r="E8" i="46"/>
  <c r="L8" i="46" s="1"/>
  <c r="E7" i="46"/>
  <c r="L7" i="46" s="1"/>
  <c r="E6" i="46"/>
  <c r="L6" i="46" s="1"/>
  <c r="E28" i="52"/>
  <c r="L28" i="52" s="1"/>
  <c r="E27" i="52"/>
  <c r="L27" i="52" s="1"/>
  <c r="E26" i="52"/>
  <c r="L26" i="52" s="1"/>
  <c r="E25" i="52"/>
  <c r="L25" i="52" s="1"/>
  <c r="E24" i="52"/>
  <c r="L24" i="52" s="1"/>
  <c r="E23" i="52"/>
  <c r="E22" i="52"/>
  <c r="L22" i="52" s="1"/>
  <c r="E21" i="52"/>
  <c r="L21" i="52" s="1"/>
  <c r="E20" i="52"/>
  <c r="L20" i="52" s="1"/>
  <c r="E19" i="52"/>
  <c r="L19" i="52" s="1"/>
  <c r="E18" i="52"/>
  <c r="L18" i="52" s="1"/>
  <c r="E17" i="52"/>
  <c r="L17" i="52" s="1"/>
  <c r="E16" i="52"/>
  <c r="L16" i="52" s="1"/>
  <c r="E15" i="52"/>
  <c r="E14" i="52"/>
  <c r="E13" i="52"/>
  <c r="L13" i="52" s="1"/>
  <c r="E12" i="52"/>
  <c r="L12" i="52" s="1"/>
  <c r="E11" i="52"/>
  <c r="L11" i="52" s="1"/>
  <c r="E10" i="52"/>
  <c r="E8" i="52"/>
  <c r="E7" i="52"/>
  <c r="L7" i="52" s="1"/>
  <c r="E6" i="52"/>
  <c r="L6" i="52" s="1"/>
  <c r="M7" i="52" s="1"/>
  <c r="E28" i="51"/>
  <c r="E27" i="51"/>
  <c r="L27" i="51" s="1"/>
  <c r="E26" i="51"/>
  <c r="L26" i="51" s="1"/>
  <c r="E25" i="51"/>
  <c r="L25" i="51" s="1"/>
  <c r="E24" i="51"/>
  <c r="E23" i="51"/>
  <c r="L23" i="51" s="1"/>
  <c r="E22" i="51"/>
  <c r="L22" i="51" s="1"/>
  <c r="E21" i="51"/>
  <c r="L21" i="51" s="1"/>
  <c r="E20" i="51"/>
  <c r="L20" i="51" s="1"/>
  <c r="E19" i="51"/>
  <c r="L19" i="51" s="1"/>
  <c r="E18" i="51"/>
  <c r="L18" i="51" s="1"/>
  <c r="E17" i="51"/>
  <c r="L17" i="51" s="1"/>
  <c r="E16" i="51"/>
  <c r="L16" i="51" s="1"/>
  <c r="E15" i="51"/>
  <c r="E14" i="51"/>
  <c r="L14" i="51" s="1"/>
  <c r="E13" i="51"/>
  <c r="L13" i="51" s="1"/>
  <c r="E12" i="51"/>
  <c r="L12" i="51" s="1"/>
  <c r="E11" i="51"/>
  <c r="L11" i="51" s="1"/>
  <c r="E10" i="51"/>
  <c r="L10" i="51" s="1"/>
  <c r="E8" i="51"/>
  <c r="L8" i="51" s="1"/>
  <c r="E7" i="51"/>
  <c r="L7" i="51" s="1"/>
  <c r="E28" i="50"/>
  <c r="L28" i="50" s="1"/>
  <c r="E27" i="50"/>
  <c r="L27" i="50" s="1"/>
  <c r="E26" i="50"/>
  <c r="L26" i="50" s="1"/>
  <c r="E25" i="50"/>
  <c r="L25" i="50" s="1"/>
  <c r="E24" i="50"/>
  <c r="L24" i="50" s="1"/>
  <c r="E23" i="50"/>
  <c r="L23" i="50" s="1"/>
  <c r="E22" i="50"/>
  <c r="L22" i="50" s="1"/>
  <c r="E21" i="50"/>
  <c r="L21" i="50" s="1"/>
  <c r="E20" i="50"/>
  <c r="L20" i="50" s="1"/>
  <c r="E19" i="50"/>
  <c r="L19" i="50" s="1"/>
  <c r="E18" i="50"/>
  <c r="L18" i="50" s="1"/>
  <c r="E17" i="50"/>
  <c r="L17" i="50" s="1"/>
  <c r="E16" i="50"/>
  <c r="L16" i="50" s="1"/>
  <c r="E15" i="50"/>
  <c r="L15" i="50" s="1"/>
  <c r="E14" i="50"/>
  <c r="L14" i="50" s="1"/>
  <c r="E13" i="50"/>
  <c r="L13" i="50" s="1"/>
  <c r="E12" i="50"/>
  <c r="L12" i="50" s="1"/>
  <c r="E11" i="50"/>
  <c r="L11" i="50" s="1"/>
  <c r="E10" i="50"/>
  <c r="L10" i="50" s="1"/>
  <c r="E8" i="50"/>
  <c r="L8" i="50" s="1"/>
  <c r="E7" i="50"/>
  <c r="L7" i="50" s="1"/>
  <c r="E6" i="50"/>
  <c r="L6" i="50" s="1"/>
  <c r="M7" i="50" s="1"/>
  <c r="E28" i="54"/>
  <c r="L28" i="54" s="1"/>
  <c r="E27" i="54"/>
  <c r="E26" i="54"/>
  <c r="L26" i="54" s="1"/>
  <c r="E25" i="54"/>
  <c r="L25" i="54" s="1"/>
  <c r="E24" i="54"/>
  <c r="L24" i="54" s="1"/>
  <c r="E23" i="54"/>
  <c r="E22" i="54"/>
  <c r="L22" i="54" s="1"/>
  <c r="E21" i="54"/>
  <c r="L21" i="54" s="1"/>
  <c r="E20" i="54"/>
  <c r="L20" i="54" s="1"/>
  <c r="E19" i="54"/>
  <c r="L19" i="54" s="1"/>
  <c r="E18" i="54"/>
  <c r="L18" i="54" s="1"/>
  <c r="E17" i="54"/>
  <c r="L17" i="54" s="1"/>
  <c r="E16" i="54"/>
  <c r="L16" i="54" s="1"/>
  <c r="E15" i="54"/>
  <c r="L15" i="54" s="1"/>
  <c r="E14" i="54"/>
  <c r="L14" i="54" s="1"/>
  <c r="E13" i="54"/>
  <c r="L13" i="54" s="1"/>
  <c r="E12" i="54"/>
  <c r="L12" i="54" s="1"/>
  <c r="E11" i="54"/>
  <c r="L11" i="54" s="1"/>
  <c r="E10" i="54"/>
  <c r="L10" i="54" s="1"/>
  <c r="E8" i="54"/>
  <c r="L8" i="54" s="1"/>
  <c r="E7" i="54"/>
  <c r="L7" i="54" s="1"/>
  <c r="G29" i="54"/>
  <c r="E6" i="54"/>
  <c r="L7" i="48" l="1"/>
  <c r="M7" i="46"/>
  <c r="M7" i="47"/>
  <c r="L7" i="49"/>
  <c r="C3" i="1"/>
  <c r="H28" i="32" l="1"/>
  <c r="G28" i="32"/>
  <c r="F28" i="32"/>
  <c r="E28" i="32"/>
  <c r="D28" i="32"/>
  <c r="C28" i="32"/>
  <c r="B28" i="32"/>
  <c r="O30" i="48" l="1"/>
  <c r="G29" i="49"/>
  <c r="G29" i="48"/>
  <c r="G29" i="47"/>
  <c r="G29" i="50"/>
  <c r="A28" i="50" l="1"/>
  <c r="A29" i="50" s="1"/>
  <c r="A27" i="50"/>
  <c r="A26" i="50"/>
  <c r="A25" i="50"/>
  <c r="A24" i="50"/>
  <c r="A23" i="50"/>
  <c r="A22" i="50"/>
  <c r="A21" i="50"/>
  <c r="A20" i="50"/>
  <c r="A19" i="50"/>
  <c r="A18" i="50"/>
  <c r="A17" i="50"/>
  <c r="A16" i="50"/>
  <c r="A15" i="50"/>
  <c r="A14" i="50"/>
  <c r="A13" i="50"/>
  <c r="A12" i="50"/>
  <c r="A11" i="50"/>
  <c r="A10" i="50"/>
  <c r="A9" i="50"/>
  <c r="A8" i="50"/>
  <c r="A7" i="50"/>
  <c r="A6" i="50"/>
  <c r="C27" i="32" l="1"/>
  <c r="C26" i="32"/>
  <c r="A27" i="32"/>
  <c r="A28" i="32" s="1"/>
  <c r="I27" i="1"/>
  <c r="H27" i="1"/>
  <c r="H26" i="1"/>
  <c r="H25" i="1"/>
  <c r="H24" i="1"/>
  <c r="H23" i="1"/>
  <c r="H22" i="1"/>
  <c r="H21" i="1"/>
  <c r="H16" i="1"/>
  <c r="H15" i="1"/>
  <c r="H14" i="1"/>
  <c r="H13" i="1"/>
  <c r="H12" i="1"/>
  <c r="H11" i="1"/>
  <c r="H10" i="1"/>
  <c r="H9" i="1"/>
  <c r="H7" i="1"/>
  <c r="H6" i="1"/>
  <c r="H5" i="1"/>
  <c r="I26" i="1"/>
  <c r="I25" i="1"/>
  <c r="I24" i="1"/>
  <c r="I23" i="1"/>
  <c r="I22" i="1"/>
  <c r="I21" i="1"/>
  <c r="I16" i="1"/>
  <c r="I15" i="1"/>
  <c r="I14" i="1"/>
  <c r="I13" i="1"/>
  <c r="I12" i="1"/>
  <c r="I11" i="1"/>
  <c r="I10" i="1"/>
  <c r="I9" i="1"/>
  <c r="I7" i="1"/>
  <c r="I6" i="1"/>
  <c r="I5" i="1"/>
  <c r="C6" i="50" s="1"/>
  <c r="C10" i="47" l="1"/>
  <c r="H10" i="47" s="1"/>
  <c r="C10" i="49"/>
  <c r="H10" i="49" s="1"/>
  <c r="C10" i="48"/>
  <c r="C10" i="50"/>
  <c r="H10" i="50" s="1"/>
  <c r="C10" i="54"/>
  <c r="H10" i="54" s="1"/>
  <c r="C10" i="46"/>
  <c r="H10" i="46" s="1"/>
  <c r="C10" i="52"/>
  <c r="H10" i="52" s="1"/>
  <c r="C10" i="51"/>
  <c r="H10" i="51" s="1"/>
  <c r="C18" i="47"/>
  <c r="H18" i="47" s="1"/>
  <c r="C18" i="49"/>
  <c r="H18" i="49" s="1"/>
  <c r="C18" i="48"/>
  <c r="C18" i="50"/>
  <c r="H18" i="50" s="1"/>
  <c r="C18" i="54"/>
  <c r="H18" i="54" s="1"/>
  <c r="C18" i="46"/>
  <c r="H18" i="46" s="1"/>
  <c r="C18" i="52"/>
  <c r="H18" i="52" s="1"/>
  <c r="C18" i="51"/>
  <c r="H18" i="51" s="1"/>
  <c r="C26" i="46"/>
  <c r="H26" i="46" s="1"/>
  <c r="C26" i="49"/>
  <c r="H26" i="49" s="1"/>
  <c r="C26" i="48"/>
  <c r="C26" i="50"/>
  <c r="H26" i="50" s="1"/>
  <c r="C26" i="54"/>
  <c r="H26" i="54" s="1"/>
  <c r="C26" i="47"/>
  <c r="H26" i="47" s="1"/>
  <c r="C26" i="52"/>
  <c r="H26" i="52" s="1"/>
  <c r="C26" i="51"/>
  <c r="H26" i="51" s="1"/>
  <c r="B13" i="54"/>
  <c r="B13" i="52"/>
  <c r="B13" i="51"/>
  <c r="B13" i="49"/>
  <c r="B13" i="48"/>
  <c r="B13" i="47"/>
  <c r="B13" i="46"/>
  <c r="B17" i="47"/>
  <c r="B17" i="46"/>
  <c r="B17" i="54"/>
  <c r="B17" i="52"/>
  <c r="B17" i="49"/>
  <c r="B17" i="48"/>
  <c r="B17" i="51"/>
  <c r="B25" i="51"/>
  <c r="B25" i="49"/>
  <c r="B25" i="48"/>
  <c r="B25" i="47"/>
  <c r="B25" i="46"/>
  <c r="B25" i="54"/>
  <c r="B25" i="52"/>
  <c r="C6" i="48"/>
  <c r="C6" i="46"/>
  <c r="H6" i="46" s="1"/>
  <c r="I6" i="46" s="1"/>
  <c r="C6" i="52"/>
  <c r="H6" i="52" s="1"/>
  <c r="C6" i="54"/>
  <c r="H6" i="54" s="1"/>
  <c r="C6" i="51"/>
  <c r="H6" i="51" s="1"/>
  <c r="C6" i="49"/>
  <c r="H6" i="49" s="1"/>
  <c r="I6" i="49" s="1"/>
  <c r="J7" i="49" s="1"/>
  <c r="M7" i="49" s="1"/>
  <c r="H5" i="19" s="1"/>
  <c r="H6" i="50"/>
  <c r="C6" i="47"/>
  <c r="H6" i="47" s="1"/>
  <c r="I6" i="47" s="1"/>
  <c r="J7" i="47" s="1"/>
  <c r="K7" i="47" s="1"/>
  <c r="C15" i="46"/>
  <c r="H15" i="46" s="1"/>
  <c r="C15" i="52"/>
  <c r="H15" i="52" s="1"/>
  <c r="C15" i="51"/>
  <c r="H15" i="51" s="1"/>
  <c r="C15" i="48"/>
  <c r="C15" i="47"/>
  <c r="H15" i="47" s="1"/>
  <c r="C15" i="49"/>
  <c r="H15" i="49" s="1"/>
  <c r="C15" i="50"/>
  <c r="H15" i="50" s="1"/>
  <c r="C15" i="54"/>
  <c r="H15" i="54" s="1"/>
  <c r="C23" i="47"/>
  <c r="H23" i="47" s="1"/>
  <c r="C23" i="46"/>
  <c r="H23" i="46" s="1"/>
  <c r="C23" i="52"/>
  <c r="H23" i="52" s="1"/>
  <c r="C23" i="51"/>
  <c r="H23" i="51" s="1"/>
  <c r="C23" i="48"/>
  <c r="C23" i="49"/>
  <c r="H23" i="49" s="1"/>
  <c r="C23" i="50"/>
  <c r="H23" i="50" s="1"/>
  <c r="C23" i="54"/>
  <c r="H23" i="54" s="1"/>
  <c r="B10" i="48"/>
  <c r="B10" i="46"/>
  <c r="B10" i="52"/>
  <c r="B10" i="49"/>
  <c r="B10" i="47"/>
  <c r="B10" i="51"/>
  <c r="B10" i="54"/>
  <c r="B18" i="48"/>
  <c r="B18" i="46"/>
  <c r="B18" i="52"/>
  <c r="B18" i="54"/>
  <c r="B18" i="51"/>
  <c r="B18" i="47"/>
  <c r="B18" i="49"/>
  <c r="C7" i="47"/>
  <c r="H7" i="47" s="1"/>
  <c r="C7" i="49"/>
  <c r="H7" i="49" s="1"/>
  <c r="C7" i="50"/>
  <c r="H7" i="50" s="1"/>
  <c r="C7" i="54"/>
  <c r="H7" i="54" s="1"/>
  <c r="C7" i="48"/>
  <c r="C7" i="46"/>
  <c r="H7" i="46" s="1"/>
  <c r="C7" i="52"/>
  <c r="H7" i="52" s="1"/>
  <c r="C7" i="51"/>
  <c r="H7" i="51" s="1"/>
  <c r="C12" i="47"/>
  <c r="H12" i="47" s="1"/>
  <c r="C12" i="49"/>
  <c r="H12" i="49" s="1"/>
  <c r="C12" i="48"/>
  <c r="C12" i="50"/>
  <c r="H12" i="50" s="1"/>
  <c r="C12" i="54"/>
  <c r="H12" i="54" s="1"/>
  <c r="C12" i="46"/>
  <c r="H12" i="46" s="1"/>
  <c r="C12" i="52"/>
  <c r="H12" i="52" s="1"/>
  <c r="C12" i="51"/>
  <c r="H12" i="51" s="1"/>
  <c r="C16" i="47"/>
  <c r="H16" i="47" s="1"/>
  <c r="C16" i="49"/>
  <c r="H16" i="49" s="1"/>
  <c r="C16" i="48"/>
  <c r="C16" i="50"/>
  <c r="H16" i="50" s="1"/>
  <c r="C16" i="54"/>
  <c r="H16" i="54" s="1"/>
  <c r="C16" i="46"/>
  <c r="H16" i="46" s="1"/>
  <c r="C16" i="52"/>
  <c r="H16" i="52" s="1"/>
  <c r="C16" i="51"/>
  <c r="H16" i="51" s="1"/>
  <c r="C20" i="47"/>
  <c r="H20" i="47" s="1"/>
  <c r="C20" i="49"/>
  <c r="H20" i="49" s="1"/>
  <c r="C20" i="48"/>
  <c r="C20" i="50"/>
  <c r="H20" i="50" s="1"/>
  <c r="C20" i="54"/>
  <c r="H20" i="54" s="1"/>
  <c r="C20" i="46"/>
  <c r="H20" i="46" s="1"/>
  <c r="C20" i="52"/>
  <c r="H20" i="52" s="1"/>
  <c r="C20" i="51"/>
  <c r="H20" i="51" s="1"/>
  <c r="C24" i="46"/>
  <c r="H24" i="46" s="1"/>
  <c r="C24" i="49"/>
  <c r="H24" i="49" s="1"/>
  <c r="C24" i="48"/>
  <c r="C24" i="50"/>
  <c r="H24" i="50" s="1"/>
  <c r="C24" i="54"/>
  <c r="H24" i="54" s="1"/>
  <c r="C24" i="47"/>
  <c r="H24" i="47" s="1"/>
  <c r="C24" i="52"/>
  <c r="H24" i="52" s="1"/>
  <c r="C24" i="51"/>
  <c r="H24" i="51" s="1"/>
  <c r="B6" i="46"/>
  <c r="B6" i="54"/>
  <c r="B6" i="52"/>
  <c r="B6" i="51"/>
  <c r="B6" i="48"/>
  <c r="B6" i="47"/>
  <c r="B6" i="49"/>
  <c r="B11" i="48"/>
  <c r="B11" i="47"/>
  <c r="B11" i="46"/>
  <c r="B11" i="54"/>
  <c r="B11" i="52"/>
  <c r="B11" i="51"/>
  <c r="B11" i="49"/>
  <c r="B15" i="49"/>
  <c r="B15" i="48"/>
  <c r="B15" i="47"/>
  <c r="B15" i="46"/>
  <c r="B15" i="54"/>
  <c r="B15" i="52"/>
  <c r="B15" i="51"/>
  <c r="B19" i="52"/>
  <c r="B19" i="51"/>
  <c r="B19" i="49"/>
  <c r="B19" i="46"/>
  <c r="B19" i="54"/>
  <c r="B19" i="48"/>
  <c r="B19" i="47"/>
  <c r="B23" i="46"/>
  <c r="B23" i="54"/>
  <c r="B23" i="52"/>
  <c r="B23" i="51"/>
  <c r="B23" i="49"/>
  <c r="B23" i="48"/>
  <c r="B23" i="47"/>
  <c r="B27" i="48"/>
  <c r="B27" i="47"/>
  <c r="B27" i="46"/>
  <c r="B27" i="54"/>
  <c r="B27" i="49"/>
  <c r="B27" i="52"/>
  <c r="B27" i="51"/>
  <c r="C14" i="47"/>
  <c r="H14" i="47" s="1"/>
  <c r="C14" i="49"/>
  <c r="H14" i="49" s="1"/>
  <c r="C14" i="48"/>
  <c r="C14" i="50"/>
  <c r="H14" i="50" s="1"/>
  <c r="C14" i="54"/>
  <c r="H14" i="54" s="1"/>
  <c r="C14" i="46"/>
  <c r="H14" i="46" s="1"/>
  <c r="C14" i="52"/>
  <c r="H14" i="52" s="1"/>
  <c r="C14" i="51"/>
  <c r="H14" i="51" s="1"/>
  <c r="C22" i="49"/>
  <c r="H22" i="49" s="1"/>
  <c r="C22" i="48"/>
  <c r="C22" i="50"/>
  <c r="H22" i="50" s="1"/>
  <c r="C22" i="54"/>
  <c r="H22" i="54" s="1"/>
  <c r="C22" i="47"/>
  <c r="H22" i="47" s="1"/>
  <c r="C22" i="46"/>
  <c r="H22" i="46" s="1"/>
  <c r="C22" i="52"/>
  <c r="H22" i="52" s="1"/>
  <c r="C22" i="51"/>
  <c r="H22" i="51" s="1"/>
  <c r="B8" i="51"/>
  <c r="B8" i="49"/>
  <c r="B8" i="48"/>
  <c r="B8" i="54"/>
  <c r="B8" i="52"/>
  <c r="B8" i="47"/>
  <c r="B8" i="46"/>
  <c r="B21" i="49"/>
  <c r="B21" i="48"/>
  <c r="B21" i="47"/>
  <c r="B21" i="46"/>
  <c r="B21" i="51"/>
  <c r="B21" i="54"/>
  <c r="B21" i="52"/>
  <c r="C28" i="47"/>
  <c r="H28" i="47" s="1"/>
  <c r="C28" i="46"/>
  <c r="H28" i="46" s="1"/>
  <c r="C28" i="49"/>
  <c r="H28" i="49" s="1"/>
  <c r="C28" i="48"/>
  <c r="C28" i="50"/>
  <c r="H28" i="50" s="1"/>
  <c r="C28" i="54"/>
  <c r="H28" i="54" s="1"/>
  <c r="C28" i="52"/>
  <c r="H28" i="52" s="1"/>
  <c r="C28" i="51"/>
  <c r="H28" i="51" s="1"/>
  <c r="C11" i="49"/>
  <c r="H11" i="49" s="1"/>
  <c r="C11" i="46"/>
  <c r="H11" i="46" s="1"/>
  <c r="C11" i="52"/>
  <c r="H11" i="52" s="1"/>
  <c r="C11" i="51"/>
  <c r="H11" i="51" s="1"/>
  <c r="C11" i="48"/>
  <c r="C11" i="47"/>
  <c r="H11" i="47" s="1"/>
  <c r="C11" i="50"/>
  <c r="H11" i="50" s="1"/>
  <c r="C11" i="54"/>
  <c r="H11" i="54" s="1"/>
  <c r="C19" i="49"/>
  <c r="H19" i="49" s="1"/>
  <c r="C19" i="46"/>
  <c r="H19" i="46" s="1"/>
  <c r="C19" i="52"/>
  <c r="H19" i="52" s="1"/>
  <c r="C19" i="51"/>
  <c r="H19" i="51" s="1"/>
  <c r="C19" i="48"/>
  <c r="C19" i="47"/>
  <c r="H19" i="47" s="1"/>
  <c r="C19" i="50"/>
  <c r="H19" i="50" s="1"/>
  <c r="C19" i="54"/>
  <c r="H19" i="54" s="1"/>
  <c r="C27" i="47"/>
  <c r="H27" i="47" s="1"/>
  <c r="C27" i="49"/>
  <c r="H27" i="49" s="1"/>
  <c r="C27" i="52"/>
  <c r="H27" i="52" s="1"/>
  <c r="C27" i="51"/>
  <c r="H27" i="51" s="1"/>
  <c r="C27" i="48"/>
  <c r="C27" i="46"/>
  <c r="H27" i="46" s="1"/>
  <c r="C27" i="50"/>
  <c r="H27" i="50" s="1"/>
  <c r="C27" i="54"/>
  <c r="H27" i="54" s="1"/>
  <c r="B14" i="48"/>
  <c r="B14" i="46"/>
  <c r="B14" i="52"/>
  <c r="B14" i="51"/>
  <c r="B14" i="49"/>
  <c r="B14" i="47"/>
  <c r="B14" i="54"/>
  <c r="B22" i="48"/>
  <c r="B22" i="46"/>
  <c r="B22" i="52"/>
  <c r="B22" i="47"/>
  <c r="B22" i="54"/>
  <c r="B22" i="49"/>
  <c r="B22" i="51"/>
  <c r="B26" i="48"/>
  <c r="B26" i="46"/>
  <c r="B26" i="52"/>
  <c r="B26" i="49"/>
  <c r="B26" i="47"/>
  <c r="B26" i="54"/>
  <c r="B26" i="51"/>
  <c r="C8" i="48"/>
  <c r="C8" i="47"/>
  <c r="H8" i="47" s="1"/>
  <c r="C8" i="46"/>
  <c r="H8" i="46" s="1"/>
  <c r="C8" i="52"/>
  <c r="H8" i="52" s="1"/>
  <c r="C8" i="51"/>
  <c r="H8" i="51" s="1"/>
  <c r="C8" i="49"/>
  <c r="H8" i="49" s="1"/>
  <c r="C8" i="50"/>
  <c r="H8" i="50" s="1"/>
  <c r="C8" i="54"/>
  <c r="H8" i="54" s="1"/>
  <c r="C13" i="46"/>
  <c r="H13" i="46" s="1"/>
  <c r="C13" i="52"/>
  <c r="H13" i="52" s="1"/>
  <c r="C13" i="51"/>
  <c r="H13" i="51" s="1"/>
  <c r="C13" i="49"/>
  <c r="H13" i="49" s="1"/>
  <c r="C13" i="48"/>
  <c r="C13" i="47"/>
  <c r="H13" i="47" s="1"/>
  <c r="C13" i="50"/>
  <c r="H13" i="50" s="1"/>
  <c r="C13" i="54"/>
  <c r="H13" i="54" s="1"/>
  <c r="C17" i="48"/>
  <c r="C17" i="47"/>
  <c r="H17" i="47" s="1"/>
  <c r="C17" i="46"/>
  <c r="H17" i="46" s="1"/>
  <c r="C17" i="52"/>
  <c r="H17" i="52" s="1"/>
  <c r="C17" i="51"/>
  <c r="H17" i="51" s="1"/>
  <c r="C17" i="49"/>
  <c r="H17" i="49" s="1"/>
  <c r="C17" i="50"/>
  <c r="H17" i="50" s="1"/>
  <c r="C17" i="54"/>
  <c r="H17" i="54" s="1"/>
  <c r="C21" i="47"/>
  <c r="H21" i="47" s="1"/>
  <c r="C21" i="46"/>
  <c r="H21" i="46" s="1"/>
  <c r="C21" i="52"/>
  <c r="H21" i="52" s="1"/>
  <c r="C21" i="51"/>
  <c r="H21" i="51" s="1"/>
  <c r="C21" i="49"/>
  <c r="H21" i="49" s="1"/>
  <c r="C21" i="48"/>
  <c r="C21" i="50"/>
  <c r="H21" i="50" s="1"/>
  <c r="C21" i="54"/>
  <c r="H21" i="54" s="1"/>
  <c r="C25" i="47"/>
  <c r="H25" i="47" s="1"/>
  <c r="C25" i="48"/>
  <c r="C25" i="52"/>
  <c r="H25" i="52" s="1"/>
  <c r="C25" i="51"/>
  <c r="H25" i="51" s="1"/>
  <c r="C25" i="46"/>
  <c r="H25" i="46" s="1"/>
  <c r="C25" i="49"/>
  <c r="H25" i="49" s="1"/>
  <c r="C25" i="50"/>
  <c r="H25" i="50" s="1"/>
  <c r="C25" i="54"/>
  <c r="H25" i="54" s="1"/>
  <c r="B7" i="49"/>
  <c r="B7" i="47"/>
  <c r="B7" i="54"/>
  <c r="B7" i="51"/>
  <c r="B7" i="52"/>
  <c r="B7" i="46"/>
  <c r="B7" i="48"/>
  <c r="B12" i="49"/>
  <c r="B12" i="47"/>
  <c r="B12" i="54"/>
  <c r="B12" i="51"/>
  <c r="B12" i="46"/>
  <c r="B12" i="52"/>
  <c r="B12" i="48"/>
  <c r="B16" i="49"/>
  <c r="B16" i="47"/>
  <c r="B16" i="54"/>
  <c r="B16" i="51"/>
  <c r="B16" i="48"/>
  <c r="B16" i="46"/>
  <c r="B16" i="52"/>
  <c r="B20" i="49"/>
  <c r="B20" i="47"/>
  <c r="B20" i="54"/>
  <c r="B20" i="51"/>
  <c r="B20" i="48"/>
  <c r="B20" i="52"/>
  <c r="B20" i="46"/>
  <c r="B24" i="49"/>
  <c r="B24" i="47"/>
  <c r="B24" i="54"/>
  <c r="B24" i="51"/>
  <c r="B24" i="52"/>
  <c r="B24" i="48"/>
  <c r="B24" i="46"/>
  <c r="B28" i="49"/>
  <c r="B28" i="47"/>
  <c r="B28" i="54"/>
  <c r="B28" i="51"/>
  <c r="B28" i="46"/>
  <c r="B28" i="52"/>
  <c r="B28" i="48"/>
  <c r="B6" i="50"/>
  <c r="B19" i="50"/>
  <c r="B7" i="50"/>
  <c r="B20" i="50"/>
  <c r="B24" i="50"/>
  <c r="B28" i="50"/>
  <c r="B11" i="50"/>
  <c r="B27" i="50"/>
  <c r="B12" i="50"/>
  <c r="B8" i="50"/>
  <c r="B13" i="50"/>
  <c r="B17" i="50"/>
  <c r="B21" i="50"/>
  <c r="B25" i="50"/>
  <c r="B15" i="50"/>
  <c r="B23" i="50"/>
  <c r="B16" i="50"/>
  <c r="B10" i="50"/>
  <c r="B14" i="50"/>
  <c r="B18" i="50"/>
  <c r="B22" i="50"/>
  <c r="B26" i="50"/>
  <c r="N7" i="47" l="1"/>
  <c r="G5" i="19" s="1"/>
  <c r="H19" i="48"/>
  <c r="H7" i="48"/>
  <c r="H22" i="48"/>
  <c r="H26" i="48"/>
  <c r="H10" i="48"/>
  <c r="H25" i="48"/>
  <c r="H21" i="48"/>
  <c r="H24" i="48"/>
  <c r="H20" i="48"/>
  <c r="H16" i="48"/>
  <c r="H12" i="48"/>
  <c r="H23" i="48"/>
  <c r="H6" i="48"/>
  <c r="I6" i="48" s="1"/>
  <c r="J7" i="48" s="1"/>
  <c r="M7" i="48" s="1"/>
  <c r="E5" i="19" s="1"/>
  <c r="H27" i="48"/>
  <c r="H11" i="48"/>
  <c r="H14" i="48"/>
  <c r="H28" i="48"/>
  <c r="H18" i="48"/>
  <c r="H17" i="48"/>
  <c r="H13" i="48"/>
  <c r="H8" i="48"/>
  <c r="H15" i="48"/>
  <c r="I7" i="47"/>
  <c r="I8" i="47" s="1"/>
  <c r="I9" i="47" s="1"/>
  <c r="I7" i="49"/>
  <c r="I8" i="49" s="1"/>
  <c r="I9" i="49" s="1"/>
  <c r="I10" i="49" s="1"/>
  <c r="K7" i="50"/>
  <c r="N7" i="50" s="1"/>
  <c r="A5" i="19" s="1"/>
  <c r="I7" i="50"/>
  <c r="J7" i="50" s="1"/>
  <c r="K7" i="52"/>
  <c r="N7" i="52" s="1"/>
  <c r="I7" i="52"/>
  <c r="I7" i="46"/>
  <c r="J7" i="46"/>
  <c r="K7" i="46" s="1"/>
  <c r="N7" i="46" s="1"/>
  <c r="D5" i="19" s="1"/>
  <c r="I7" i="51"/>
  <c r="J7" i="51" s="1"/>
  <c r="K7" i="51"/>
  <c r="N7" i="51" s="1"/>
  <c r="B5" i="19" s="1"/>
  <c r="K7" i="54"/>
  <c r="N7" i="54" s="1"/>
  <c r="I7" i="54"/>
  <c r="O7" i="46" l="1"/>
  <c r="I6" i="32"/>
  <c r="C5" i="19"/>
  <c r="N7" i="48"/>
  <c r="J6" i="32" s="1"/>
  <c r="F5" i="19"/>
  <c r="O7" i="47"/>
  <c r="N7" i="49"/>
  <c r="I7" i="48"/>
  <c r="I8" i="48" s="1"/>
  <c r="I9" i="48" s="1"/>
  <c r="I10" i="48" s="1"/>
  <c r="I11" i="49"/>
  <c r="J7" i="52"/>
  <c r="J7" i="54"/>
  <c r="I10" i="47"/>
  <c r="I8" i="46"/>
  <c r="I9" i="46" l="1"/>
  <c r="I11" i="48"/>
  <c r="I11" i="47"/>
  <c r="I12" i="49"/>
  <c r="I12" i="48" l="1"/>
  <c r="I12" i="47"/>
  <c r="I10" i="46"/>
  <c r="I13" i="49"/>
  <c r="I14" i="49" l="1"/>
  <c r="I13" i="47"/>
  <c r="I11" i="46"/>
  <c r="I13" i="48"/>
  <c r="I14" i="47" l="1"/>
  <c r="I14" i="48"/>
  <c r="I12" i="46"/>
  <c r="I15" i="49"/>
  <c r="D12" i="1"/>
  <c r="D11" i="1"/>
  <c r="I15" i="48" l="1"/>
  <c r="I16" i="49"/>
  <c r="I13" i="46"/>
  <c r="I15" i="47"/>
  <c r="I17" i="49" l="1"/>
  <c r="I16" i="47"/>
  <c r="I14" i="46"/>
  <c r="I16" i="48"/>
  <c r="C7" i="32"/>
  <c r="C8" i="32"/>
  <c r="C9" i="32"/>
  <c r="C10" i="32"/>
  <c r="C11" i="32"/>
  <c r="C12" i="32"/>
  <c r="C13" i="32"/>
  <c r="C14" i="32"/>
  <c r="C15" i="32"/>
  <c r="C16" i="32"/>
  <c r="C17" i="32"/>
  <c r="C18" i="32"/>
  <c r="C19" i="32"/>
  <c r="C20" i="32"/>
  <c r="C21" i="32"/>
  <c r="C22" i="32"/>
  <c r="C23" i="32"/>
  <c r="C24" i="32"/>
  <c r="C25" i="32"/>
  <c r="I17" i="47" l="1"/>
  <c r="I17" i="48"/>
  <c r="I15" i="46"/>
  <c r="I18" i="49"/>
  <c r="I19" i="49" l="1"/>
  <c r="I18" i="48"/>
  <c r="I16" i="46"/>
  <c r="I18" i="47"/>
  <c r="I19" i="48" l="1"/>
  <c r="I19" i="47"/>
  <c r="I17" i="46"/>
  <c r="I20" i="49"/>
  <c r="Q6" i="1"/>
  <c r="P6" i="1"/>
  <c r="O6" i="1"/>
  <c r="A26" i="32"/>
  <c r="A25" i="32"/>
  <c r="A24" i="32"/>
  <c r="A23" i="32"/>
  <c r="A22" i="32"/>
  <c r="A21" i="32"/>
  <c r="A20" i="32"/>
  <c r="E19" i="32"/>
  <c r="A19" i="32"/>
  <c r="A18" i="32"/>
  <c r="A17" i="32"/>
  <c r="A16" i="32"/>
  <c r="A15" i="32"/>
  <c r="A14" i="32"/>
  <c r="A13" i="32"/>
  <c r="A12" i="32"/>
  <c r="A11" i="32"/>
  <c r="A10" i="32"/>
  <c r="A9" i="32"/>
  <c r="A8" i="32"/>
  <c r="A7" i="32"/>
  <c r="G6" i="32"/>
  <c r="C6" i="32"/>
  <c r="A6" i="32"/>
  <c r="H5" i="32"/>
  <c r="G5" i="32"/>
  <c r="F5" i="32"/>
  <c r="C5" i="32"/>
  <c r="B5" i="32"/>
  <c r="A5" i="32"/>
  <c r="I21" i="49" l="1"/>
  <c r="I20" i="47"/>
  <c r="I20" i="48"/>
  <c r="I18" i="46"/>
  <c r="F6" i="32"/>
  <c r="H6" i="32"/>
  <c r="L6" i="32"/>
  <c r="O6" i="32" s="1"/>
  <c r="M6" i="32"/>
  <c r="P6" i="32" s="1"/>
  <c r="K6" i="32"/>
  <c r="N6" i="32" s="1"/>
  <c r="I19" i="46" l="1"/>
  <c r="I21" i="47"/>
  <c r="I21" i="48"/>
  <c r="I22" i="49"/>
  <c r="I23" i="49" l="1"/>
  <c r="I22" i="47"/>
  <c r="I22" i="48"/>
  <c r="I20" i="46"/>
  <c r="I21" i="46" l="1"/>
  <c r="I23" i="48"/>
  <c r="I23" i="47"/>
  <c r="I24" i="49"/>
  <c r="C2" i="1"/>
  <c r="L6" i="1"/>
  <c r="F7" i="51" l="1"/>
  <c r="M8" i="51" s="1"/>
  <c r="F7" i="47"/>
  <c r="F7" i="50"/>
  <c r="M8" i="50" s="1"/>
  <c r="F7" i="46"/>
  <c r="F7" i="48"/>
  <c r="F7" i="54"/>
  <c r="M8" i="54" s="1"/>
  <c r="F7" i="52"/>
  <c r="M8" i="52" s="1"/>
  <c r="F7" i="49"/>
  <c r="I24" i="48"/>
  <c r="I25" i="49"/>
  <c r="I24" i="47"/>
  <c r="I22" i="46"/>
  <c r="L7" i="1"/>
  <c r="Q7" i="1"/>
  <c r="B6" i="32"/>
  <c r="P7" i="1"/>
  <c r="O7" i="1"/>
  <c r="O8" i="1" s="1"/>
  <c r="B7" i="32"/>
  <c r="J8" i="48" l="1"/>
  <c r="L8" i="48"/>
  <c r="J8" i="49"/>
  <c r="L8" i="49"/>
  <c r="J8" i="47"/>
  <c r="K8" i="47" s="1"/>
  <c r="M8" i="47"/>
  <c r="J8" i="46"/>
  <c r="K8" i="46" s="1"/>
  <c r="M8" i="46"/>
  <c r="Q8" i="1"/>
  <c r="I23" i="46"/>
  <c r="K8" i="52"/>
  <c r="N8" i="52" s="1"/>
  <c r="I8" i="52"/>
  <c r="K8" i="50"/>
  <c r="N8" i="50" s="1"/>
  <c r="A6" i="19" s="1"/>
  <c r="I8" i="50"/>
  <c r="J8" i="50" s="1"/>
  <c r="L8" i="1"/>
  <c r="I25" i="48"/>
  <c r="K8" i="54"/>
  <c r="N8" i="54" s="1"/>
  <c r="I8" i="54"/>
  <c r="F8" i="50"/>
  <c r="F8" i="46"/>
  <c r="F8" i="54"/>
  <c r="M9" i="54" s="1"/>
  <c r="F8" i="49"/>
  <c r="F8" i="52"/>
  <c r="M9" i="52" s="1"/>
  <c r="F8" i="47"/>
  <c r="F8" i="48"/>
  <c r="F8" i="51"/>
  <c r="I26" i="49"/>
  <c r="P8" i="1"/>
  <c r="G8" i="32" s="1"/>
  <c r="I25" i="47"/>
  <c r="K8" i="51"/>
  <c r="N8" i="51" s="1"/>
  <c r="B6" i="19" s="1"/>
  <c r="I8" i="51"/>
  <c r="J8" i="51" s="1"/>
  <c r="K7" i="32"/>
  <c r="L7" i="32"/>
  <c r="M7" i="32"/>
  <c r="H7" i="32"/>
  <c r="M8" i="32" s="1"/>
  <c r="F7" i="32"/>
  <c r="K8" i="32" s="1"/>
  <c r="G7" i="32"/>
  <c r="L8" i="32" s="1"/>
  <c r="P9" i="1"/>
  <c r="Q9" i="1"/>
  <c r="H8" i="32"/>
  <c r="F8" i="32"/>
  <c r="O9" i="1"/>
  <c r="L9" i="1"/>
  <c r="B8" i="32"/>
  <c r="I7" i="32" l="1"/>
  <c r="O8" i="46"/>
  <c r="K9" i="51"/>
  <c r="M9" i="51"/>
  <c r="C6" i="19"/>
  <c r="N8" i="48"/>
  <c r="J7" i="32" s="1"/>
  <c r="P7" i="32" s="1"/>
  <c r="N8" i="49"/>
  <c r="F6" i="19"/>
  <c r="O8" i="47"/>
  <c r="M8" i="49"/>
  <c r="H6" i="19" s="1"/>
  <c r="M8" i="48"/>
  <c r="E6" i="19" s="1"/>
  <c r="N8" i="47"/>
  <c r="G6" i="19" s="1"/>
  <c r="J9" i="48"/>
  <c r="L9" i="48"/>
  <c r="J9" i="49"/>
  <c r="L9" i="49"/>
  <c r="J9" i="47"/>
  <c r="K9" i="47" s="1"/>
  <c r="M9" i="47"/>
  <c r="J9" i="46"/>
  <c r="K9" i="46" s="1"/>
  <c r="M9" i="46"/>
  <c r="N8" i="46"/>
  <c r="D6" i="19" s="1"/>
  <c r="K9" i="50"/>
  <c r="M9" i="50"/>
  <c r="N9" i="50" s="1"/>
  <c r="A7" i="19" s="1"/>
  <c r="N7" i="32"/>
  <c r="O7" i="32"/>
  <c r="I26" i="48"/>
  <c r="J8" i="52"/>
  <c r="I9" i="52" s="1"/>
  <c r="I9" i="51"/>
  <c r="J9" i="51" s="1"/>
  <c r="I26" i="47"/>
  <c r="I27" i="49"/>
  <c r="J8" i="54"/>
  <c r="I9" i="54" s="1"/>
  <c r="F9" i="54"/>
  <c r="M10" i="54" s="1"/>
  <c r="F9" i="49"/>
  <c r="F9" i="52"/>
  <c r="M10" i="52" s="1"/>
  <c r="F9" i="48"/>
  <c r="F9" i="47"/>
  <c r="F9" i="50"/>
  <c r="F9" i="51"/>
  <c r="F9" i="46"/>
  <c r="I9" i="50"/>
  <c r="J9" i="50" s="1"/>
  <c r="F10" i="50"/>
  <c r="F10" i="51"/>
  <c r="F10" i="52"/>
  <c r="M11" i="52" s="1"/>
  <c r="F10" i="54"/>
  <c r="M11" i="54" s="1"/>
  <c r="F10" i="46"/>
  <c r="F10" i="47"/>
  <c r="F10" i="48"/>
  <c r="F10" i="49"/>
  <c r="I24" i="46"/>
  <c r="H9" i="32"/>
  <c r="Q10" i="1"/>
  <c r="K9" i="32"/>
  <c r="G9" i="32"/>
  <c r="P10" i="1"/>
  <c r="L9" i="32"/>
  <c r="L10" i="1"/>
  <c r="B9" i="32"/>
  <c r="O10" i="1"/>
  <c r="F9" i="32"/>
  <c r="M9" i="32"/>
  <c r="N9" i="51" l="1"/>
  <c r="B7" i="19" s="1"/>
  <c r="K11" i="51"/>
  <c r="M11" i="51"/>
  <c r="K10" i="51"/>
  <c r="M10" i="51"/>
  <c r="M9" i="49"/>
  <c r="H7" i="19" s="1"/>
  <c r="M9" i="48"/>
  <c r="E7" i="19" s="1"/>
  <c r="N9" i="47"/>
  <c r="G7" i="19" s="1"/>
  <c r="J11" i="48"/>
  <c r="L11" i="48"/>
  <c r="J10" i="48"/>
  <c r="L10" i="48"/>
  <c r="J10" i="49"/>
  <c r="L10" i="49"/>
  <c r="J11" i="49"/>
  <c r="L11" i="49"/>
  <c r="J11" i="47"/>
  <c r="M11" i="47"/>
  <c r="J10" i="47"/>
  <c r="K10" i="47" s="1"/>
  <c r="M10" i="47"/>
  <c r="J11" i="46"/>
  <c r="M11" i="46"/>
  <c r="J10" i="46"/>
  <c r="K10" i="46" s="1"/>
  <c r="N10" i="46" s="1"/>
  <c r="D8" i="19" s="1"/>
  <c r="M10" i="46"/>
  <c r="N9" i="46"/>
  <c r="D7" i="19" s="1"/>
  <c r="K11" i="50"/>
  <c r="M11" i="50"/>
  <c r="K10" i="50"/>
  <c r="M10" i="50"/>
  <c r="I10" i="50"/>
  <c r="F11" i="52"/>
  <c r="M12" i="52" s="1"/>
  <c r="F11" i="48"/>
  <c r="F11" i="51"/>
  <c r="F11" i="47"/>
  <c r="F11" i="50"/>
  <c r="F11" i="54"/>
  <c r="M12" i="54" s="1"/>
  <c r="F11" i="46"/>
  <c r="F11" i="49"/>
  <c r="I28" i="49"/>
  <c r="I27" i="47"/>
  <c r="J9" i="54"/>
  <c r="I10" i="54" s="1"/>
  <c r="K9" i="54"/>
  <c r="N9" i="54" s="1"/>
  <c r="I27" i="48"/>
  <c r="J9" i="52"/>
  <c r="I10" i="52" s="1"/>
  <c r="I25" i="46"/>
  <c r="K9" i="52"/>
  <c r="N9" i="52" s="1"/>
  <c r="I10" i="51"/>
  <c r="K10" i="32"/>
  <c r="P11" i="1"/>
  <c r="G10" i="32"/>
  <c r="M10" i="32"/>
  <c r="H10" i="32"/>
  <c r="Q11" i="1"/>
  <c r="L10" i="32"/>
  <c r="F10" i="32"/>
  <c r="O11" i="1"/>
  <c r="L11" i="1"/>
  <c r="B10" i="32"/>
  <c r="I8" i="32" l="1"/>
  <c r="O9" i="46"/>
  <c r="N11" i="51"/>
  <c r="B9" i="19" s="1"/>
  <c r="K12" i="51"/>
  <c r="M12" i="51"/>
  <c r="N10" i="51"/>
  <c r="B8" i="19" s="1"/>
  <c r="C7" i="19"/>
  <c r="N9" i="48"/>
  <c r="J8" i="32" s="1"/>
  <c r="N9" i="49"/>
  <c r="O9" i="47"/>
  <c r="F7" i="19"/>
  <c r="K11" i="47"/>
  <c r="N11" i="47" s="1"/>
  <c r="G9" i="19" s="1"/>
  <c r="M11" i="48"/>
  <c r="E9" i="19" s="1"/>
  <c r="M10" i="49"/>
  <c r="H8" i="19" s="1"/>
  <c r="M11" i="49"/>
  <c r="H9" i="19" s="1"/>
  <c r="M10" i="48"/>
  <c r="E8" i="19" s="1"/>
  <c r="N10" i="47"/>
  <c r="G8" i="19" s="1"/>
  <c r="J12" i="48"/>
  <c r="L12" i="48"/>
  <c r="J12" i="49"/>
  <c r="L12" i="49"/>
  <c r="J12" i="47"/>
  <c r="K12" i="47" s="1"/>
  <c r="M12" i="47"/>
  <c r="J12" i="46"/>
  <c r="K12" i="46" s="1"/>
  <c r="M12" i="46"/>
  <c r="K11" i="46"/>
  <c r="N11" i="46" s="1"/>
  <c r="D9" i="19" s="1"/>
  <c r="N10" i="50"/>
  <c r="A8" i="19" s="1"/>
  <c r="N11" i="50"/>
  <c r="A9" i="19" s="1"/>
  <c r="K12" i="50"/>
  <c r="M12" i="50"/>
  <c r="N12" i="50" s="1"/>
  <c r="A10" i="19" s="1"/>
  <c r="I11" i="50"/>
  <c r="J11" i="50" s="1"/>
  <c r="J10" i="50"/>
  <c r="I11" i="51"/>
  <c r="J11" i="51" s="1"/>
  <c r="J10" i="51"/>
  <c r="F12" i="51"/>
  <c r="F12" i="47"/>
  <c r="F12" i="50"/>
  <c r="F12" i="46"/>
  <c r="F12" i="52"/>
  <c r="M13" i="52" s="1"/>
  <c r="F12" i="49"/>
  <c r="F12" i="48"/>
  <c r="F12" i="54"/>
  <c r="M13" i="54" s="1"/>
  <c r="I26" i="46"/>
  <c r="I28" i="48"/>
  <c r="J10" i="52"/>
  <c r="J10" i="54"/>
  <c r="K10" i="54"/>
  <c r="N10" i="54" s="1"/>
  <c r="K10" i="52"/>
  <c r="N10" i="52" s="1"/>
  <c r="I28" i="47"/>
  <c r="O8" i="32"/>
  <c r="N8" i="32"/>
  <c r="P8" i="32"/>
  <c r="L11" i="32"/>
  <c r="K11" i="32"/>
  <c r="L12" i="1"/>
  <c r="B11" i="32"/>
  <c r="H11" i="32"/>
  <c r="Q12" i="1"/>
  <c r="M11" i="32"/>
  <c r="F11" i="32"/>
  <c r="O12" i="1"/>
  <c r="G11" i="32"/>
  <c r="P12" i="1"/>
  <c r="K13" i="51" l="1"/>
  <c r="M13" i="51"/>
  <c r="N12" i="51"/>
  <c r="B10" i="19" s="1"/>
  <c r="M12" i="48"/>
  <c r="E10" i="19" s="1"/>
  <c r="I9" i="32"/>
  <c r="O10" i="46"/>
  <c r="C8" i="19"/>
  <c r="N10" i="48"/>
  <c r="J9" i="32" s="1"/>
  <c r="O10" i="47"/>
  <c r="N10" i="49"/>
  <c r="F8" i="19"/>
  <c r="M12" i="49"/>
  <c r="H10" i="19" s="1"/>
  <c r="N12" i="47"/>
  <c r="G10" i="19" s="1"/>
  <c r="N9" i="32"/>
  <c r="J13" i="48"/>
  <c r="L13" i="48"/>
  <c r="J13" i="49"/>
  <c r="L13" i="49"/>
  <c r="J13" i="47"/>
  <c r="K13" i="47" s="1"/>
  <c r="M13" i="47"/>
  <c r="J13" i="46"/>
  <c r="K13" i="46" s="1"/>
  <c r="M13" i="46"/>
  <c r="N12" i="46"/>
  <c r="D10" i="19" s="1"/>
  <c r="I12" i="50"/>
  <c r="J12" i="50" s="1"/>
  <c r="K13" i="50"/>
  <c r="M13" i="50"/>
  <c r="I12" i="51"/>
  <c r="J12" i="51" s="1"/>
  <c r="F13" i="50"/>
  <c r="F13" i="46"/>
  <c r="F13" i="54"/>
  <c r="M14" i="54" s="1"/>
  <c r="F13" i="49"/>
  <c r="F13" i="51"/>
  <c r="F13" i="48"/>
  <c r="F13" i="52"/>
  <c r="M14" i="52" s="1"/>
  <c r="F13" i="47"/>
  <c r="I11" i="52"/>
  <c r="K11" i="52"/>
  <c r="N11" i="52" s="1"/>
  <c r="I11" i="54"/>
  <c r="K11" i="54"/>
  <c r="N11" i="54" s="1"/>
  <c r="I27" i="46"/>
  <c r="K12" i="32"/>
  <c r="L12" i="32"/>
  <c r="M12" i="32"/>
  <c r="L13" i="1"/>
  <c r="B12" i="32"/>
  <c r="G12" i="32"/>
  <c r="P13" i="1"/>
  <c r="F12" i="32"/>
  <c r="O13" i="1"/>
  <c r="Q13" i="1"/>
  <c r="H12" i="32"/>
  <c r="P9" i="32" l="1"/>
  <c r="O9" i="32"/>
  <c r="K14" i="51"/>
  <c r="M14" i="51"/>
  <c r="I10" i="32"/>
  <c r="O11" i="46"/>
  <c r="N13" i="51"/>
  <c r="B11" i="19" s="1"/>
  <c r="C9" i="19"/>
  <c r="N11" i="48"/>
  <c r="J10" i="32" s="1"/>
  <c r="O11" i="47"/>
  <c r="F9" i="19"/>
  <c r="N11" i="49"/>
  <c r="O10" i="32"/>
  <c r="M13" i="49"/>
  <c r="H11" i="19" s="1"/>
  <c r="M13" i="48"/>
  <c r="E11" i="19" s="1"/>
  <c r="N13" i="47"/>
  <c r="G11" i="19" s="1"/>
  <c r="J14" i="48"/>
  <c r="L14" i="48"/>
  <c r="J14" i="49"/>
  <c r="L14" i="49"/>
  <c r="J14" i="47"/>
  <c r="K14" i="47" s="1"/>
  <c r="M14" i="47"/>
  <c r="J14" i="46"/>
  <c r="K14" i="46" s="1"/>
  <c r="M14" i="46"/>
  <c r="N13" i="46"/>
  <c r="D11" i="19" s="1"/>
  <c r="I13" i="50"/>
  <c r="J13" i="50" s="1"/>
  <c r="N13" i="50"/>
  <c r="A11" i="19" s="1"/>
  <c r="I13" i="51"/>
  <c r="J13" i="51" s="1"/>
  <c r="K14" i="50"/>
  <c r="M14" i="50"/>
  <c r="I14" i="50"/>
  <c r="J14" i="50" s="1"/>
  <c r="I28" i="46"/>
  <c r="J11" i="52"/>
  <c r="J11" i="54"/>
  <c r="F14" i="50"/>
  <c r="F14" i="51"/>
  <c r="F14" i="52"/>
  <c r="M15" i="52" s="1"/>
  <c r="F14" i="54"/>
  <c r="M15" i="54" s="1"/>
  <c r="F14" i="46"/>
  <c r="F14" i="47"/>
  <c r="F14" i="48"/>
  <c r="F14" i="49"/>
  <c r="L13" i="32"/>
  <c r="M13" i="32"/>
  <c r="K13" i="32"/>
  <c r="F13" i="32"/>
  <c r="O14" i="1"/>
  <c r="Q14" i="1"/>
  <c r="H13" i="32"/>
  <c r="L14" i="1"/>
  <c r="B13" i="32"/>
  <c r="G13" i="32"/>
  <c r="P14" i="1"/>
  <c r="I14" i="51" l="1"/>
  <c r="J14" i="51" s="1"/>
  <c r="N14" i="51"/>
  <c r="B12" i="19" s="1"/>
  <c r="K15" i="51"/>
  <c r="N15" i="51" s="1"/>
  <c r="B13" i="19" s="1"/>
  <c r="M15" i="51"/>
  <c r="P10" i="32"/>
  <c r="N10" i="32"/>
  <c r="N14" i="50"/>
  <c r="A12" i="19" s="1"/>
  <c r="M14" i="49"/>
  <c r="H12" i="19" s="1"/>
  <c r="M14" i="48"/>
  <c r="E12" i="19" s="1"/>
  <c r="N14" i="47"/>
  <c r="G12" i="19" s="1"/>
  <c r="J15" i="48"/>
  <c r="L15" i="48"/>
  <c r="J15" i="49"/>
  <c r="L15" i="49"/>
  <c r="J15" i="47"/>
  <c r="K15" i="47" s="1"/>
  <c r="M15" i="47"/>
  <c r="J15" i="46"/>
  <c r="K15" i="46" s="1"/>
  <c r="M15" i="46"/>
  <c r="N14" i="46"/>
  <c r="D12" i="19" s="1"/>
  <c r="K15" i="50"/>
  <c r="M15" i="50"/>
  <c r="N15" i="50" s="1"/>
  <c r="A13" i="19" s="1"/>
  <c r="I15" i="51"/>
  <c r="J15" i="51" s="1"/>
  <c r="I12" i="52"/>
  <c r="K12" i="52"/>
  <c r="N12" i="52" s="1"/>
  <c r="F15" i="54"/>
  <c r="M16" i="54" s="1"/>
  <c r="F15" i="49"/>
  <c r="F15" i="52"/>
  <c r="M16" i="52" s="1"/>
  <c r="F15" i="48"/>
  <c r="L16" i="48" s="1"/>
  <c r="F15" i="51"/>
  <c r="F15" i="46"/>
  <c r="F15" i="50"/>
  <c r="M16" i="50" s="1"/>
  <c r="F15" i="47"/>
  <c r="M16" i="47" s="1"/>
  <c r="I15" i="50"/>
  <c r="I12" i="54"/>
  <c r="K12" i="54"/>
  <c r="N12" i="54" s="1"/>
  <c r="L14" i="32"/>
  <c r="M14" i="32"/>
  <c r="F14" i="32"/>
  <c r="O15" i="1"/>
  <c r="L15" i="1"/>
  <c r="B14" i="32"/>
  <c r="G14" i="32"/>
  <c r="P15" i="1"/>
  <c r="Q15" i="1"/>
  <c r="H14" i="32"/>
  <c r="K14" i="32"/>
  <c r="O12" i="46" l="1"/>
  <c r="I11" i="32"/>
  <c r="K16" i="51"/>
  <c r="M16" i="51"/>
  <c r="C10" i="19"/>
  <c r="N12" i="48"/>
  <c r="J11" i="32" s="1"/>
  <c r="O12" i="47"/>
  <c r="N12" i="49"/>
  <c r="F10" i="19"/>
  <c r="M15" i="48"/>
  <c r="E13" i="19" s="1"/>
  <c r="M15" i="49"/>
  <c r="H13" i="19" s="1"/>
  <c r="N15" i="47"/>
  <c r="G13" i="19" s="1"/>
  <c r="J16" i="49"/>
  <c r="L16" i="49"/>
  <c r="J16" i="46"/>
  <c r="M16" i="46"/>
  <c r="N15" i="46"/>
  <c r="D13" i="19" s="1"/>
  <c r="I16" i="50"/>
  <c r="J15" i="50"/>
  <c r="I16" i="51"/>
  <c r="J16" i="51" s="1"/>
  <c r="K16" i="50"/>
  <c r="N16" i="50" s="1"/>
  <c r="A14" i="19" s="1"/>
  <c r="J12" i="52"/>
  <c r="F16" i="52"/>
  <c r="M17" i="52" s="1"/>
  <c r="F16" i="48"/>
  <c r="L17" i="48" s="1"/>
  <c r="F16" i="51"/>
  <c r="F16" i="47"/>
  <c r="M17" i="47" s="1"/>
  <c r="F16" i="46"/>
  <c r="M17" i="46" s="1"/>
  <c r="F16" i="49"/>
  <c r="F16" i="50"/>
  <c r="M17" i="50" s="1"/>
  <c r="F16" i="54"/>
  <c r="M17" i="54" s="1"/>
  <c r="J12" i="54"/>
  <c r="J16" i="47"/>
  <c r="J16" i="48"/>
  <c r="L15" i="32"/>
  <c r="L16" i="1"/>
  <c r="Q16" i="1"/>
  <c r="O16" i="1"/>
  <c r="P16" i="1"/>
  <c r="M15" i="32"/>
  <c r="H15" i="32"/>
  <c r="K15" i="32"/>
  <c r="B15" i="32"/>
  <c r="F15" i="32"/>
  <c r="G15" i="32"/>
  <c r="K17" i="51" l="1"/>
  <c r="M17" i="51"/>
  <c r="P11" i="32"/>
  <c r="N11" i="32"/>
  <c r="O11" i="32"/>
  <c r="N16" i="51"/>
  <c r="B14" i="19" s="1"/>
  <c r="N34" i="47"/>
  <c r="K16" i="46"/>
  <c r="N16" i="46" s="1"/>
  <c r="D14" i="19" s="1"/>
  <c r="G16" i="46"/>
  <c r="M16" i="48"/>
  <c r="E14" i="19" s="1"/>
  <c r="G16" i="48"/>
  <c r="M16" i="49"/>
  <c r="H14" i="19" s="1"/>
  <c r="K16" i="47"/>
  <c r="J17" i="49"/>
  <c r="L17" i="49"/>
  <c r="J17" i="47"/>
  <c r="K17" i="47" s="1"/>
  <c r="K17" i="50"/>
  <c r="N17" i="50" s="1"/>
  <c r="A15" i="19" s="1"/>
  <c r="G16" i="50"/>
  <c r="J16" i="50" s="1"/>
  <c r="J17" i="46"/>
  <c r="J17" i="48"/>
  <c r="M17" i="48" s="1"/>
  <c r="E15" i="19" s="1"/>
  <c r="I17" i="51"/>
  <c r="J17" i="51" s="1"/>
  <c r="I13" i="52"/>
  <c r="K13" i="52"/>
  <c r="N13" i="52" s="1"/>
  <c r="F17" i="51"/>
  <c r="F17" i="47"/>
  <c r="F17" i="50"/>
  <c r="F17" i="46"/>
  <c r="F17" i="48"/>
  <c r="F17" i="54"/>
  <c r="M18" i="54" s="1"/>
  <c r="F17" i="49"/>
  <c r="F17" i="52"/>
  <c r="M18" i="52" s="1"/>
  <c r="I13" i="54"/>
  <c r="K13" i="54"/>
  <c r="N13" i="54" s="1"/>
  <c r="O17" i="1"/>
  <c r="P17" i="1"/>
  <c r="Q17" i="1"/>
  <c r="L16" i="32"/>
  <c r="F16" i="32"/>
  <c r="G16" i="32"/>
  <c r="H16" i="32"/>
  <c r="K16" i="32"/>
  <c r="B16" i="32"/>
  <c r="M16" i="32"/>
  <c r="I12" i="32" l="1"/>
  <c r="O13" i="46"/>
  <c r="K18" i="51"/>
  <c r="N18" i="51" s="1"/>
  <c r="B16" i="19" s="1"/>
  <c r="M18" i="51"/>
  <c r="N17" i="51"/>
  <c r="B15" i="19" s="1"/>
  <c r="O13" i="47"/>
  <c r="F11" i="19"/>
  <c r="N13" i="49"/>
  <c r="C11" i="19"/>
  <c r="N13" i="48"/>
  <c r="J12" i="32" s="1"/>
  <c r="K17" i="46"/>
  <c r="N17" i="46" s="1"/>
  <c r="D15" i="19" s="1"/>
  <c r="M17" i="49"/>
  <c r="H15" i="19" s="1"/>
  <c r="N16" i="47"/>
  <c r="G14" i="19" s="1"/>
  <c r="N17" i="47"/>
  <c r="G15" i="19" s="1"/>
  <c r="J18" i="48"/>
  <c r="L18" i="48"/>
  <c r="J18" i="49"/>
  <c r="L18" i="49"/>
  <c r="J18" i="47"/>
  <c r="K18" i="47" s="1"/>
  <c r="M18" i="47"/>
  <c r="J18" i="46"/>
  <c r="K18" i="46" s="1"/>
  <c r="M18" i="46"/>
  <c r="K18" i="50"/>
  <c r="M18" i="50"/>
  <c r="I17" i="50"/>
  <c r="J17" i="50" s="1"/>
  <c r="J13" i="54"/>
  <c r="F18" i="50"/>
  <c r="F18" i="51"/>
  <c r="F18" i="52"/>
  <c r="M19" i="52" s="1"/>
  <c r="F18" i="54"/>
  <c r="M19" i="54" s="1"/>
  <c r="F18" i="46"/>
  <c r="F18" i="47"/>
  <c r="F18" i="48"/>
  <c r="F18" i="49"/>
  <c r="J13" i="52"/>
  <c r="I18" i="51"/>
  <c r="J18" i="51" s="1"/>
  <c r="Q18" i="1"/>
  <c r="O18" i="1"/>
  <c r="P18" i="1"/>
  <c r="K17" i="32"/>
  <c r="M17" i="32"/>
  <c r="B17" i="32"/>
  <c r="F17" i="32"/>
  <c r="H17" i="32"/>
  <c r="G17" i="32"/>
  <c r="L17" i="32"/>
  <c r="P12" i="32" l="1"/>
  <c r="O12" i="32"/>
  <c r="N12" i="32"/>
  <c r="K19" i="51"/>
  <c r="M19" i="51"/>
  <c r="N18" i="50"/>
  <c r="A16" i="19" s="1"/>
  <c r="M18" i="48"/>
  <c r="E16" i="19" s="1"/>
  <c r="M18" i="49"/>
  <c r="H16" i="19" s="1"/>
  <c r="N18" i="47"/>
  <c r="G16" i="19" s="1"/>
  <c r="J19" i="48"/>
  <c r="L19" i="48"/>
  <c r="J19" i="49"/>
  <c r="L19" i="49"/>
  <c r="J19" i="47"/>
  <c r="K19" i="47" s="1"/>
  <c r="M19" i="47"/>
  <c r="J19" i="46"/>
  <c r="K19" i="46" s="1"/>
  <c r="M19" i="46"/>
  <c r="N18" i="46"/>
  <c r="D16" i="19" s="1"/>
  <c r="K19" i="50"/>
  <c r="M19" i="50"/>
  <c r="I18" i="50"/>
  <c r="J18" i="50" s="1"/>
  <c r="I19" i="51"/>
  <c r="J19" i="51" s="1"/>
  <c r="F19" i="50"/>
  <c r="F19" i="46"/>
  <c r="F19" i="54"/>
  <c r="M20" i="54" s="1"/>
  <c r="F19" i="49"/>
  <c r="F19" i="52"/>
  <c r="M20" i="52" s="1"/>
  <c r="F19" i="47"/>
  <c r="F19" i="51"/>
  <c r="F19" i="48"/>
  <c r="I14" i="54"/>
  <c r="K14" i="54"/>
  <c r="N14" i="54" s="1"/>
  <c r="I14" i="52"/>
  <c r="K14" i="52"/>
  <c r="N14" i="52" s="1"/>
  <c r="P19" i="1"/>
  <c r="Q19" i="1"/>
  <c r="O19" i="1"/>
  <c r="M18" i="32"/>
  <c r="L18" i="32"/>
  <c r="H18" i="32"/>
  <c r="G18" i="32"/>
  <c r="F18" i="32"/>
  <c r="K18" i="32"/>
  <c r="B18" i="32"/>
  <c r="I13" i="32" l="1"/>
  <c r="O14" i="46"/>
  <c r="K20" i="51"/>
  <c r="M20" i="51"/>
  <c r="N19" i="51"/>
  <c r="O14" i="47"/>
  <c r="F12" i="19"/>
  <c r="N14" i="49"/>
  <c r="C12" i="19"/>
  <c r="N14" i="48"/>
  <c r="J13" i="32" s="1"/>
  <c r="M19" i="49"/>
  <c r="M19" i="48"/>
  <c r="N19" i="47"/>
  <c r="J20" i="48"/>
  <c r="L20" i="48"/>
  <c r="J20" i="49"/>
  <c r="L20" i="49"/>
  <c r="J20" i="47"/>
  <c r="K20" i="47" s="1"/>
  <c r="M20" i="47"/>
  <c r="J20" i="46"/>
  <c r="K20" i="46" s="1"/>
  <c r="M20" i="46"/>
  <c r="N19" i="46"/>
  <c r="N19" i="50"/>
  <c r="I19" i="50"/>
  <c r="J19" i="50" s="1"/>
  <c r="K20" i="50"/>
  <c r="M20" i="50"/>
  <c r="I20" i="51"/>
  <c r="J20" i="51" s="1"/>
  <c r="J14" i="54"/>
  <c r="F20" i="54"/>
  <c r="M21" i="54" s="1"/>
  <c r="F20" i="49"/>
  <c r="F20" i="52"/>
  <c r="M21" i="52" s="1"/>
  <c r="F20" i="48"/>
  <c r="F20" i="47"/>
  <c r="F20" i="50"/>
  <c r="F20" i="46"/>
  <c r="F20" i="51"/>
  <c r="J14" i="52"/>
  <c r="Q20" i="1"/>
  <c r="O20" i="1"/>
  <c r="P20" i="1"/>
  <c r="K19" i="32"/>
  <c r="G19" i="32"/>
  <c r="M19" i="32"/>
  <c r="H19" i="32"/>
  <c r="F19" i="32"/>
  <c r="L19" i="32"/>
  <c r="B19" i="32"/>
  <c r="O13" i="32" l="1"/>
  <c r="N13" i="32"/>
  <c r="P13" i="32"/>
  <c r="A17" i="19"/>
  <c r="N20" i="51"/>
  <c r="B18" i="19" s="1"/>
  <c r="D17" i="19"/>
  <c r="K21" i="51"/>
  <c r="M21" i="51"/>
  <c r="E17" i="19"/>
  <c r="H17" i="19"/>
  <c r="G17" i="19"/>
  <c r="B17" i="19"/>
  <c r="I20" i="50"/>
  <c r="J20" i="50" s="1"/>
  <c r="N20" i="50"/>
  <c r="A18" i="19" s="1"/>
  <c r="M20" i="49"/>
  <c r="H18" i="19" s="1"/>
  <c r="M20" i="48"/>
  <c r="E18" i="19" s="1"/>
  <c r="N20" i="47"/>
  <c r="G18" i="19" s="1"/>
  <c r="J21" i="48"/>
  <c r="L21" i="48"/>
  <c r="J21" i="49"/>
  <c r="L21" i="49"/>
  <c r="J21" i="47"/>
  <c r="K21" i="47" s="1"/>
  <c r="M21" i="47"/>
  <c r="J21" i="46"/>
  <c r="K21" i="46" s="1"/>
  <c r="M21" i="46"/>
  <c r="N20" i="46"/>
  <c r="D18" i="19" s="1"/>
  <c r="K21" i="50"/>
  <c r="M21" i="50"/>
  <c r="I21" i="50"/>
  <c r="J21" i="50" s="1"/>
  <c r="F21" i="52"/>
  <c r="M22" i="52" s="1"/>
  <c r="F21" i="48"/>
  <c r="F21" i="51"/>
  <c r="F21" i="47"/>
  <c r="F21" i="50"/>
  <c r="F21" i="54"/>
  <c r="M22" i="54" s="1"/>
  <c r="F21" i="46"/>
  <c r="F21" i="49"/>
  <c r="I21" i="51"/>
  <c r="J21" i="51" s="1"/>
  <c r="I15" i="54"/>
  <c r="K15" i="54"/>
  <c r="N15" i="54" s="1"/>
  <c r="I15" i="52"/>
  <c r="K15" i="52"/>
  <c r="N15" i="52" s="1"/>
  <c r="O21" i="1"/>
  <c r="Q21" i="1"/>
  <c r="P21" i="1"/>
  <c r="L21" i="1"/>
  <c r="L20" i="32"/>
  <c r="K20" i="32"/>
  <c r="F20" i="32"/>
  <c r="B20" i="32"/>
  <c r="G20" i="32"/>
  <c r="H20" i="32"/>
  <c r="M20" i="32"/>
  <c r="O15" i="46" l="1"/>
  <c r="I14" i="32"/>
  <c r="N21" i="50"/>
  <c r="A19" i="19" s="1"/>
  <c r="K22" i="51"/>
  <c r="M22" i="51"/>
  <c r="N21" i="51"/>
  <c r="O15" i="47"/>
  <c r="F13" i="19"/>
  <c r="N15" i="49"/>
  <c r="C13" i="19"/>
  <c r="N15" i="48"/>
  <c r="J14" i="32" s="1"/>
  <c r="M21" i="49"/>
  <c r="M21" i="48"/>
  <c r="E19" i="19" s="1"/>
  <c r="N21" i="47"/>
  <c r="G19" i="19" s="1"/>
  <c r="J22" i="48"/>
  <c r="L22" i="48"/>
  <c r="J22" i="49"/>
  <c r="L22" i="49"/>
  <c r="J22" i="47"/>
  <c r="K22" i="47" s="1"/>
  <c r="M22" i="47"/>
  <c r="J22" i="46"/>
  <c r="K22" i="46" s="1"/>
  <c r="M22" i="46"/>
  <c r="N21" i="46"/>
  <c r="D19" i="19" s="1"/>
  <c r="K22" i="50"/>
  <c r="M22" i="50"/>
  <c r="I22" i="50"/>
  <c r="J22" i="50" s="1"/>
  <c r="F22" i="50"/>
  <c r="F22" i="51"/>
  <c r="F22" i="52"/>
  <c r="M23" i="52" s="1"/>
  <c r="F22" i="54"/>
  <c r="M23" i="54" s="1"/>
  <c r="F22" i="46"/>
  <c r="F22" i="47"/>
  <c r="F22" i="48"/>
  <c r="F22" i="49"/>
  <c r="J15" i="52"/>
  <c r="J15" i="54"/>
  <c r="I22" i="51"/>
  <c r="J22" i="51" s="1"/>
  <c r="Q22" i="1"/>
  <c r="O22" i="1"/>
  <c r="L22" i="1"/>
  <c r="P22" i="1"/>
  <c r="M21" i="32"/>
  <c r="L21" i="32"/>
  <c r="K21" i="32"/>
  <c r="G21" i="32"/>
  <c r="B21" i="32"/>
  <c r="H21" i="32"/>
  <c r="F21" i="32"/>
  <c r="O14" i="32" l="1"/>
  <c r="N14" i="32"/>
  <c r="P14" i="32"/>
  <c r="N22" i="51"/>
  <c r="B20" i="19" s="1"/>
  <c r="B19" i="19"/>
  <c r="N22" i="50"/>
  <c r="K23" i="51"/>
  <c r="M23" i="51"/>
  <c r="H19" i="19"/>
  <c r="M22" i="49"/>
  <c r="H20" i="19" s="1"/>
  <c r="M22" i="48"/>
  <c r="E20" i="19" s="1"/>
  <c r="N22" i="47"/>
  <c r="G20" i="19" s="1"/>
  <c r="J23" i="48"/>
  <c r="L23" i="48"/>
  <c r="J23" i="49"/>
  <c r="L23" i="49"/>
  <c r="J23" i="47"/>
  <c r="K23" i="47" s="1"/>
  <c r="M23" i="47"/>
  <c r="J23" i="46"/>
  <c r="K23" i="46" s="1"/>
  <c r="M23" i="46"/>
  <c r="N22" i="46"/>
  <c r="K23" i="50"/>
  <c r="M23" i="50"/>
  <c r="N23" i="50" s="1"/>
  <c r="A21" i="19" s="1"/>
  <c r="I23" i="51"/>
  <c r="J23" i="51" s="1"/>
  <c r="I23" i="50"/>
  <c r="J23" i="50" s="1"/>
  <c r="F23" i="51"/>
  <c r="F23" i="47"/>
  <c r="F23" i="50"/>
  <c r="F23" i="46"/>
  <c r="F23" i="52"/>
  <c r="M24" i="52" s="1"/>
  <c r="F23" i="49"/>
  <c r="F23" i="54"/>
  <c r="M24" i="54" s="1"/>
  <c r="F23" i="48"/>
  <c r="I16" i="54"/>
  <c r="K16" i="54"/>
  <c r="N16" i="54" s="1"/>
  <c r="I16" i="52"/>
  <c r="G16" i="52" s="1"/>
  <c r="K16" i="52"/>
  <c r="N16" i="52" s="1"/>
  <c r="L23" i="1"/>
  <c r="O23" i="1"/>
  <c r="Q23" i="1"/>
  <c r="P23" i="1"/>
  <c r="K22" i="32"/>
  <c r="M22" i="32"/>
  <c r="L22" i="32"/>
  <c r="G22" i="32"/>
  <c r="B22" i="32"/>
  <c r="F22" i="32"/>
  <c r="H22" i="32"/>
  <c r="N23" i="51" l="1"/>
  <c r="B21" i="19" s="1"/>
  <c r="I15" i="32"/>
  <c r="O16" i="46"/>
  <c r="A20" i="19"/>
  <c r="K24" i="51"/>
  <c r="M24" i="51"/>
  <c r="D20" i="19"/>
  <c r="C14" i="19"/>
  <c r="N16" i="48"/>
  <c r="J15" i="32" s="1"/>
  <c r="O16" i="47"/>
  <c r="F14" i="19"/>
  <c r="N16" i="49"/>
  <c r="M23" i="49"/>
  <c r="M23" i="48"/>
  <c r="E21" i="19" s="1"/>
  <c r="N23" i="47"/>
  <c r="J24" i="48"/>
  <c r="L24" i="48"/>
  <c r="J24" i="49"/>
  <c r="L24" i="49"/>
  <c r="J24" i="47"/>
  <c r="K24" i="47" s="1"/>
  <c r="M24" i="47"/>
  <c r="J24" i="46"/>
  <c r="K24" i="46" s="1"/>
  <c r="M24" i="46"/>
  <c r="N23" i="46"/>
  <c r="D21" i="19" s="1"/>
  <c r="K24" i="50"/>
  <c r="M24" i="50"/>
  <c r="I24" i="51"/>
  <c r="J24" i="51" s="1"/>
  <c r="I24" i="50"/>
  <c r="J24" i="50" s="1"/>
  <c r="J16" i="54"/>
  <c r="F24" i="50"/>
  <c r="F24" i="46"/>
  <c r="F24" i="54"/>
  <c r="M25" i="54" s="1"/>
  <c r="F24" i="49"/>
  <c r="F24" i="51"/>
  <c r="F24" i="48"/>
  <c r="F24" i="52"/>
  <c r="M25" i="52" s="1"/>
  <c r="F24" i="47"/>
  <c r="D15" i="32"/>
  <c r="J16" i="52"/>
  <c r="P24" i="1"/>
  <c r="Q24" i="1"/>
  <c r="O24" i="1"/>
  <c r="L24" i="1"/>
  <c r="H23" i="32"/>
  <c r="F23" i="32"/>
  <c r="B23" i="32"/>
  <c r="G23" i="32"/>
  <c r="M23" i="32"/>
  <c r="K23" i="32"/>
  <c r="L23" i="32"/>
  <c r="N24" i="50" l="1"/>
  <c r="A22" i="19" s="1"/>
  <c r="N15" i="32"/>
  <c r="P15" i="32"/>
  <c r="O15" i="32"/>
  <c r="N24" i="51"/>
  <c r="B22" i="19" s="1"/>
  <c r="K25" i="51"/>
  <c r="M25" i="51"/>
  <c r="H21" i="19"/>
  <c r="G21" i="19"/>
  <c r="M24" i="49"/>
  <c r="H22" i="19" s="1"/>
  <c r="M24" i="48"/>
  <c r="E22" i="19" s="1"/>
  <c r="N24" i="47"/>
  <c r="G22" i="19" s="1"/>
  <c r="J25" i="48"/>
  <c r="L25" i="48"/>
  <c r="J25" i="49"/>
  <c r="L25" i="49"/>
  <c r="J25" i="47"/>
  <c r="K25" i="47" s="1"/>
  <c r="M25" i="47"/>
  <c r="J25" i="46"/>
  <c r="K25" i="46" s="1"/>
  <c r="M25" i="46"/>
  <c r="N24" i="46"/>
  <c r="D22" i="19" s="1"/>
  <c r="K25" i="50"/>
  <c r="M25" i="50"/>
  <c r="I25" i="50"/>
  <c r="J25" i="50" s="1"/>
  <c r="I25" i="51"/>
  <c r="J25" i="51" s="1"/>
  <c r="I17" i="52"/>
  <c r="K17" i="52"/>
  <c r="N17" i="52" s="1"/>
  <c r="L26" i="1"/>
  <c r="B26" i="32" s="1"/>
  <c r="F25" i="54"/>
  <c r="M26" i="54" s="1"/>
  <c r="F25" i="49"/>
  <c r="F25" i="52"/>
  <c r="M26" i="52" s="1"/>
  <c r="F25" i="48"/>
  <c r="F25" i="51"/>
  <c r="F25" i="46"/>
  <c r="F25" i="47"/>
  <c r="F25" i="50"/>
  <c r="I17" i="54"/>
  <c r="K17" i="54"/>
  <c r="N17" i="54" s="1"/>
  <c r="P26" i="1"/>
  <c r="O26" i="1"/>
  <c r="Q26" i="1"/>
  <c r="O25" i="1"/>
  <c r="L25" i="1"/>
  <c r="Q25" i="1"/>
  <c r="P25" i="1"/>
  <c r="L24" i="32"/>
  <c r="M24" i="32"/>
  <c r="B24" i="32"/>
  <c r="F24" i="32"/>
  <c r="H24" i="32"/>
  <c r="G24" i="32"/>
  <c r="K24" i="32"/>
  <c r="I16" i="32" l="1"/>
  <c r="O17" i="46"/>
  <c r="N25" i="51"/>
  <c r="B23" i="19" s="1"/>
  <c r="K26" i="51"/>
  <c r="M26" i="51"/>
  <c r="O17" i="47"/>
  <c r="F15" i="19"/>
  <c r="N17" i="49"/>
  <c r="C15" i="19"/>
  <c r="N17" i="48"/>
  <c r="J16" i="32" s="1"/>
  <c r="N25" i="50"/>
  <c r="M25" i="49"/>
  <c r="H23" i="19" s="1"/>
  <c r="M25" i="48"/>
  <c r="E23" i="19" s="1"/>
  <c r="N25" i="47"/>
  <c r="G23" i="19" s="1"/>
  <c r="J26" i="48"/>
  <c r="L26" i="48"/>
  <c r="J26" i="49"/>
  <c r="L26" i="49"/>
  <c r="J26" i="47"/>
  <c r="K26" i="47" s="1"/>
  <c r="M26" i="47"/>
  <c r="J26" i="46"/>
  <c r="K26" i="46" s="1"/>
  <c r="M26" i="46"/>
  <c r="N25" i="46"/>
  <c r="D23" i="19" s="1"/>
  <c r="K26" i="50"/>
  <c r="M26" i="50"/>
  <c r="F26" i="50"/>
  <c r="F26" i="51"/>
  <c r="F26" i="52"/>
  <c r="M27" i="52" s="1"/>
  <c r="F26" i="54"/>
  <c r="M27" i="54" s="1"/>
  <c r="F26" i="46"/>
  <c r="F26" i="47"/>
  <c r="F26" i="48"/>
  <c r="F26" i="49"/>
  <c r="J17" i="52"/>
  <c r="F27" i="52"/>
  <c r="M28" i="52" s="1"/>
  <c r="F27" i="48"/>
  <c r="F27" i="51"/>
  <c r="F27" i="47"/>
  <c r="F27" i="46"/>
  <c r="F27" i="49"/>
  <c r="F27" i="50"/>
  <c r="F27" i="54"/>
  <c r="M28" i="54" s="1"/>
  <c r="I26" i="51"/>
  <c r="I26" i="50"/>
  <c r="J17" i="54"/>
  <c r="L25" i="32"/>
  <c r="F26" i="32"/>
  <c r="H26" i="32"/>
  <c r="G26" i="32"/>
  <c r="Q27" i="1"/>
  <c r="L27" i="1"/>
  <c r="O27" i="1"/>
  <c r="P27" i="1"/>
  <c r="M25" i="32"/>
  <c r="F25" i="32"/>
  <c r="G25" i="32"/>
  <c r="H25" i="32"/>
  <c r="K25" i="32"/>
  <c r="B25" i="32"/>
  <c r="P16" i="32" l="1"/>
  <c r="N16" i="32"/>
  <c r="O16" i="32"/>
  <c r="N26" i="50"/>
  <c r="A24" i="19" s="1"/>
  <c r="N26" i="51"/>
  <c r="K28" i="51"/>
  <c r="M28" i="51"/>
  <c r="K27" i="51"/>
  <c r="M27" i="51"/>
  <c r="A23" i="19"/>
  <c r="B24" i="19"/>
  <c r="M26" i="49"/>
  <c r="M26" i="48"/>
  <c r="E24" i="19" s="1"/>
  <c r="N26" i="47"/>
  <c r="G24" i="19" s="1"/>
  <c r="J28" i="48"/>
  <c r="L28" i="48"/>
  <c r="J27" i="48"/>
  <c r="L27" i="48"/>
  <c r="J27" i="49"/>
  <c r="L27" i="49"/>
  <c r="J28" i="49"/>
  <c r="L28" i="49"/>
  <c r="J27" i="47"/>
  <c r="K27" i="47" s="1"/>
  <c r="M27" i="47"/>
  <c r="J28" i="47"/>
  <c r="M28" i="47"/>
  <c r="J28" i="46"/>
  <c r="M28" i="46"/>
  <c r="J27" i="46"/>
  <c r="K27" i="46" s="1"/>
  <c r="M27" i="46"/>
  <c r="N26" i="46"/>
  <c r="D24" i="19" s="1"/>
  <c r="K27" i="50"/>
  <c r="M27" i="50"/>
  <c r="K28" i="50"/>
  <c r="M28" i="50"/>
  <c r="N28" i="50" s="1"/>
  <c r="A26" i="19" s="1"/>
  <c r="I27" i="51"/>
  <c r="J27" i="51" s="1"/>
  <c r="J26" i="51"/>
  <c r="I27" i="50"/>
  <c r="J27" i="50" s="1"/>
  <c r="J26" i="50"/>
  <c r="F28" i="51"/>
  <c r="F28" i="47"/>
  <c r="F28" i="50"/>
  <c r="F28" i="46"/>
  <c r="F28" i="48"/>
  <c r="F28" i="54"/>
  <c r="M29" i="54" s="1"/>
  <c r="F28" i="52"/>
  <c r="M29" i="52" s="1"/>
  <c r="F28" i="49"/>
  <c r="I28" i="51"/>
  <c r="I18" i="54"/>
  <c r="K18" i="54"/>
  <c r="N18" i="54" s="1"/>
  <c r="I18" i="52"/>
  <c r="K18" i="52"/>
  <c r="N18" i="52" s="1"/>
  <c r="F27" i="32"/>
  <c r="B27" i="32"/>
  <c r="G27" i="32"/>
  <c r="H27" i="32"/>
  <c r="K26" i="32"/>
  <c r="L26" i="32"/>
  <c r="M26" i="32"/>
  <c r="I17" i="32" l="1"/>
  <c r="O18" i="46"/>
  <c r="N27" i="51"/>
  <c r="B25" i="19" s="1"/>
  <c r="K29" i="51"/>
  <c r="M29" i="51"/>
  <c r="H24" i="19"/>
  <c r="N28" i="51"/>
  <c r="B26" i="19" s="1"/>
  <c r="F16" i="19"/>
  <c r="N18" i="49"/>
  <c r="O18" i="47"/>
  <c r="C16" i="19"/>
  <c r="N18" i="48"/>
  <c r="J17" i="32" s="1"/>
  <c r="K28" i="46"/>
  <c r="N28" i="46" s="1"/>
  <c r="D26" i="19" s="1"/>
  <c r="M28" i="48"/>
  <c r="E26" i="19" s="1"/>
  <c r="M28" i="49"/>
  <c r="H26" i="19" s="1"/>
  <c r="M27" i="49"/>
  <c r="H25" i="19" s="1"/>
  <c r="M27" i="48"/>
  <c r="E25" i="19" s="1"/>
  <c r="N27" i="47"/>
  <c r="G25" i="19" s="1"/>
  <c r="K28" i="47"/>
  <c r="J29" i="48"/>
  <c r="L29" i="48"/>
  <c r="J29" i="49"/>
  <c r="L29" i="49"/>
  <c r="J29" i="47"/>
  <c r="M29" i="47"/>
  <c r="N27" i="46"/>
  <c r="D25" i="19" s="1"/>
  <c r="J29" i="46"/>
  <c r="K29" i="46" s="1"/>
  <c r="M29" i="46"/>
  <c r="N27" i="50"/>
  <c r="A25" i="19" s="1"/>
  <c r="K29" i="50"/>
  <c r="M29" i="50"/>
  <c r="I28" i="50"/>
  <c r="I29" i="50" s="1"/>
  <c r="I29" i="51"/>
  <c r="J28" i="51"/>
  <c r="M28" i="32"/>
  <c r="L28" i="32"/>
  <c r="J18" i="54"/>
  <c r="J18" i="52"/>
  <c r="K28" i="32"/>
  <c r="K27" i="32"/>
  <c r="L27" i="32"/>
  <c r="M27" i="32"/>
  <c r="O17" i="32" l="1"/>
  <c r="N17" i="32"/>
  <c r="P17" i="32"/>
  <c r="N29" i="51"/>
  <c r="N29" i="50"/>
  <c r="N30" i="50" s="1"/>
  <c r="M29" i="49"/>
  <c r="M29" i="48"/>
  <c r="M30" i="48" s="1"/>
  <c r="N28" i="47"/>
  <c r="G26" i="19" s="1"/>
  <c r="K29" i="47"/>
  <c r="N29" i="46"/>
  <c r="N30" i="46" s="1"/>
  <c r="J28" i="50"/>
  <c r="J29" i="51"/>
  <c r="J29" i="50"/>
  <c r="I19" i="52"/>
  <c r="K19" i="52"/>
  <c r="N19" i="52" s="1"/>
  <c r="I19" i="54"/>
  <c r="K19" i="54"/>
  <c r="N19" i="54" s="1"/>
  <c r="H27" i="19" l="1"/>
  <c r="H29" i="19" s="1"/>
  <c r="M30" i="49"/>
  <c r="I18" i="32"/>
  <c r="O19" i="46"/>
  <c r="N30" i="51"/>
  <c r="B27" i="19"/>
  <c r="C17" i="19"/>
  <c r="N19" i="48"/>
  <c r="J18" i="32" s="1"/>
  <c r="N19" i="49"/>
  <c r="F17" i="19"/>
  <c r="O19" i="47"/>
  <c r="A27" i="19"/>
  <c r="D27" i="19"/>
  <c r="E27" i="19"/>
  <c r="E29" i="19" s="1"/>
  <c r="N29" i="47"/>
  <c r="J19" i="52"/>
  <c r="J19" i="54"/>
  <c r="D29" i="19"/>
  <c r="G27" i="19" l="1"/>
  <c r="N30" i="47"/>
  <c r="N18" i="32"/>
  <c r="P18" i="32"/>
  <c r="O18" i="32"/>
  <c r="I20" i="54"/>
  <c r="K20" i="54"/>
  <c r="N20" i="54" s="1"/>
  <c r="I20" i="52"/>
  <c r="K20" i="52"/>
  <c r="N20" i="52" s="1"/>
  <c r="B29" i="19"/>
  <c r="I19" i="32" l="1"/>
  <c r="O20" i="46"/>
  <c r="F18" i="19"/>
  <c r="N20" i="49"/>
  <c r="O20" i="47"/>
  <c r="C18" i="19"/>
  <c r="N20" i="48"/>
  <c r="J19" i="32" s="1"/>
  <c r="J20" i="52"/>
  <c r="J20" i="54"/>
  <c r="N19" i="32" l="1"/>
  <c r="P19" i="32"/>
  <c r="O19" i="32"/>
  <c r="I21" i="54"/>
  <c r="K21" i="54"/>
  <c r="N21" i="54" s="1"/>
  <c r="I21" i="52"/>
  <c r="K21" i="52"/>
  <c r="N21" i="52" s="1"/>
  <c r="I20" i="32" l="1"/>
  <c r="O21" i="46"/>
  <c r="O21" i="47"/>
  <c r="F19" i="19"/>
  <c r="N21" i="49"/>
  <c r="C19" i="19"/>
  <c r="N21" i="48"/>
  <c r="J20" i="32" s="1"/>
  <c r="J21" i="54"/>
  <c r="J21" i="52"/>
  <c r="P20" i="32" l="1"/>
  <c r="N20" i="32"/>
  <c r="O20" i="32"/>
  <c r="I22" i="52"/>
  <c r="K22" i="52"/>
  <c r="N22" i="52" s="1"/>
  <c r="I22" i="54"/>
  <c r="K22" i="54"/>
  <c r="N22" i="54" s="1"/>
  <c r="I21" i="32" l="1"/>
  <c r="O22" i="46"/>
  <c r="O22" i="47"/>
  <c r="F20" i="19"/>
  <c r="N22" i="49"/>
  <c r="C20" i="19"/>
  <c r="N22" i="48"/>
  <c r="J21" i="32" s="1"/>
  <c r="J22" i="54"/>
  <c r="J22" i="52"/>
  <c r="P21" i="32" l="1"/>
  <c r="O21" i="32"/>
  <c r="N21" i="32"/>
  <c r="I23" i="54"/>
  <c r="K23" i="54"/>
  <c r="N23" i="54" s="1"/>
  <c r="I23" i="52"/>
  <c r="K23" i="52"/>
  <c r="N23" i="52" s="1"/>
  <c r="I22" i="32" l="1"/>
  <c r="O23" i="46"/>
  <c r="C21" i="19"/>
  <c r="N23" i="48"/>
  <c r="J22" i="32" s="1"/>
  <c r="N23" i="49"/>
  <c r="F21" i="19"/>
  <c r="O23" i="47"/>
  <c r="J23" i="52"/>
  <c r="J23" i="54"/>
  <c r="N22" i="32" l="1"/>
  <c r="P22" i="32"/>
  <c r="O22" i="32"/>
  <c r="I24" i="54"/>
  <c r="K24" i="54"/>
  <c r="N24" i="54" s="1"/>
  <c r="I24" i="52"/>
  <c r="K24" i="52"/>
  <c r="N24" i="52" s="1"/>
  <c r="I23" i="32" l="1"/>
  <c r="O24" i="46"/>
  <c r="C22" i="19"/>
  <c r="N24" i="48"/>
  <c r="J23" i="32" s="1"/>
  <c r="O24" i="47"/>
  <c r="F22" i="19"/>
  <c r="N24" i="49"/>
  <c r="J24" i="54"/>
  <c r="J24" i="52"/>
  <c r="O23" i="32" l="1"/>
  <c r="P23" i="32"/>
  <c r="N23" i="32"/>
  <c r="I25" i="54"/>
  <c r="K25" i="54"/>
  <c r="N25" i="54" s="1"/>
  <c r="I25" i="52"/>
  <c r="K25" i="52"/>
  <c r="N25" i="52" s="1"/>
  <c r="I24" i="32" l="1"/>
  <c r="O25" i="46"/>
  <c r="C23" i="19"/>
  <c r="N25" i="48"/>
  <c r="J24" i="32" s="1"/>
  <c r="F23" i="19"/>
  <c r="N25" i="49"/>
  <c r="O25" i="47"/>
  <c r="J25" i="54"/>
  <c r="J25" i="52"/>
  <c r="O24" i="32" l="1"/>
  <c r="P24" i="32"/>
  <c r="N24" i="32"/>
  <c r="I26" i="52"/>
  <c r="K26" i="52"/>
  <c r="N26" i="52" s="1"/>
  <c r="I26" i="54"/>
  <c r="K26" i="54"/>
  <c r="N26" i="54" s="1"/>
  <c r="I25" i="32" l="1"/>
  <c r="O26" i="46"/>
  <c r="O26" i="47"/>
  <c r="F24" i="19"/>
  <c r="N26" i="49"/>
  <c r="C24" i="19"/>
  <c r="N26" i="48"/>
  <c r="J25" i="32" s="1"/>
  <c r="J26" i="54"/>
  <c r="J26" i="52"/>
  <c r="P25" i="32" l="1"/>
  <c r="O25" i="32"/>
  <c r="N25" i="32"/>
  <c r="I27" i="54"/>
  <c r="K27" i="54"/>
  <c r="N27" i="54" s="1"/>
  <c r="I27" i="52"/>
  <c r="K27" i="52"/>
  <c r="N27" i="52" s="1"/>
  <c r="I26" i="32" l="1"/>
  <c r="O27" i="46"/>
  <c r="C25" i="19"/>
  <c r="N27" i="48"/>
  <c r="J26" i="32" s="1"/>
  <c r="N27" i="49"/>
  <c r="O27" i="47"/>
  <c r="F25" i="19"/>
  <c r="J27" i="52"/>
  <c r="J27" i="54"/>
  <c r="O26" i="32" l="1"/>
  <c r="N26" i="32"/>
  <c r="P26" i="32"/>
  <c r="K28" i="52"/>
  <c r="N28" i="52" s="1"/>
  <c r="I28" i="52"/>
  <c r="I28" i="54"/>
  <c r="K28" i="54"/>
  <c r="N28" i="54" s="1"/>
  <c r="A29" i="19"/>
  <c r="I27" i="32" l="1"/>
  <c r="O28" i="46"/>
  <c r="O28" i="47"/>
  <c r="F26" i="19"/>
  <c r="N28" i="49"/>
  <c r="C26" i="19"/>
  <c r="N28" i="48"/>
  <c r="J27" i="32" s="1"/>
  <c r="J28" i="52"/>
  <c r="J28" i="54"/>
  <c r="N27" i="32" l="1"/>
  <c r="P27" i="32"/>
  <c r="O27" i="32"/>
  <c r="I29" i="54"/>
  <c r="K29" i="54"/>
  <c r="N29" i="54" s="1"/>
  <c r="N30" i="54" s="1"/>
  <c r="K29" i="52"/>
  <c r="N29" i="52" s="1"/>
  <c r="I29" i="52"/>
  <c r="I28" i="32" l="1"/>
  <c r="O29" i="46"/>
  <c r="N30" i="52"/>
  <c r="O30" i="46" s="1"/>
  <c r="F27" i="19"/>
  <c r="F29" i="19" s="1"/>
  <c r="O29" i="47"/>
  <c r="N29" i="49"/>
  <c r="C27" i="19"/>
  <c r="C29" i="19" s="1"/>
  <c r="N29" i="48"/>
  <c r="J28" i="32" s="1"/>
  <c r="J29" i="52"/>
  <c r="J29" i="54"/>
  <c r="N30" i="48" l="1"/>
  <c r="N28" i="32"/>
  <c r="N29" i="32" s="1"/>
  <c r="O28" i="32"/>
  <c r="O29" i="32" s="1"/>
  <c r="P28" i="32"/>
  <c r="P29" i="32" s="1"/>
  <c r="O30" i="47"/>
  <c r="N30" i="49"/>
  <c r="M33" i="49" s="1"/>
  <c r="M34" i="49" s="1"/>
  <c r="P30" i="32" l="1"/>
  <c r="N33" i="47"/>
  <c r="N35" i="47" s="1"/>
  <c r="G29" i="19"/>
</calcChain>
</file>

<file path=xl/comments1.xml><?xml version="1.0" encoding="utf-8"?>
<comments xmlns="http://schemas.openxmlformats.org/spreadsheetml/2006/main">
  <authors>
    <author>Pfeifer, Jamie</author>
  </authors>
  <commentList>
    <comment ref="M15" authorId="0" shapeId="0">
      <text>
        <r>
          <rPr>
            <b/>
            <sz val="9"/>
            <color indexed="81"/>
            <rFont val="Tahoma"/>
            <family val="2"/>
          </rPr>
          <t>pro rate decreased principal across lenders.</t>
        </r>
      </text>
    </comment>
  </commentList>
</comments>
</file>

<file path=xl/comments2.xml><?xml version="1.0" encoding="utf-8"?>
<comments xmlns="http://schemas.openxmlformats.org/spreadsheetml/2006/main">
  <authors>
    <author>Pfeifer, Jamie</author>
    <author>Madhany, Fatima</author>
  </authors>
  <commentList>
    <comment ref="I2" authorId="0" shapeId="0">
      <text>
        <r>
          <rPr>
            <b/>
            <sz val="9"/>
            <color indexed="81"/>
            <rFont val="Tahoma"/>
            <family val="2"/>
          </rPr>
          <t>Daily Change in Accumulated Interest Unpaid</t>
        </r>
        <r>
          <rPr>
            <sz val="9"/>
            <color indexed="81"/>
            <rFont val="Tahoma"/>
            <family val="2"/>
          </rPr>
          <t xml:space="preserve">
</t>
        </r>
      </text>
    </comment>
    <comment ref="J2" authorId="0" shapeId="0">
      <text>
        <r>
          <rPr>
            <b/>
            <sz val="9"/>
            <color indexed="81"/>
            <rFont val="Tahoma"/>
            <family val="2"/>
          </rPr>
          <t>Daily Change in Accumulated Interest Unpaid</t>
        </r>
        <r>
          <rPr>
            <sz val="9"/>
            <color indexed="81"/>
            <rFont val="Tahoma"/>
            <family val="2"/>
          </rPr>
          <t xml:space="preserve">
</t>
        </r>
      </text>
    </comment>
    <comment ref="D15" authorId="1" shapeId="0">
      <text>
        <r>
          <rPr>
            <b/>
            <sz val="9"/>
            <color indexed="81"/>
            <rFont val="Tahoma"/>
            <family val="2"/>
          </rPr>
          <t xml:space="preserve">pro rata decreased principal across lenders.
</t>
        </r>
        <r>
          <rPr>
            <sz val="9"/>
            <color indexed="81"/>
            <rFont val="Tahoma"/>
            <family val="2"/>
          </rPr>
          <t xml:space="preserve">
</t>
        </r>
      </text>
    </comment>
  </commentList>
</comments>
</file>

<file path=xl/sharedStrings.xml><?xml version="1.0" encoding="utf-8"?>
<sst xmlns="http://schemas.openxmlformats.org/spreadsheetml/2006/main" count="405" uniqueCount="99">
  <si>
    <t>Observation Shift</t>
  </si>
  <si>
    <t>Date</t>
  </si>
  <si>
    <t>Relevant SOFR Print</t>
  </si>
  <si>
    <t>Trade</t>
  </si>
  <si>
    <t>Lender 1</t>
  </si>
  <si>
    <t>Lender 2</t>
  </si>
  <si>
    <t>Lender 3</t>
  </si>
  <si>
    <t>Lender Positions</t>
  </si>
  <si>
    <t>Repo Rates</t>
  </si>
  <si>
    <t>DATE</t>
  </si>
  <si>
    <t xml:space="preserve"> BENCHMARK NAME </t>
  </si>
  <si>
    <t>RATE
(PERCENT)</t>
  </si>
  <si>
    <t>PERCENTILES</t>
  </si>
  <si>
    <t/>
  </si>
  <si>
    <t>VOLUME (US$BILLIONS)</t>
  </si>
  <si>
    <t>1ST
(PERCENT)</t>
  </si>
  <si>
    <t>25TH
(PERCENT)</t>
  </si>
  <si>
    <t>75TH
(PERCENT)</t>
  </si>
  <si>
    <t>99TH
(PERCENT)</t>
  </si>
  <si>
    <t>SOFR</t>
  </si>
  <si>
    <t>r Revised
1 Rate was calculated with reduced volume
2 Rate was calculated using survey data
3 Because of insufficient current data, the published rate is a republication of the prior day's rate</t>
  </si>
  <si>
    <t xml:space="preserve">
</t>
  </si>
  <si>
    <t xml:space="preserve">Number of Lenders </t>
  </si>
  <si>
    <t>Start Date</t>
  </si>
  <si>
    <t>Principal Paydown</t>
  </si>
  <si>
    <t>Lender 1 %</t>
  </si>
  <si>
    <t>Lender 2 %</t>
  </si>
  <si>
    <t>Lender 3 %</t>
  </si>
  <si>
    <t>Lender 1  Daily Interest</t>
  </si>
  <si>
    <t>Lender 2  Daily Interest</t>
  </si>
  <si>
    <t>Lender 3  Daily Interest</t>
  </si>
  <si>
    <t>Fri Jul  19</t>
  </si>
  <si>
    <r>
      <rPr>
        <b/>
        <u/>
        <sz val="11"/>
        <color theme="1"/>
        <rFont val="Calibri"/>
        <family val="2"/>
        <scheme val="minor"/>
      </rPr>
      <t>Step 1:</t>
    </r>
    <r>
      <rPr>
        <sz val="11"/>
        <color theme="1"/>
        <rFont val="Calibri"/>
        <family val="2"/>
        <scheme val="minor"/>
      </rPr>
      <t xml:space="preserve"> Calculate Pro Rata Shares based on Principal Only</t>
    </r>
  </si>
  <si>
    <r>
      <rPr>
        <b/>
        <u/>
        <sz val="11"/>
        <color theme="1"/>
        <rFont val="Calibri"/>
        <family val="2"/>
        <scheme val="minor"/>
      </rPr>
      <t>Step 2:</t>
    </r>
    <r>
      <rPr>
        <sz val="11"/>
        <color theme="1"/>
        <rFont val="Calibri"/>
        <family val="2"/>
        <scheme val="minor"/>
      </rPr>
      <t xml:space="preserve"> Distribute Daily Interest Accrual Based on Pro Rata Share</t>
    </r>
  </si>
  <si>
    <t>Mon Jul 15</t>
  </si>
  <si>
    <t>CTB Daily Interest Accrual</t>
  </si>
  <si>
    <t>CTR Daily Interest Accrual</t>
  </si>
  <si>
    <t>none</t>
  </si>
  <si>
    <t>Term (Calendar Days)</t>
  </si>
  <si>
    <t>Number of Business Days</t>
  </si>
  <si>
    <t>Payment Activity:</t>
  </si>
  <si>
    <t>Borrower Paydown</t>
  </si>
  <si>
    <t>Simple Interest (1a)</t>
  </si>
  <si>
    <t>Compound  Balance (2a)</t>
  </si>
  <si>
    <t>Compound  Rate (3a)</t>
  </si>
  <si>
    <r>
      <t xml:space="preserve">Simple Interest- </t>
    </r>
    <r>
      <rPr>
        <b/>
        <sz val="11"/>
        <color theme="1"/>
        <rFont val="Calibri"/>
        <family val="2"/>
        <scheme val="minor"/>
      </rPr>
      <t>no</t>
    </r>
    <r>
      <rPr>
        <sz val="11"/>
        <color theme="1"/>
        <rFont val="Calibri"/>
        <family val="2"/>
        <scheme val="minor"/>
      </rPr>
      <t xml:space="preserve"> interest prepay (1b)</t>
    </r>
  </si>
  <si>
    <r>
      <t xml:space="preserve">Comp Bal- </t>
    </r>
    <r>
      <rPr>
        <b/>
        <sz val="11"/>
        <color theme="1"/>
        <rFont val="Calibri"/>
        <family val="2"/>
        <scheme val="minor"/>
      </rPr>
      <t>no</t>
    </r>
    <r>
      <rPr>
        <sz val="11"/>
        <color theme="1"/>
        <rFont val="Calibri"/>
        <family val="2"/>
        <scheme val="minor"/>
      </rPr>
      <t xml:space="preserve"> interest prepay (2b)</t>
    </r>
  </si>
  <si>
    <r>
      <t>Comp Rate-</t>
    </r>
    <r>
      <rPr>
        <b/>
        <sz val="11"/>
        <color theme="1"/>
        <rFont val="Calibri"/>
        <family val="2"/>
        <scheme val="minor"/>
      </rPr>
      <t>no</t>
    </r>
    <r>
      <rPr>
        <sz val="11"/>
        <color theme="1"/>
        <rFont val="Calibri"/>
        <family val="2"/>
        <scheme val="minor"/>
      </rPr>
      <t xml:space="preserve"> interest prepay (3b)</t>
    </r>
  </si>
  <si>
    <r>
      <t>Comp Rate NCCR-</t>
    </r>
    <r>
      <rPr>
        <b/>
        <sz val="11"/>
        <color theme="1"/>
        <rFont val="Calibri"/>
        <family val="2"/>
        <scheme val="minor"/>
      </rPr>
      <t>no</t>
    </r>
    <r>
      <rPr>
        <sz val="11"/>
        <color theme="1"/>
        <rFont val="Calibri"/>
        <family val="2"/>
        <scheme val="minor"/>
      </rPr>
      <t xml:space="preserve"> interest prepay (4b)</t>
    </r>
  </si>
  <si>
    <t>Compound  Rate NCCR (4a)</t>
  </si>
  <si>
    <t>Same result regardless of int prepay</t>
  </si>
  <si>
    <t>same result as CTB if int prepay</t>
  </si>
  <si>
    <t>diff results from CTB if no int prepay</t>
  </si>
  <si>
    <t>Interest Payment Date</t>
  </si>
  <si>
    <t>-</t>
  </si>
  <si>
    <r>
      <t xml:space="preserve">Accumulated Unpaid Interest </t>
    </r>
    <r>
      <rPr>
        <i/>
        <sz val="11"/>
        <color theme="1"/>
        <rFont val="Calibri"/>
        <family val="2"/>
        <scheme val="minor"/>
      </rPr>
      <t>Before</t>
    </r>
    <r>
      <rPr>
        <sz val="11"/>
        <color theme="1"/>
        <rFont val="Calibri"/>
        <family val="2"/>
        <scheme val="minor"/>
      </rPr>
      <t xml:space="preserve"> Paydown (A</t>
    </r>
    <r>
      <rPr>
        <vertAlign val="subscript"/>
        <sz val="11"/>
        <color theme="1"/>
        <rFont val="Calibri"/>
        <family val="2"/>
        <scheme val="minor"/>
      </rPr>
      <t>t</t>
    </r>
    <r>
      <rPr>
        <sz val="11"/>
        <color theme="1"/>
        <rFont val="Calibri"/>
        <family val="2"/>
        <scheme val="minor"/>
      </rPr>
      <t>)</t>
    </r>
  </si>
  <si>
    <r>
      <t xml:space="preserve">Accumulated Unpaid Interest </t>
    </r>
    <r>
      <rPr>
        <i/>
        <sz val="11"/>
        <color theme="1"/>
        <rFont val="Calibri"/>
        <family val="2"/>
        <scheme val="minor"/>
      </rPr>
      <t>After</t>
    </r>
    <r>
      <rPr>
        <sz val="11"/>
        <color theme="1"/>
        <rFont val="Calibri"/>
        <family val="2"/>
        <scheme val="minor"/>
      </rPr>
      <t xml:space="preserve"> Paydown (Aʹ</t>
    </r>
    <r>
      <rPr>
        <vertAlign val="subscript"/>
        <sz val="11"/>
        <color theme="1"/>
        <rFont val="Calibri"/>
        <family val="2"/>
        <scheme val="minor"/>
      </rPr>
      <t>t</t>
    </r>
    <r>
      <rPr>
        <sz val="11"/>
        <color theme="1"/>
        <rFont val="Calibri"/>
        <family val="2"/>
        <scheme val="minor"/>
      </rPr>
      <t>)</t>
    </r>
  </si>
  <si>
    <t>Effective Rate</t>
  </si>
  <si>
    <t>Interest Paydown</t>
  </si>
  <si>
    <r>
      <t># days rate applies (n</t>
    </r>
    <r>
      <rPr>
        <vertAlign val="subscript"/>
        <sz val="11"/>
        <color theme="0"/>
        <rFont val="Calibri"/>
        <family val="2"/>
        <scheme val="minor"/>
      </rPr>
      <t>t</t>
    </r>
    <r>
      <rPr>
        <sz val="11"/>
        <color theme="0"/>
        <rFont val="Calibri"/>
        <family val="2"/>
        <scheme val="minor"/>
      </rPr>
      <t>)</t>
    </r>
  </si>
  <si>
    <r>
      <t>SOFR Print (r</t>
    </r>
    <r>
      <rPr>
        <vertAlign val="subscript"/>
        <sz val="12"/>
        <color theme="0"/>
        <rFont val="Calibri"/>
        <family val="2"/>
        <scheme val="minor"/>
      </rPr>
      <t>t</t>
    </r>
    <r>
      <rPr>
        <sz val="12"/>
        <color theme="0"/>
        <rFont val="Calibri"/>
        <family val="2"/>
        <scheme val="minor"/>
      </rPr>
      <t>)</t>
    </r>
  </si>
  <si>
    <t>Principal</t>
  </si>
  <si>
    <t>Observation Date (no lookback)</t>
  </si>
  <si>
    <r>
      <t># days rate applies (n</t>
    </r>
    <r>
      <rPr>
        <vertAlign val="subscript"/>
        <sz val="11"/>
        <color theme="1"/>
        <rFont val="Calibri"/>
        <family val="2"/>
        <scheme val="minor"/>
      </rPr>
      <t>t</t>
    </r>
    <r>
      <rPr>
        <sz val="11"/>
        <color theme="1"/>
        <rFont val="Calibri"/>
        <family val="2"/>
        <scheme val="minor"/>
      </rPr>
      <t>)</t>
    </r>
  </si>
  <si>
    <t>Lender Positions and Trading</t>
  </si>
  <si>
    <t>Initial Principal Borrowed</t>
  </si>
  <si>
    <t>Annual Day-Count Convention</t>
  </si>
  <si>
    <t>Daily Base Interest Accrual</t>
  </si>
  <si>
    <r>
      <t>Unannualized Cumulative Compound Rate (UCR</t>
    </r>
    <r>
      <rPr>
        <vertAlign val="subscript"/>
        <sz val="11"/>
        <color theme="1"/>
        <rFont val="Calibri"/>
        <family val="2"/>
        <scheme val="minor"/>
      </rPr>
      <t>t</t>
    </r>
    <r>
      <rPr>
        <sz val="11"/>
        <color theme="1"/>
        <rFont val="Calibri"/>
        <family val="2"/>
        <scheme val="minor"/>
      </rPr>
      <t>)</t>
    </r>
  </si>
  <si>
    <r>
      <t>Interest Paydown (PD</t>
    </r>
    <r>
      <rPr>
        <vertAlign val="subscript"/>
        <sz val="12"/>
        <color theme="0"/>
        <rFont val="Calibri"/>
        <family val="2"/>
        <scheme val="minor"/>
      </rPr>
      <t>t</t>
    </r>
    <r>
      <rPr>
        <sz val="12"/>
        <color theme="0"/>
        <rFont val="Calibri"/>
        <family val="2"/>
        <scheme val="minor"/>
      </rPr>
      <t>)</t>
    </r>
  </si>
  <si>
    <t>Noncumulative Compound Rate Daily Base Interest Accrual</t>
  </si>
  <si>
    <r>
      <t>Principal
(P</t>
    </r>
    <r>
      <rPr>
        <vertAlign val="subscript"/>
        <sz val="12"/>
        <color theme="0"/>
        <rFont val="Calibri"/>
        <family val="2"/>
        <scheme val="minor"/>
      </rPr>
      <t>t</t>
    </r>
    <r>
      <rPr>
        <sz val="12"/>
        <color theme="0"/>
        <rFont val="Calibri"/>
        <family val="2"/>
        <scheme val="minor"/>
      </rPr>
      <t>)</t>
    </r>
  </si>
  <si>
    <t>SOFR Rate and Principal/Paydown Information</t>
  </si>
  <si>
    <t>Compound Interest Accrual Calculations</t>
  </si>
  <si>
    <t>Effective Margin Rate</t>
  </si>
  <si>
    <t>Daily Margin Accrual</t>
  </si>
  <si>
    <t>Total Daily Interest Accrual</t>
  </si>
  <si>
    <t>Simple Margin  Accrual</t>
  </si>
  <si>
    <r>
      <t>Margin
(m</t>
    </r>
    <r>
      <rPr>
        <vertAlign val="subscript"/>
        <sz val="12"/>
        <color theme="0"/>
        <rFont val="Calibri"/>
        <family val="2"/>
        <scheme val="minor"/>
      </rPr>
      <t>t</t>
    </r>
    <r>
      <rPr>
        <sz val="12"/>
        <color theme="0"/>
        <rFont val="Calibri"/>
        <family val="2"/>
        <scheme val="minor"/>
      </rPr>
      <t>)</t>
    </r>
  </si>
  <si>
    <t>Margin</t>
  </si>
  <si>
    <t>Base Rate</t>
  </si>
  <si>
    <t>Daily SOFR</t>
  </si>
  <si>
    <t>Note: CTB Total Daily Accrual</t>
  </si>
  <si>
    <t>Difference in CTB and CTR:</t>
  </si>
  <si>
    <t>Amount of unpaid interest</t>
  </si>
  <si>
    <t>Subsequent interest due</t>
  </si>
  <si>
    <t>Note</t>
  </si>
  <si>
    <t>Note:</t>
  </si>
  <si>
    <t>Summary of Daily Interest Acccruals Under the Different Interest Calculation Methods</t>
  </si>
  <si>
    <r>
      <t xml:space="preserve">SOFR Print </t>
    </r>
    <r>
      <rPr>
        <b/>
        <sz val="12"/>
        <color theme="0"/>
        <rFont val="Calibri"/>
        <family val="2"/>
        <scheme val="minor"/>
      </rPr>
      <t>(r</t>
    </r>
    <r>
      <rPr>
        <b/>
        <vertAlign val="subscript"/>
        <sz val="12"/>
        <color theme="0"/>
        <rFont val="Calibri"/>
        <family val="2"/>
        <scheme val="minor"/>
      </rPr>
      <t>t</t>
    </r>
    <r>
      <rPr>
        <b/>
        <sz val="12"/>
        <color theme="0"/>
        <rFont val="Calibri"/>
        <family val="2"/>
        <scheme val="minor"/>
      </rPr>
      <t>)</t>
    </r>
  </si>
  <si>
    <r>
      <t xml:space="preserve">Margin
</t>
    </r>
    <r>
      <rPr>
        <b/>
        <sz val="12"/>
        <color theme="0"/>
        <rFont val="Calibri"/>
        <family val="2"/>
        <scheme val="minor"/>
      </rPr>
      <t>(m</t>
    </r>
    <r>
      <rPr>
        <b/>
        <vertAlign val="subscript"/>
        <sz val="12"/>
        <color theme="0"/>
        <rFont val="Calibri"/>
        <family val="2"/>
        <scheme val="minor"/>
      </rPr>
      <t>t</t>
    </r>
    <r>
      <rPr>
        <b/>
        <sz val="12"/>
        <color theme="0"/>
        <rFont val="Calibri"/>
        <family val="2"/>
        <scheme val="minor"/>
      </rPr>
      <t>)</t>
    </r>
  </si>
  <si>
    <r>
      <t xml:space="preserve"># days rate applies </t>
    </r>
    <r>
      <rPr>
        <b/>
        <sz val="11"/>
        <color theme="0"/>
        <rFont val="Calibri"/>
        <family val="2"/>
        <scheme val="minor"/>
      </rPr>
      <t>(n</t>
    </r>
    <r>
      <rPr>
        <b/>
        <vertAlign val="subscript"/>
        <sz val="11"/>
        <color theme="0"/>
        <rFont val="Calibri"/>
        <family val="2"/>
        <scheme val="minor"/>
      </rPr>
      <t>t</t>
    </r>
    <r>
      <rPr>
        <b/>
        <sz val="11"/>
        <color theme="0"/>
        <rFont val="Calibri"/>
        <family val="2"/>
        <scheme val="minor"/>
      </rPr>
      <t>)</t>
    </r>
  </si>
  <si>
    <r>
      <t xml:space="preserve">Principal
</t>
    </r>
    <r>
      <rPr>
        <b/>
        <sz val="12"/>
        <color theme="0"/>
        <rFont val="Calibri"/>
        <family val="2"/>
        <scheme val="minor"/>
      </rPr>
      <t>(P</t>
    </r>
    <r>
      <rPr>
        <b/>
        <vertAlign val="subscript"/>
        <sz val="12"/>
        <color theme="0"/>
        <rFont val="Calibri"/>
        <family val="2"/>
        <scheme val="minor"/>
      </rPr>
      <t>t</t>
    </r>
    <r>
      <rPr>
        <b/>
        <sz val="12"/>
        <color theme="0"/>
        <rFont val="Calibri"/>
        <family val="2"/>
        <scheme val="minor"/>
      </rPr>
      <t>)</t>
    </r>
  </si>
  <si>
    <r>
      <t>Interest Paydown</t>
    </r>
    <r>
      <rPr>
        <b/>
        <sz val="12"/>
        <color theme="0"/>
        <rFont val="Calibri"/>
        <family val="2"/>
        <scheme val="minor"/>
      </rPr>
      <t xml:space="preserve"> (PD</t>
    </r>
    <r>
      <rPr>
        <b/>
        <vertAlign val="subscript"/>
        <sz val="12"/>
        <color theme="0"/>
        <rFont val="Calibri"/>
        <family val="2"/>
        <scheme val="minor"/>
      </rPr>
      <t>t</t>
    </r>
    <r>
      <rPr>
        <b/>
        <sz val="12"/>
        <color theme="0"/>
        <rFont val="Calibri"/>
        <family val="2"/>
        <scheme val="minor"/>
      </rPr>
      <t>)</t>
    </r>
  </si>
  <si>
    <t>Interest Date
(t)</t>
  </si>
  <si>
    <t>Total Interest Payments</t>
  </si>
  <si>
    <r>
      <t>Observation Date (No Lookback</t>
    </r>
    <r>
      <rPr>
        <vertAlign val="superscript"/>
        <sz val="12"/>
        <color theme="0"/>
        <rFont val="Calibri"/>
        <family val="2"/>
        <scheme val="minor"/>
      </rPr>
      <t>1</t>
    </r>
    <r>
      <rPr>
        <sz val="12"/>
        <color theme="0"/>
        <rFont val="Calibri"/>
        <family val="2"/>
        <scheme val="minor"/>
      </rPr>
      <t>)</t>
    </r>
  </si>
  <si>
    <r>
      <rPr>
        <b/>
        <vertAlign val="superscript"/>
        <sz val="11"/>
        <color theme="1"/>
        <rFont val="Calibri"/>
        <family val="2"/>
        <scheme val="minor"/>
      </rPr>
      <t>1</t>
    </r>
    <r>
      <rPr>
        <b/>
        <sz val="11"/>
        <color theme="1"/>
        <rFont val="Calibri"/>
        <family val="2"/>
        <scheme val="minor"/>
      </rPr>
      <t xml:space="preserve">Note:  The examples are shown without a lookback to make clear that the choice of compound or simple accrual calculation method is separate from the choice of looback with or without shift or from any specific number of business days involved in a lookback period.  To use a k-day lookback without observation shift, the SOFR print would be taken from k business days prior to the interest date.  For example, with a 5-day lookback, the July 1 rate would be applied for July 9 (cell B12 would be July 1, 2019 and cell C12 would be 2.42%). The cells in all other columns would remain as they currently are, </t>
    </r>
  </si>
  <si>
    <r>
      <t>Lookback</t>
    </r>
    <r>
      <rPr>
        <b/>
        <vertAlign val="superscript"/>
        <sz val="11"/>
        <color theme="1"/>
        <rFont val="Calibri"/>
        <family val="2"/>
        <scheme val="minor"/>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</si>
</sst>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43" formatCode="_(* #,##0.00_);_(* \(#,##0.00\);_(* &quot;-&quot;??_);_(@_)"/>
    <numFmt numFmtId="164" formatCode="[$-F800]dddd\,\ mmmm\ dd\,\ yyyy"/>
    <numFmt numFmtId="165" formatCode="0.00000%"/>
    <numFmt numFmtId="166" formatCode="0.0000000%"/>
    <numFmt numFmtId="167" formatCode="&quot;$&quot;#,##0.00"/>
    <numFmt numFmtId="168" formatCode="[$-409]mmmm\ d\,\ yyyy;@"/>
    <numFmt numFmtId="169" formatCode="[$-409]d\-mmm\-yy;@"/>
  </numFmts>
  <fonts count="3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2" tint="-9.9978637043366805E-2"/>
      <name val="Calibri"/>
      <family val="2"/>
      <scheme val="minor"/>
    </font>
    <font>
      <sz val="11"/>
      <color theme="0" tint="-0.34998626667073579"/>
      <name val="Calibri"/>
      <family val="2"/>
      <scheme val="minor"/>
    </font>
    <font>
      <vertAlign val="subscript"/>
      <sz val="11"/>
      <color theme="1"/>
      <name val="Calibri"/>
      <family val="2"/>
      <scheme val="minor"/>
    </font>
    <font>
      <sz val="9"/>
      <color indexed="81"/>
      <name val="Tahoma"/>
      <family val="2"/>
    </font>
    <font>
      <b/>
      <sz val="9"/>
      <color indexed="81"/>
      <name val="Tahoma"/>
      <family val="2"/>
    </font>
    <font>
      <sz val="11"/>
      <color rgb="FFC00000"/>
      <name val="Calibri"/>
      <family val="2"/>
      <scheme val="minor"/>
    </font>
    <font>
      <sz val="10"/>
      <name val="Arial"/>
      <family val="2"/>
    </font>
    <font>
      <sz val="10"/>
      <name val="Calibri"/>
      <family val="2"/>
    </font>
    <font>
      <b/>
      <sz val="10"/>
      <name val="Calibri"/>
      <family val="2"/>
    </font>
    <font>
      <b/>
      <sz val="11"/>
      <color rgb="FFFF0000"/>
      <name val="Calibri"/>
      <family val="2"/>
      <scheme val="minor"/>
    </font>
    <font>
      <b/>
      <u/>
      <sz val="11"/>
      <color theme="1"/>
      <name val="Calibri"/>
      <family val="2"/>
      <scheme val="minor"/>
    </font>
    <font>
      <sz val="11"/>
      <color theme="1" tint="0.499984740745262"/>
      <name val="Calibri"/>
      <family val="2"/>
      <scheme val="minor"/>
    </font>
    <font>
      <sz val="11"/>
      <color theme="0"/>
      <name val="Calibri"/>
      <family val="2"/>
      <scheme val="minor"/>
    </font>
    <font>
      <sz val="11"/>
      <name val="Calibri"/>
      <family val="2"/>
      <scheme val="minor"/>
    </font>
    <font>
      <sz val="11"/>
      <color theme="9" tint="-0.499984740745262"/>
      <name val="Calibri"/>
      <family val="2"/>
      <scheme val="minor"/>
    </font>
    <font>
      <sz val="11"/>
      <color theme="2" tint="-0.499984740745262"/>
      <name val="Calibri"/>
      <family val="2"/>
      <scheme val="minor"/>
    </font>
    <font>
      <i/>
      <sz val="11"/>
      <color theme="2" tint="-0.499984740745262"/>
      <name val="Calibri"/>
      <family val="2"/>
      <scheme val="minor"/>
    </font>
    <font>
      <vertAlign val="subscript"/>
      <sz val="11"/>
      <color theme="0"/>
      <name val="Calibri"/>
      <family val="2"/>
      <scheme val="minor"/>
    </font>
    <font>
      <sz val="12"/>
      <color theme="0"/>
      <name val="Calibri"/>
      <family val="2"/>
      <scheme val="minor"/>
    </font>
    <font>
      <vertAlign val="subscript"/>
      <sz val="12"/>
      <color theme="0"/>
      <name val="Calibri"/>
      <family val="2"/>
      <scheme val="minor"/>
    </font>
    <font>
      <b/>
      <sz val="11"/>
      <color theme="9" tint="-0.499984740745262"/>
      <name val="Calibri"/>
      <family val="2"/>
      <scheme val="minor"/>
    </font>
    <font>
      <b/>
      <sz val="11"/>
      <color theme="0"/>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b/>
      <sz val="14"/>
      <name val="Calibri"/>
      <family val="2"/>
      <scheme val="minor"/>
    </font>
    <font>
      <b/>
      <sz val="14"/>
      <color theme="0"/>
      <name val="Calibri"/>
      <family val="2"/>
      <scheme val="minor"/>
    </font>
    <font>
      <b/>
      <sz val="12"/>
      <color theme="0"/>
      <name val="Calibri"/>
      <family val="2"/>
      <scheme val="minor"/>
    </font>
    <font>
      <b/>
      <vertAlign val="subscript"/>
      <sz val="12"/>
      <color theme="0"/>
      <name val="Calibri"/>
      <family val="2"/>
      <scheme val="minor"/>
    </font>
    <font>
      <b/>
      <vertAlign val="subscript"/>
      <sz val="11"/>
      <color theme="0"/>
      <name val="Calibri"/>
      <family val="2"/>
      <scheme val="minor"/>
    </font>
    <font>
      <vertAlign val="superscript"/>
      <sz val="12"/>
      <color theme="0"/>
      <name val="Calibri"/>
      <family val="2"/>
      <scheme val="minor"/>
    </font>
    <font>
      <b/>
      <vertAlign val="superscript"/>
      <sz val="11"/>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gradientFill degree="90">
        <stop position="0">
          <color theme="0"/>
        </stop>
        <stop position="1">
          <color theme="2"/>
        </stop>
      </gradient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auto="1"/>
      </patternFill>
    </fill>
    <fill>
      <patternFill patternType="solid">
        <fgColor theme="0" tint="-0.14999847407452621"/>
        <bgColor indexed="64"/>
      </patternFill>
    </fill>
    <fill>
      <patternFill patternType="solid">
        <fgColor rgb="FFFF7C80"/>
        <bgColor indexed="64"/>
      </patternFill>
    </fill>
    <fill>
      <patternFill patternType="solid">
        <fgColor theme="0"/>
        <bgColor indexed="64"/>
      </patternFill>
    </fill>
    <fill>
      <patternFill patternType="solid">
        <fgColor theme="2" tint="-9.9978637043366805E-2"/>
        <bgColor indexed="64"/>
      </patternFill>
    </fill>
    <fill>
      <patternFill patternType="solid">
        <fgColor theme="4"/>
        <bgColor indexed="64"/>
      </patternFill>
    </fill>
    <fill>
      <patternFill patternType="solid">
        <fgColor theme="4"/>
        <bgColor auto="1"/>
      </patternFill>
    </fill>
    <fill>
      <patternFill patternType="solid">
        <fgColor theme="2" tint="-0.249977111117893"/>
        <bgColor indexed="64"/>
      </patternFill>
    </fill>
    <fill>
      <patternFill patternType="solid">
        <fgColor theme="2" tint="-9.9948118533890809E-2"/>
        <bgColor indexed="64"/>
      </patternFill>
    </fill>
    <fill>
      <patternFill patternType="solid">
        <fgColor theme="2" tint="-0.24994659260841701"/>
        <bgColor indexed="64"/>
      </patternFill>
    </fill>
    <fill>
      <patternFill patternType="solid">
        <fgColor theme="5" tint="0.59999389629810485"/>
        <bgColor indexed="64"/>
      </patternFill>
    </fill>
    <fill>
      <patternFill patternType="solid">
        <fgColor theme="5" tint="0.59996337778862885"/>
        <bgColor indexed="64"/>
      </patternFill>
    </fill>
    <fill>
      <patternFill patternType="solid">
        <fgColor theme="7" tint="0.39997558519241921"/>
        <bgColor indexed="64"/>
      </patternFill>
    </fill>
  </fills>
  <borders count="36">
    <border>
      <left/>
      <right/>
      <top/>
      <bottom/>
      <diagonal/>
    </border>
    <border>
      <left/>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dotted">
        <color indexed="64"/>
      </top>
      <bottom style="medium">
        <color indexed="64"/>
      </bottom>
      <diagonal/>
    </border>
    <border>
      <left/>
      <right/>
      <top style="dashed">
        <color indexed="64"/>
      </top>
      <bottom style="medium">
        <color indexed="64"/>
      </bottom>
      <diagonal/>
    </border>
    <border>
      <left style="medium">
        <color indexed="64"/>
      </left>
      <right style="dashed">
        <color indexed="64"/>
      </right>
      <top style="dashed">
        <color indexed="64"/>
      </top>
      <bottom style="medium">
        <color indexed="64"/>
      </bottom>
      <diagonal/>
    </border>
    <border>
      <left/>
      <right/>
      <top/>
      <bottom style="dotted">
        <color indexed="64"/>
      </bottom>
      <diagonal/>
    </border>
    <border>
      <left/>
      <right style="medium">
        <color indexed="64"/>
      </right>
      <top/>
      <bottom style="dotted">
        <color indexed="64"/>
      </bottom>
      <diagonal/>
    </border>
    <border>
      <left style="dotted">
        <color indexed="64"/>
      </left>
      <right style="medium">
        <color indexed="64"/>
      </right>
      <top style="medium">
        <color indexed="64"/>
      </top>
      <bottom style="medium">
        <color indexed="64"/>
      </bottom>
      <diagonal/>
    </border>
    <border>
      <left style="dotted">
        <color indexed="64"/>
      </left>
      <right/>
      <top style="medium">
        <color indexed="64"/>
      </top>
      <bottom/>
      <diagonal/>
    </border>
    <border>
      <left style="dotted">
        <color indexed="64"/>
      </left>
      <right/>
      <top/>
      <bottom/>
      <diagonal/>
    </border>
    <border>
      <left style="dotted">
        <color indexed="64"/>
      </left>
      <right/>
      <top/>
      <bottom style="medium">
        <color indexed="64"/>
      </bottom>
      <diagonal/>
    </border>
    <border>
      <left style="medium">
        <color indexed="64"/>
      </left>
      <right/>
      <top style="dotted">
        <color indexed="64"/>
      </top>
      <bottom style="medium">
        <color indexed="64"/>
      </bottom>
      <diagonal/>
    </border>
    <border>
      <left style="medium">
        <color indexed="64"/>
      </left>
      <right style="dashed">
        <color indexed="64"/>
      </right>
      <top style="dashed">
        <color indexed="64"/>
      </top>
      <bottom/>
      <diagonal/>
    </border>
    <border>
      <left style="thick">
        <color theme="5" tint="-0.499984740745262"/>
      </left>
      <right/>
      <top style="thick">
        <color theme="5" tint="-0.499984740745262"/>
      </top>
      <bottom/>
      <diagonal/>
    </border>
    <border>
      <left/>
      <right/>
      <top style="thick">
        <color theme="5" tint="-0.499984740745262"/>
      </top>
      <bottom/>
      <diagonal/>
    </border>
    <border>
      <left/>
      <right style="thick">
        <color theme="5" tint="-0.499984740745262"/>
      </right>
      <top style="thick">
        <color theme="5" tint="-0.499984740745262"/>
      </top>
      <bottom/>
      <diagonal/>
    </border>
    <border>
      <left style="thick">
        <color theme="5" tint="-0.499984740745262"/>
      </left>
      <right/>
      <top/>
      <bottom/>
      <diagonal/>
    </border>
    <border>
      <left/>
      <right style="thick">
        <color theme="5" tint="-0.499984740745262"/>
      </right>
      <top/>
      <bottom/>
      <diagonal/>
    </border>
    <border>
      <left style="thick">
        <color theme="5" tint="-0.499984740745262"/>
      </left>
      <right/>
      <top/>
      <bottom style="thick">
        <color theme="5" tint="-0.499984740745262"/>
      </bottom>
      <diagonal/>
    </border>
    <border>
      <left/>
      <right/>
      <top/>
      <bottom style="thick">
        <color theme="5" tint="-0.499984740745262"/>
      </bottom>
      <diagonal/>
    </border>
    <border>
      <left/>
      <right style="thick">
        <color theme="5" tint="-0.499984740745262"/>
      </right>
      <top/>
      <bottom style="thick">
        <color theme="5" tint="-0.499984740745262"/>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cellStyleXfs>
  <cellXfs count="418">
    <xf numFmtId="0" fontId="0" fillId="0" borderId="0" xfId="0"/>
    <xf numFmtId="0" fontId="3" fillId="0" borderId="0" xfId="0" applyFont="1"/>
    <xf numFmtId="0" fontId="4" fillId="0" borderId="0" xfId="0" applyFont="1"/>
    <xf numFmtId="0" fontId="0" fillId="0" borderId="0" xfId="0" applyBorder="1"/>
    <xf numFmtId="0" fontId="11" fillId="0" borderId="2" xfId="3" applyFont="1" applyBorder="1" applyAlignment="1">
      <alignment horizontal="center" wrapText="1"/>
    </xf>
    <xf numFmtId="0" fontId="12" fillId="0" borderId="2" xfId="3" applyFont="1" applyBorder="1" applyAlignment="1">
      <alignment horizontal="center" wrapText="1"/>
    </xf>
    <xf numFmtId="43" fontId="0" fillId="0" borderId="0" xfId="0" applyNumberFormat="1"/>
    <xf numFmtId="0" fontId="0" fillId="0" borderId="0" xfId="0" applyFill="1"/>
    <xf numFmtId="0" fontId="0" fillId="4" borderId="0" xfId="0" applyFill="1" applyBorder="1"/>
    <xf numFmtId="0" fontId="0" fillId="4" borderId="1" xfId="0" applyFill="1" applyBorder="1"/>
    <xf numFmtId="43" fontId="0" fillId="4" borderId="0" xfId="1" applyFont="1" applyFill="1" applyBorder="1"/>
    <xf numFmtId="43" fontId="4" fillId="4" borderId="0" xfId="1" applyFont="1" applyFill="1" applyBorder="1"/>
    <xf numFmtId="0" fontId="4" fillId="4" borderId="0" xfId="0" applyFont="1" applyFill="1" applyBorder="1"/>
    <xf numFmtId="0" fontId="0" fillId="4" borderId="5" xfId="0" applyFill="1" applyBorder="1"/>
    <xf numFmtId="164" fontId="0" fillId="4" borderId="7" xfId="0" applyNumberFormat="1" applyFill="1" applyBorder="1"/>
    <xf numFmtId="164" fontId="4" fillId="4" borderId="7" xfId="0" applyNumberFormat="1" applyFont="1" applyFill="1" applyBorder="1"/>
    <xf numFmtId="164" fontId="9" fillId="4" borderId="7" xfId="0" applyNumberFormat="1" applyFont="1" applyFill="1" applyBorder="1"/>
    <xf numFmtId="164" fontId="0" fillId="4" borderId="9" xfId="0" applyNumberFormat="1" applyFill="1" applyBorder="1"/>
    <xf numFmtId="43" fontId="15" fillId="6" borderId="0" xfId="1" applyFont="1" applyFill="1" applyBorder="1"/>
    <xf numFmtId="165" fontId="0" fillId="0" borderId="0" xfId="0" applyNumberFormat="1"/>
    <xf numFmtId="164" fontId="0" fillId="4" borderId="4" xfId="0" applyNumberFormat="1" applyFill="1" applyBorder="1"/>
    <xf numFmtId="43" fontId="0" fillId="4" borderId="5" xfId="1" applyFont="1" applyFill="1" applyBorder="1"/>
    <xf numFmtId="43" fontId="15" fillId="6" borderId="5" xfId="1" applyFont="1" applyFill="1" applyBorder="1"/>
    <xf numFmtId="43" fontId="4" fillId="6" borderId="0" xfId="1" applyFont="1" applyFill="1" applyBorder="1"/>
    <xf numFmtId="43" fontId="9" fillId="10" borderId="3" xfId="1" applyFont="1" applyFill="1" applyBorder="1"/>
    <xf numFmtId="43" fontId="0" fillId="0" borderId="0" xfId="0" applyNumberFormat="1" applyFill="1"/>
    <xf numFmtId="43" fontId="0" fillId="0" borderId="0" xfId="0" applyNumberFormat="1" applyBorder="1" applyAlignment="1">
      <alignment horizontal="center" vertical="center"/>
    </xf>
    <xf numFmtId="43" fontId="0" fillId="0" borderId="5" xfId="0" applyNumberFormat="1" applyFill="1" applyBorder="1" applyAlignment="1">
      <alignment horizontal="center" vertical="center"/>
    </xf>
    <xf numFmtId="10" fontId="0" fillId="0" borderId="0" xfId="0" applyNumberFormat="1"/>
    <xf numFmtId="0" fontId="13" fillId="0" borderId="0" xfId="0" applyFont="1" applyFill="1"/>
    <xf numFmtId="9" fontId="2" fillId="4" borderId="0" xfId="1" applyNumberFormat="1" applyFont="1" applyFill="1" applyBorder="1" applyAlignment="1">
      <alignment horizontal="center"/>
    </xf>
    <xf numFmtId="166" fontId="0" fillId="0" borderId="0" xfId="0" applyNumberFormat="1"/>
    <xf numFmtId="164" fontId="17" fillId="4" borderId="7" xfId="0" applyNumberFormat="1" applyFont="1" applyFill="1" applyBorder="1"/>
    <xf numFmtId="0" fontId="0" fillId="0" borderId="0" xfId="0" applyAlignment="1">
      <alignment horizontal="center"/>
    </xf>
    <xf numFmtId="43" fontId="0" fillId="0" borderId="0" xfId="0" applyNumberFormat="1" applyBorder="1"/>
    <xf numFmtId="10" fontId="0" fillId="0" borderId="0" xfId="0" applyNumberFormat="1" applyBorder="1"/>
    <xf numFmtId="0" fontId="3" fillId="2" borderId="7" xfId="0" applyFont="1" applyFill="1" applyBorder="1"/>
    <xf numFmtId="0" fontId="0" fillId="2" borderId="0" xfId="0" applyFill="1" applyBorder="1"/>
    <xf numFmtId="0" fontId="3" fillId="2" borderId="9" xfId="0" applyFont="1" applyFill="1" applyBorder="1"/>
    <xf numFmtId="0" fontId="0" fillId="2" borderId="1" xfId="0" applyFill="1" applyBorder="1"/>
    <xf numFmtId="0" fontId="3" fillId="14" borderId="4" xfId="0" applyFont="1" applyFill="1" applyBorder="1"/>
    <xf numFmtId="164" fontId="0" fillId="14" borderId="5" xfId="0" applyNumberFormat="1" applyFill="1" applyBorder="1"/>
    <xf numFmtId="0" fontId="0" fillId="14" borderId="5" xfId="0" applyFill="1" applyBorder="1"/>
    <xf numFmtId="0" fontId="0" fillId="14" borderId="6" xfId="0" applyFill="1" applyBorder="1"/>
    <xf numFmtId="0" fontId="3" fillId="14" borderId="7" xfId="0" applyFont="1" applyFill="1" applyBorder="1"/>
    <xf numFmtId="164" fontId="0" fillId="14" borderId="0" xfId="0" applyNumberFormat="1" applyFill="1" applyBorder="1"/>
    <xf numFmtId="0" fontId="0" fillId="14" borderId="0" xfId="0" applyFill="1" applyBorder="1"/>
    <xf numFmtId="0" fontId="0" fillId="14" borderId="8" xfId="0" applyFill="1" applyBorder="1"/>
    <xf numFmtId="0" fontId="0" fillId="14" borderId="0" xfId="0" applyNumberFormat="1" applyFill="1" applyBorder="1"/>
    <xf numFmtId="43" fontId="0" fillId="14" borderId="0" xfId="0" applyNumberFormat="1" applyFill="1" applyBorder="1"/>
    <xf numFmtId="0" fontId="3" fillId="14" borderId="8" xfId="0" applyFont="1" applyFill="1" applyBorder="1"/>
    <xf numFmtId="0" fontId="0" fillId="14" borderId="7" xfId="0" applyFill="1" applyBorder="1"/>
    <xf numFmtId="0" fontId="0" fillId="14" borderId="1" xfId="0" applyFill="1" applyBorder="1"/>
    <xf numFmtId="0" fontId="0" fillId="14" borderId="10" xfId="0" applyFill="1" applyBorder="1"/>
    <xf numFmtId="0" fontId="0" fillId="5" borderId="8" xfId="0" applyFill="1" applyBorder="1" applyAlignment="1">
      <alignment horizontal="center" wrapText="1"/>
    </xf>
    <xf numFmtId="164" fontId="19" fillId="4" borderId="7" xfId="0" applyNumberFormat="1" applyFont="1" applyFill="1" applyBorder="1"/>
    <xf numFmtId="43" fontId="19" fillId="6" borderId="0" xfId="1" applyFont="1" applyFill="1" applyBorder="1"/>
    <xf numFmtId="0" fontId="22" fillId="15" borderId="4" xfId="0" applyFont="1" applyFill="1" applyBorder="1"/>
    <xf numFmtId="0" fontId="22" fillId="15" borderId="5" xfId="0" applyFont="1" applyFill="1" applyBorder="1"/>
    <xf numFmtId="0" fontId="22" fillId="15" borderId="7" xfId="0" applyFont="1" applyFill="1" applyBorder="1"/>
    <xf numFmtId="0" fontId="22" fillId="15" borderId="0" xfId="0" applyFont="1" applyFill="1" applyBorder="1"/>
    <xf numFmtId="0" fontId="22" fillId="15" borderId="9" xfId="0" applyFont="1" applyFill="1" applyBorder="1"/>
    <xf numFmtId="0" fontId="22" fillId="15" borderId="1" xfId="0" applyFont="1" applyFill="1" applyBorder="1" applyAlignment="1">
      <alignment horizontal="center"/>
    </xf>
    <xf numFmtId="43" fontId="4" fillId="0" borderId="0" xfId="0" applyNumberFormat="1" applyFont="1"/>
    <xf numFmtId="0" fontId="0" fillId="5" borderId="8" xfId="0" applyFont="1" applyFill="1" applyBorder="1" applyAlignment="1">
      <alignment horizontal="center" wrapText="1"/>
    </xf>
    <xf numFmtId="0" fontId="0" fillId="5" borderId="0" xfId="0" applyFill="1" applyBorder="1" applyAlignment="1">
      <alignment horizontal="center" wrapText="1"/>
    </xf>
    <xf numFmtId="0" fontId="0" fillId="9" borderId="7" xfId="0" applyFill="1" applyBorder="1" applyAlignment="1">
      <alignment horizontal="center" vertical="center" wrapText="1"/>
    </xf>
    <xf numFmtId="164" fontId="0" fillId="4" borderId="17" xfId="1" applyNumberFormat="1" applyFont="1" applyFill="1" applyBorder="1"/>
    <xf numFmtId="43" fontId="0" fillId="4" borderId="17" xfId="1" applyFont="1" applyFill="1" applyBorder="1"/>
    <xf numFmtId="164" fontId="0" fillId="4" borderId="18" xfId="1" applyNumberFormat="1" applyFont="1" applyFill="1" applyBorder="1"/>
    <xf numFmtId="43" fontId="0" fillId="4" borderId="18" xfId="1" applyFont="1" applyFill="1" applyBorder="1"/>
    <xf numFmtId="43" fontId="24" fillId="0" borderId="0" xfId="0" applyNumberFormat="1" applyFont="1" applyFill="1" applyBorder="1"/>
    <xf numFmtId="0" fontId="0" fillId="9" borderId="0" xfId="0" applyFill="1" applyBorder="1" applyAlignment="1">
      <alignment horizontal="center" vertical="center" wrapText="1"/>
    </xf>
    <xf numFmtId="0" fontId="0" fillId="9" borderId="8" xfId="0" applyFill="1" applyBorder="1" applyAlignment="1">
      <alignment horizontal="center" vertical="center" wrapText="1"/>
    </xf>
    <xf numFmtId="0" fontId="0" fillId="4" borderId="5" xfId="0" applyFill="1" applyBorder="1" applyAlignment="1">
      <alignment horizontal="center" wrapText="1"/>
    </xf>
    <xf numFmtId="0" fontId="0" fillId="4" borderId="0" xfId="0" applyFill="1" applyBorder="1" applyAlignment="1">
      <alignment horizontal="center"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5" borderId="8" xfId="0" applyFont="1" applyFill="1" applyBorder="1" applyAlignment="1">
      <alignment horizontal="center" wrapText="1"/>
    </xf>
    <xf numFmtId="0" fontId="0" fillId="5" borderId="10" xfId="0" applyFont="1" applyFill="1" applyBorder="1" applyAlignment="1">
      <alignment horizontal="center" wrapText="1"/>
    </xf>
    <xf numFmtId="0" fontId="22" fillId="15" borderId="0" xfId="0" applyFont="1" applyFill="1" applyBorder="1" applyAlignment="1">
      <alignment horizontal="center" wrapText="1"/>
    </xf>
    <xf numFmtId="0" fontId="22" fillId="15" borderId="1" xfId="0" applyFont="1" applyFill="1" applyBorder="1" applyAlignment="1">
      <alignment horizontal="center" wrapText="1"/>
    </xf>
    <xf numFmtId="0" fontId="22" fillId="16" borderId="0" xfId="0" applyFont="1" applyFill="1" applyBorder="1" applyAlignment="1">
      <alignment horizontal="center" wrapText="1"/>
    </xf>
    <xf numFmtId="0" fontId="22" fillId="16" borderId="1" xfId="0" applyFont="1" applyFill="1" applyBorder="1" applyAlignment="1">
      <alignment horizontal="center" wrapText="1"/>
    </xf>
    <xf numFmtId="0" fontId="17" fillId="5" borderId="8" xfId="0" applyFont="1" applyFill="1" applyBorder="1" applyAlignment="1">
      <alignment horizontal="center" wrapText="1"/>
    </xf>
    <xf numFmtId="0" fontId="17" fillId="5" borderId="10" xfId="0" applyFont="1" applyFill="1" applyBorder="1" applyAlignment="1">
      <alignment horizontal="center" wrapText="1"/>
    </xf>
    <xf numFmtId="0" fontId="0" fillId="5" borderId="0" xfId="0" applyFill="1" applyBorder="1" applyAlignment="1">
      <alignment horizontal="center" wrapText="1"/>
    </xf>
    <xf numFmtId="0" fontId="0" fillId="5" borderId="1" xfId="0" applyFill="1" applyBorder="1" applyAlignment="1">
      <alignment horizontal="center" wrapText="1"/>
    </xf>
    <xf numFmtId="1" fontId="0" fillId="4" borderId="5" xfId="1" applyNumberFormat="1" applyFont="1" applyFill="1" applyBorder="1" applyAlignment="1">
      <alignment horizontal="center"/>
    </xf>
    <xf numFmtId="1" fontId="0" fillId="4" borderId="0" xfId="1" applyNumberFormat="1" applyFont="1" applyFill="1" applyBorder="1" applyAlignment="1">
      <alignment horizontal="center"/>
    </xf>
    <xf numFmtId="1" fontId="0" fillId="0" borderId="0" xfId="0" applyNumberFormat="1" applyAlignment="1">
      <alignment horizontal="center"/>
    </xf>
    <xf numFmtId="14" fontId="11" fillId="0" borderId="2" xfId="3" applyNumberFormat="1" applyFont="1" applyBorder="1" applyAlignment="1">
      <alignment horizontal="left" vertical="top" wrapText="1"/>
    </xf>
    <xf numFmtId="0" fontId="22" fillId="15" borderId="9" xfId="0" applyFont="1" applyFill="1" applyBorder="1" applyAlignment="1">
      <alignment horizontal="center"/>
    </xf>
    <xf numFmtId="43" fontId="0" fillId="4" borderId="17" xfId="1" applyFont="1" applyFill="1" applyBorder="1" applyAlignment="1">
      <alignment horizontal="center"/>
    </xf>
    <xf numFmtId="168" fontId="5" fillId="0" borderId="0" xfId="0" applyNumberFormat="1" applyFont="1" applyAlignment="1">
      <alignment horizontal="center"/>
    </xf>
    <xf numFmtId="168" fontId="22" fillId="15" borderId="0" xfId="0" applyNumberFormat="1" applyFont="1" applyFill="1" applyBorder="1" applyAlignment="1">
      <alignment horizontal="center" wrapText="1"/>
    </xf>
    <xf numFmtId="168" fontId="22" fillId="15" borderId="1" xfId="0" applyNumberFormat="1" applyFont="1" applyFill="1" applyBorder="1" applyAlignment="1">
      <alignment horizontal="center" wrapText="1"/>
    </xf>
    <xf numFmtId="168" fontId="0" fillId="4" borderId="5" xfId="1" applyNumberFormat="1" applyFont="1" applyFill="1" applyBorder="1" applyAlignment="1">
      <alignment horizontal="center"/>
    </xf>
    <xf numFmtId="168" fontId="0" fillId="4" borderId="0" xfId="1" applyNumberFormat="1" applyFont="1" applyFill="1" applyBorder="1" applyAlignment="1">
      <alignment horizontal="center"/>
    </xf>
    <xf numFmtId="168" fontId="19" fillId="4" borderId="0" xfId="1" applyNumberFormat="1" applyFont="1" applyFill="1" applyBorder="1" applyAlignment="1">
      <alignment horizontal="center"/>
    </xf>
    <xf numFmtId="168" fontId="0" fillId="4" borderId="17" xfId="1" applyNumberFormat="1" applyFont="1" applyFill="1" applyBorder="1" applyAlignment="1">
      <alignment horizontal="center"/>
    </xf>
    <xf numFmtId="0" fontId="0" fillId="0" borderId="0" xfId="0" applyFill="1" applyAlignment="1">
      <alignment horizontal="center"/>
    </xf>
    <xf numFmtId="0" fontId="0" fillId="0" borderId="0" xfId="0" applyFont="1"/>
    <xf numFmtId="0" fontId="0" fillId="5" borderId="9" xfId="0" applyFont="1" applyFill="1" applyBorder="1" applyAlignment="1">
      <alignment horizontal="center" wrapText="1"/>
    </xf>
    <xf numFmtId="0" fontId="0" fillId="5" borderId="7" xfId="0" applyFont="1" applyFill="1" applyBorder="1" applyAlignment="1">
      <alignment horizontal="center" wrapText="1"/>
    </xf>
    <xf numFmtId="43" fontId="0" fillId="0" borderId="0" xfId="0" applyNumberFormat="1" applyFont="1"/>
    <xf numFmtId="165" fontId="16" fillId="15" borderId="8" xfId="0" applyNumberFormat="1" applyFont="1" applyFill="1" applyBorder="1" applyAlignment="1">
      <alignment horizontal="center" wrapText="1"/>
    </xf>
    <xf numFmtId="165" fontId="16" fillId="15" borderId="10" xfId="0" applyNumberFormat="1" applyFont="1" applyFill="1" applyBorder="1" applyAlignment="1">
      <alignment horizontal="center" wrapText="1"/>
    </xf>
    <xf numFmtId="165" fontId="0" fillId="5" borderId="7" xfId="0" applyNumberFormat="1" applyFill="1" applyBorder="1" applyAlignment="1">
      <alignment horizontal="center" wrapText="1"/>
    </xf>
    <xf numFmtId="165" fontId="0" fillId="5" borderId="9" xfId="0" applyNumberFormat="1" applyFill="1" applyBorder="1" applyAlignment="1">
      <alignment horizontal="center" wrapText="1"/>
    </xf>
    <xf numFmtId="169" fontId="0" fillId="0" borderId="0" xfId="0" applyNumberFormat="1" applyAlignment="1">
      <alignment horizontal="center"/>
    </xf>
    <xf numFmtId="169" fontId="17" fillId="4" borderId="5" xfId="2" applyNumberFormat="1" applyFont="1" applyFill="1" applyBorder="1" applyAlignment="1">
      <alignment horizontal="center"/>
    </xf>
    <xf numFmtId="169" fontId="17" fillId="4" borderId="0" xfId="2" applyNumberFormat="1" applyFont="1" applyFill="1" applyBorder="1" applyAlignment="1">
      <alignment horizontal="center"/>
    </xf>
    <xf numFmtId="169" fontId="17" fillId="4" borderId="0" xfId="1" applyNumberFormat="1" applyFont="1" applyFill="1" applyBorder="1" applyAlignment="1">
      <alignment horizontal="center"/>
    </xf>
    <xf numFmtId="169" fontId="17" fillId="4" borderId="1" xfId="2" applyNumberFormat="1" applyFont="1" applyFill="1" applyBorder="1" applyAlignment="1">
      <alignment horizontal="center"/>
    </xf>
    <xf numFmtId="0" fontId="0" fillId="5" borderId="0" xfId="0" applyFont="1" applyFill="1" applyBorder="1" applyAlignment="1">
      <alignment horizontal="center" wrapText="1"/>
    </xf>
    <xf numFmtId="0" fontId="0" fillId="5" borderId="1" xfId="0" applyFont="1" applyFill="1" applyBorder="1" applyAlignment="1">
      <alignment horizontal="center" wrapText="1"/>
    </xf>
    <xf numFmtId="0" fontId="0" fillId="0" borderId="0" xfId="0" applyAlignment="1">
      <alignment vertical="center"/>
    </xf>
    <xf numFmtId="43" fontId="0" fillId="0" borderId="0" xfId="0" applyNumberFormat="1" applyAlignment="1">
      <alignment vertical="center"/>
    </xf>
    <xf numFmtId="0" fontId="0" fillId="5" borderId="7"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8" xfId="0"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0" borderId="0" xfId="0" applyFont="1" applyAlignment="1">
      <alignment horizontal="center"/>
    </xf>
    <xf numFmtId="10" fontId="0" fillId="4" borderId="5" xfId="1" applyNumberFormat="1" applyFont="1" applyFill="1" applyBorder="1" applyAlignment="1">
      <alignment horizontal="center"/>
    </xf>
    <xf numFmtId="10" fontId="0" fillId="4" borderId="0" xfId="1" applyNumberFormat="1" applyFont="1" applyFill="1" applyBorder="1" applyAlignment="1">
      <alignment horizontal="center"/>
    </xf>
    <xf numFmtId="10" fontId="0" fillId="4" borderId="20" xfId="1" applyNumberFormat="1" applyFont="1" applyFill="1" applyBorder="1" applyAlignment="1">
      <alignment horizontal="center"/>
    </xf>
    <xf numFmtId="1" fontId="0" fillId="4" borderId="20" xfId="1" applyNumberFormat="1" applyFont="1" applyFill="1" applyBorder="1" applyAlignment="1">
      <alignment horizontal="center"/>
    </xf>
    <xf numFmtId="165" fontId="0" fillId="0" borderId="0" xfId="0" applyNumberFormat="1" applyAlignment="1">
      <alignment horizontal="right"/>
    </xf>
    <xf numFmtId="168" fontId="0" fillId="4" borderId="17" xfId="1" applyNumberFormat="1" applyFont="1" applyFill="1" applyBorder="1" applyAlignment="1">
      <alignment horizontal="right"/>
    </xf>
    <xf numFmtId="165" fontId="0" fillId="4" borderId="6" xfId="2" applyNumberFormat="1" applyFont="1" applyFill="1" applyBorder="1" applyAlignment="1">
      <alignment horizontal="right" indent="1"/>
    </xf>
    <xf numFmtId="165" fontId="0" fillId="4" borderId="8" xfId="2" applyNumberFormat="1" applyFont="1" applyFill="1" applyBorder="1" applyAlignment="1">
      <alignment horizontal="right" indent="1"/>
    </xf>
    <xf numFmtId="165" fontId="19" fillId="4" borderId="8" xfId="2" applyNumberFormat="1" applyFont="1" applyFill="1" applyBorder="1" applyAlignment="1">
      <alignment horizontal="right" indent="1"/>
    </xf>
    <xf numFmtId="165" fontId="0" fillId="4" borderId="21" xfId="2" applyNumberFormat="1" applyFont="1" applyFill="1" applyBorder="1" applyAlignment="1">
      <alignment horizontal="right" indent="1"/>
    </xf>
    <xf numFmtId="1" fontId="0" fillId="0" borderId="0" xfId="0" applyNumberFormat="1" applyAlignment="1">
      <alignment horizontal="right"/>
    </xf>
    <xf numFmtId="1" fontId="16" fillId="15" borderId="1" xfId="0" applyNumberFormat="1" applyFont="1" applyFill="1" applyBorder="1" applyAlignment="1">
      <alignment horizontal="center" wrapText="1"/>
    </xf>
    <xf numFmtId="1" fontId="16" fillId="15" borderId="0" xfId="0" quotePrefix="1" applyNumberFormat="1" applyFont="1" applyFill="1" applyBorder="1" applyAlignment="1">
      <alignment horizontal="center" wrapText="1"/>
    </xf>
    <xf numFmtId="165" fontId="16" fillId="15" borderId="8" xfId="0" applyNumberFormat="1" applyFont="1" applyFill="1" applyBorder="1" applyAlignment="1">
      <alignment horizontal="center" vertical="top" wrapText="1"/>
    </xf>
    <xf numFmtId="39" fontId="0" fillId="4" borderId="5" xfId="1" applyNumberFormat="1" applyFont="1" applyFill="1" applyBorder="1" applyAlignment="1">
      <alignment horizontal="right" indent="1"/>
    </xf>
    <xf numFmtId="39" fontId="0" fillId="4" borderId="0" xfId="1" applyNumberFormat="1" applyFont="1" applyFill="1" applyBorder="1" applyAlignment="1">
      <alignment horizontal="right" indent="1"/>
    </xf>
    <xf numFmtId="39" fontId="19" fillId="4" borderId="0" xfId="1" applyNumberFormat="1" applyFont="1" applyFill="1" applyBorder="1" applyAlignment="1">
      <alignment horizontal="right" indent="1"/>
    </xf>
    <xf numFmtId="40" fontId="0" fillId="4" borderId="0" xfId="1" applyNumberFormat="1" applyFont="1" applyFill="1" applyBorder="1"/>
    <xf numFmtId="1" fontId="2" fillId="4" borderId="0" xfId="0" applyNumberFormat="1" applyFont="1" applyFill="1" applyBorder="1" applyAlignment="1">
      <alignment horizontal="center"/>
    </xf>
    <xf numFmtId="1" fontId="0" fillId="4" borderId="1" xfId="1" applyNumberFormat="1" applyFont="1" applyFill="1" applyBorder="1" applyAlignment="1">
      <alignment horizontal="center"/>
    </xf>
    <xf numFmtId="0" fontId="0" fillId="4" borderId="6" xfId="0" applyFill="1" applyBorder="1"/>
    <xf numFmtId="0" fontId="0" fillId="4" borderId="10" xfId="0" applyFill="1" applyBorder="1" applyAlignment="1">
      <alignment horizontal="center"/>
    </xf>
    <xf numFmtId="0" fontId="0" fillId="4" borderId="25" xfId="0" applyFill="1" applyBorder="1" applyAlignment="1">
      <alignment horizontal="center"/>
    </xf>
    <xf numFmtId="0" fontId="0" fillId="0" borderId="24" xfId="0" applyBorder="1"/>
    <xf numFmtId="0" fontId="0" fillId="4" borderId="23" xfId="0" applyFill="1" applyBorder="1" applyAlignment="1">
      <alignment horizontal="center"/>
    </xf>
    <xf numFmtId="167" fontId="0" fillId="14" borderId="0" xfId="0" applyNumberFormat="1" applyFill="1" applyBorder="1"/>
    <xf numFmtId="165" fontId="0" fillId="5" borderId="7" xfId="2" applyNumberFormat="1" applyFont="1" applyFill="1" applyBorder="1" applyAlignment="1">
      <alignment horizontal="right" indent="5"/>
    </xf>
    <xf numFmtId="165" fontId="17" fillId="5" borderId="7" xfId="2" applyNumberFormat="1" applyFont="1" applyFill="1" applyBorder="1" applyAlignment="1">
      <alignment horizontal="right" indent="5"/>
    </xf>
    <xf numFmtId="165" fontId="19" fillId="5" borderId="7" xfId="2" applyNumberFormat="1" applyFont="1" applyFill="1" applyBorder="1" applyAlignment="1">
      <alignment horizontal="right" indent="5"/>
    </xf>
    <xf numFmtId="165" fontId="0" fillId="5" borderId="19" xfId="1" applyNumberFormat="1" applyFont="1" applyFill="1" applyBorder="1" applyAlignment="1">
      <alignment horizontal="right" indent="5"/>
    </xf>
    <xf numFmtId="2" fontId="0" fillId="5" borderId="0" xfId="0" applyNumberFormat="1" applyFill="1" applyBorder="1" applyAlignment="1">
      <alignment horizontal="right" wrapText="1" indent="5"/>
    </xf>
    <xf numFmtId="165" fontId="0" fillId="5" borderId="19" xfId="0" applyNumberFormat="1" applyFill="1" applyBorder="1" applyAlignment="1">
      <alignment horizontal="center"/>
    </xf>
    <xf numFmtId="0" fontId="0" fillId="5" borderId="8" xfId="0" applyFill="1" applyBorder="1" applyAlignment="1">
      <alignment horizontal="right" wrapText="1" indent="5"/>
    </xf>
    <xf numFmtId="165" fontId="0" fillId="5" borderId="19" xfId="0" applyNumberFormat="1" applyFill="1" applyBorder="1" applyAlignment="1">
      <alignment horizontal="right" indent="5"/>
    </xf>
    <xf numFmtId="0" fontId="0" fillId="11" borderId="14" xfId="0" applyFont="1" applyFill="1" applyBorder="1" applyAlignment="1">
      <alignment horizontal="center" wrapText="1"/>
    </xf>
    <xf numFmtId="0" fontId="0" fillId="4" borderId="5" xfId="0" applyNumberFormat="1" applyFill="1" applyBorder="1" applyAlignment="1">
      <alignment horizontal="center"/>
    </xf>
    <xf numFmtId="0" fontId="0" fillId="4" borderId="0" xfId="0" applyNumberFormat="1" applyFill="1" applyBorder="1" applyAlignment="1">
      <alignment horizontal="center"/>
    </xf>
    <xf numFmtId="43" fontId="0" fillId="4" borderId="18" xfId="1" applyFont="1" applyFill="1" applyBorder="1" applyAlignment="1">
      <alignment horizontal="center"/>
    </xf>
    <xf numFmtId="165" fontId="0" fillId="18" borderId="7" xfId="0" applyNumberFormat="1" applyFont="1" applyFill="1" applyBorder="1" applyAlignment="1">
      <alignment horizontal="center" wrapText="1"/>
    </xf>
    <xf numFmtId="165" fontId="0" fillId="18" borderId="8" xfId="0" applyNumberFormat="1" applyFont="1" applyFill="1" applyBorder="1" applyAlignment="1">
      <alignment horizontal="center" wrapText="1"/>
    </xf>
    <xf numFmtId="165" fontId="16" fillId="18" borderId="7" xfId="0" applyNumberFormat="1" applyFont="1" applyFill="1" applyBorder="1" applyAlignment="1">
      <alignment horizontal="center" vertical="top" wrapText="1"/>
    </xf>
    <xf numFmtId="165" fontId="16" fillId="18" borderId="8" xfId="0" applyNumberFormat="1" applyFont="1" applyFill="1" applyBorder="1" applyAlignment="1">
      <alignment horizontal="center" vertical="top" wrapText="1"/>
    </xf>
    <xf numFmtId="165" fontId="16" fillId="18" borderId="9" xfId="0" applyNumberFormat="1" applyFont="1" applyFill="1" applyBorder="1" applyAlignment="1">
      <alignment horizontal="center" wrapText="1"/>
    </xf>
    <xf numFmtId="165" fontId="16" fillId="18" borderId="10" xfId="0" applyNumberFormat="1" applyFont="1" applyFill="1" applyBorder="1" applyAlignment="1">
      <alignment horizontal="center" wrapText="1"/>
    </xf>
    <xf numFmtId="43" fontId="0" fillId="18" borderId="6" xfId="0" applyNumberFormat="1" applyFill="1" applyBorder="1"/>
    <xf numFmtId="168" fontId="0" fillId="18" borderId="26" xfId="1" applyNumberFormat="1" applyFont="1" applyFill="1" applyBorder="1" applyAlignment="1">
      <alignment horizontal="center"/>
    </xf>
    <xf numFmtId="165" fontId="16" fillId="17" borderId="10" xfId="0" applyNumberFormat="1" applyFont="1" applyFill="1" applyBorder="1" applyAlignment="1">
      <alignment horizontal="center" wrapText="1"/>
    </xf>
    <xf numFmtId="43" fontId="0" fillId="17" borderId="14" xfId="0" applyNumberFormat="1" applyFill="1" applyBorder="1"/>
    <xf numFmtId="165" fontId="0" fillId="18" borderId="4" xfId="0" applyNumberFormat="1" applyFill="1" applyBorder="1" applyAlignment="1">
      <alignment horizontal="right" indent="2"/>
    </xf>
    <xf numFmtId="165" fontId="0" fillId="18" borderId="7" xfId="0" applyNumberFormat="1" applyFill="1" applyBorder="1" applyAlignment="1">
      <alignment horizontal="right" indent="2"/>
    </xf>
    <xf numFmtId="0" fontId="28" fillId="0" borderId="0" xfId="0" applyFont="1"/>
    <xf numFmtId="165" fontId="16" fillId="18" borderId="7" xfId="0" applyNumberFormat="1" applyFont="1" applyFill="1" applyBorder="1" applyAlignment="1">
      <alignment horizontal="center" wrapText="1"/>
    </xf>
    <xf numFmtId="165" fontId="16" fillId="18" borderId="8" xfId="0" applyNumberFormat="1" applyFont="1" applyFill="1" applyBorder="1" applyAlignment="1">
      <alignment horizontal="center" wrapText="1"/>
    </xf>
    <xf numFmtId="165" fontId="16" fillId="17" borderId="8" xfId="0" applyNumberFormat="1" applyFont="1" applyFill="1" applyBorder="1" applyAlignment="1">
      <alignment horizontal="center" wrapText="1"/>
    </xf>
    <xf numFmtId="0" fontId="29" fillId="19" borderId="15" xfId="0" applyFont="1" applyFill="1" applyBorder="1" applyAlignment="1">
      <alignment horizontal="center"/>
    </xf>
    <xf numFmtId="2" fontId="0" fillId="14" borderId="0" xfId="0" applyNumberFormat="1" applyFill="1" applyBorder="1"/>
    <xf numFmtId="164" fontId="0" fillId="14" borderId="0" xfId="0" applyNumberFormat="1" applyFill="1" applyBorder="1" applyAlignment="1">
      <alignment horizontal="right"/>
    </xf>
    <xf numFmtId="2" fontId="0" fillId="4" borderId="5" xfId="2" applyNumberFormat="1" applyFont="1" applyFill="1" applyBorder="1" applyAlignment="1">
      <alignment horizontal="center"/>
    </xf>
    <xf numFmtId="2" fontId="0" fillId="4" borderId="0" xfId="2" applyNumberFormat="1" applyFont="1" applyFill="1" applyBorder="1" applyAlignment="1">
      <alignment horizontal="center"/>
    </xf>
    <xf numFmtId="2" fontId="0" fillId="4" borderId="1" xfId="2" applyNumberFormat="1" applyFont="1" applyFill="1" applyBorder="1" applyAlignment="1">
      <alignment horizontal="center"/>
    </xf>
    <xf numFmtId="0" fontId="28" fillId="0" borderId="0" xfId="0" applyFont="1" applyBorder="1"/>
    <xf numFmtId="165" fontId="3" fillId="5" borderId="27" xfId="1" applyNumberFormat="1" applyFont="1" applyFill="1" applyBorder="1" applyAlignment="1">
      <alignment horizontal="right" indent="5"/>
    </xf>
    <xf numFmtId="1" fontId="24" fillId="0" borderId="0" xfId="0" applyNumberFormat="1" applyFont="1" applyFill="1" applyBorder="1" applyAlignment="1">
      <alignment horizontal="left"/>
    </xf>
    <xf numFmtId="2" fontId="13" fillId="0" borderId="0" xfId="0" applyNumberFormat="1" applyFont="1" applyFill="1" applyBorder="1" applyAlignment="1">
      <alignment horizontal="right" indent="5"/>
    </xf>
    <xf numFmtId="2" fontId="0" fillId="0" borderId="0" xfId="0" applyNumberFormat="1" applyFill="1" applyBorder="1" applyAlignment="1">
      <alignment horizontal="right" indent="2"/>
    </xf>
    <xf numFmtId="1" fontId="24" fillId="0" borderId="5" xfId="0" applyNumberFormat="1" applyFont="1" applyFill="1" applyBorder="1" applyAlignment="1">
      <alignment horizontal="left"/>
    </xf>
    <xf numFmtId="2" fontId="13" fillId="0" borderId="5" xfId="0" applyNumberFormat="1" applyFont="1" applyFill="1" applyBorder="1" applyAlignment="1">
      <alignment horizontal="right" indent="5"/>
    </xf>
    <xf numFmtId="2" fontId="24" fillId="0" borderId="5" xfId="0" applyNumberFormat="1" applyFont="1" applyFill="1" applyBorder="1" applyAlignment="1">
      <alignment horizontal="right" indent="2"/>
    </xf>
    <xf numFmtId="4" fontId="28" fillId="3" borderId="15" xfId="0" applyNumberFormat="1" applyFont="1" applyFill="1" applyBorder="1"/>
    <xf numFmtId="4" fontId="0" fillId="3" borderId="8" xfId="0" applyNumberFormat="1" applyFont="1" applyFill="1" applyBorder="1" applyAlignment="1">
      <alignment horizontal="center" wrapText="1"/>
    </xf>
    <xf numFmtId="4" fontId="0" fillId="3" borderId="10" xfId="0" applyNumberFormat="1" applyFont="1" applyFill="1" applyBorder="1" applyAlignment="1">
      <alignment horizontal="center" wrapText="1"/>
    </xf>
    <xf numFmtId="4" fontId="0" fillId="0" borderId="0" xfId="0" applyNumberFormat="1"/>
    <xf numFmtId="0" fontId="13" fillId="20" borderId="7" xfId="0" applyFont="1" applyFill="1" applyBorder="1"/>
    <xf numFmtId="0" fontId="13" fillId="20" borderId="0" xfId="0" applyFont="1" applyFill="1" applyBorder="1"/>
    <xf numFmtId="0" fontId="13" fillId="20" borderId="9" xfId="0" applyFont="1" applyFill="1" applyBorder="1" applyAlignment="1">
      <alignment horizontal="left" indent="1"/>
    </xf>
    <xf numFmtId="0" fontId="13" fillId="20" borderId="1" xfId="0" applyFont="1" applyFill="1" applyBorder="1"/>
    <xf numFmtId="0" fontId="13" fillId="20" borderId="7" xfId="0" applyFont="1" applyFill="1" applyBorder="1" applyAlignment="1">
      <alignment horizontal="left" indent="1"/>
    </xf>
    <xf numFmtId="0" fontId="0" fillId="20" borderId="0" xfId="0" applyFill="1" applyBorder="1"/>
    <xf numFmtId="0" fontId="22" fillId="15" borderId="7" xfId="0" applyFont="1" applyFill="1" applyBorder="1" applyAlignment="1">
      <alignment horizontal="center" wrapText="1"/>
    </xf>
    <xf numFmtId="0" fontId="11" fillId="0" borderId="2" xfId="3" applyNumberFormat="1" applyFont="1" applyBorder="1" applyAlignment="1">
      <alignment horizontal="right" vertical="top" wrapText="1"/>
    </xf>
    <xf numFmtId="3" fontId="11" fillId="0" borderId="2" xfId="3" applyNumberFormat="1" applyFont="1" applyBorder="1" applyAlignment="1">
      <alignment horizontal="right" vertical="top" wrapText="1"/>
    </xf>
    <xf numFmtId="0" fontId="11" fillId="0" borderId="2" xfId="1" applyNumberFormat="1" applyFont="1" applyBorder="1" applyAlignment="1">
      <alignment horizontal="right" vertical="top" wrapText="1"/>
    </xf>
    <xf numFmtId="0" fontId="0" fillId="11" borderId="4" xfId="0" applyFont="1" applyFill="1" applyBorder="1" applyAlignment="1">
      <alignment horizontal="center" wrapText="1"/>
    </xf>
    <xf numFmtId="0" fontId="0" fillId="9" borderId="7" xfId="0" applyFill="1" applyBorder="1" applyAlignment="1">
      <alignment horizontal="center" vertical="center" wrapText="1"/>
    </xf>
    <xf numFmtId="165" fontId="0" fillId="14" borderId="7" xfId="0" applyNumberFormat="1" applyFont="1" applyFill="1" applyBorder="1" applyAlignment="1">
      <alignment horizontal="center" wrapText="1"/>
    </xf>
    <xf numFmtId="2" fontId="2" fillId="4" borderId="0" xfId="1" applyNumberFormat="1" applyFont="1" applyFill="1" applyBorder="1" applyAlignment="1">
      <alignment horizontal="center"/>
    </xf>
    <xf numFmtId="167" fontId="0" fillId="4" borderId="5" xfId="1" applyNumberFormat="1" applyFont="1" applyFill="1" applyBorder="1" applyAlignment="1">
      <alignment horizontal="right" indent="1"/>
    </xf>
    <xf numFmtId="167" fontId="0" fillId="4" borderId="0" xfId="1" applyNumberFormat="1" applyFont="1" applyFill="1" applyBorder="1" applyAlignment="1">
      <alignment horizontal="right" indent="1"/>
    </xf>
    <xf numFmtId="167" fontId="17" fillId="4" borderId="0" xfId="1" applyNumberFormat="1" applyFont="1" applyFill="1" applyBorder="1" applyAlignment="1">
      <alignment horizontal="right" indent="1"/>
    </xf>
    <xf numFmtId="167" fontId="0" fillId="4" borderId="1" xfId="1" applyNumberFormat="1" applyFont="1" applyFill="1" applyBorder="1" applyAlignment="1">
      <alignment horizontal="right" indent="1"/>
    </xf>
    <xf numFmtId="167" fontId="0" fillId="4" borderId="23" xfId="0" applyNumberFormat="1" applyFill="1" applyBorder="1"/>
    <xf numFmtId="167" fontId="0" fillId="4" borderId="5" xfId="1" applyNumberFormat="1" applyFont="1" applyFill="1" applyBorder="1"/>
    <xf numFmtId="167" fontId="0" fillId="4" borderId="6" xfId="1" applyNumberFormat="1" applyFont="1" applyFill="1" applyBorder="1"/>
    <xf numFmtId="167" fontId="0" fillId="4" borderId="24" xfId="0" applyNumberFormat="1" applyFill="1" applyBorder="1"/>
    <xf numFmtId="167" fontId="0" fillId="4" borderId="0" xfId="1" applyNumberFormat="1" applyFont="1" applyFill="1" applyBorder="1"/>
    <xf numFmtId="167" fontId="0" fillId="4" borderId="8" xfId="1" applyNumberFormat="1" applyFont="1" applyFill="1" applyBorder="1"/>
    <xf numFmtId="167" fontId="4" fillId="4" borderId="24" xfId="0" applyNumberFormat="1" applyFont="1" applyFill="1" applyBorder="1"/>
    <xf numFmtId="167" fontId="0" fillId="4" borderId="24" xfId="1" applyNumberFormat="1" applyFont="1" applyFill="1" applyBorder="1"/>
    <xf numFmtId="167" fontId="0" fillId="2" borderId="22" xfId="1" applyNumberFormat="1" applyFont="1" applyFill="1" applyBorder="1"/>
    <xf numFmtId="167" fontId="9" fillId="2" borderId="11" xfId="1" applyNumberFormat="1" applyFont="1" applyFill="1" applyBorder="1"/>
    <xf numFmtId="167" fontId="17" fillId="2" borderId="13" xfId="1" applyNumberFormat="1" applyFont="1" applyFill="1" applyBorder="1"/>
    <xf numFmtId="167" fontId="0" fillId="4" borderId="25" xfId="0" applyNumberFormat="1" applyFill="1" applyBorder="1"/>
    <xf numFmtId="167" fontId="0" fillId="4" borderId="1" xfId="1" applyNumberFormat="1" applyFont="1" applyFill="1" applyBorder="1"/>
    <xf numFmtId="167" fontId="0" fillId="4" borderId="10" xfId="1" applyNumberFormat="1" applyFont="1" applyFill="1" applyBorder="1"/>
    <xf numFmtId="8" fontId="0" fillId="4" borderId="0" xfId="1" applyNumberFormat="1" applyFont="1" applyFill="1" applyBorder="1"/>
    <xf numFmtId="167" fontId="0" fillId="7" borderId="14" xfId="0" applyNumberFormat="1" applyFill="1" applyBorder="1" applyAlignment="1">
      <alignment horizontal="center"/>
    </xf>
    <xf numFmtId="167" fontId="0" fillId="8" borderId="14" xfId="0" applyNumberFormat="1" applyFill="1" applyBorder="1" applyAlignment="1">
      <alignment horizontal="center"/>
    </xf>
    <xf numFmtId="167" fontId="0" fillId="7" borderId="8" xfId="0" applyNumberFormat="1" applyFill="1" applyBorder="1" applyAlignment="1">
      <alignment horizontal="center"/>
    </xf>
    <xf numFmtId="167" fontId="0" fillId="7" borderId="15" xfId="1" applyNumberFormat="1" applyFont="1" applyFill="1" applyBorder="1" applyAlignment="1">
      <alignment horizontal="center"/>
    </xf>
    <xf numFmtId="167" fontId="0" fillId="8" borderId="15" xfId="0" applyNumberFormat="1" applyFill="1" applyBorder="1" applyAlignment="1">
      <alignment horizontal="center"/>
    </xf>
    <xf numFmtId="167" fontId="0" fillId="12" borderId="8" xfId="0" applyNumberFormat="1" applyFill="1" applyBorder="1" applyAlignment="1">
      <alignment horizontal="center"/>
    </xf>
    <xf numFmtId="167" fontId="0" fillId="7" borderId="15" xfId="0" applyNumberFormat="1" applyFill="1" applyBorder="1" applyAlignment="1">
      <alignment horizontal="center"/>
    </xf>
    <xf numFmtId="167" fontId="0" fillId="8" borderId="16" xfId="0" applyNumberFormat="1" applyFill="1" applyBorder="1" applyAlignment="1">
      <alignment horizontal="center"/>
    </xf>
    <xf numFmtId="167" fontId="0" fillId="12" borderId="16" xfId="0" applyNumberFormat="1" applyFill="1" applyBorder="1" applyAlignment="1">
      <alignment horizontal="center"/>
    </xf>
    <xf numFmtId="167" fontId="0" fillId="13" borderId="4" xfId="0" applyNumberFormat="1" applyFill="1" applyBorder="1" applyAlignment="1">
      <alignment horizontal="center"/>
    </xf>
    <xf numFmtId="167" fontId="0" fillId="13" borderId="8" xfId="0" applyNumberFormat="1" applyFill="1" applyBorder="1" applyAlignment="1">
      <alignment horizontal="center"/>
    </xf>
    <xf numFmtId="167" fontId="0" fillId="13" borderId="5" xfId="0" applyNumberFormat="1" applyFill="1" applyBorder="1" applyAlignment="1">
      <alignment horizontal="center"/>
    </xf>
    <xf numFmtId="167" fontId="0" fillId="13" borderId="6" xfId="0" applyNumberFormat="1" applyFill="1" applyBorder="1" applyAlignment="1">
      <alignment horizontal="center"/>
    </xf>
    <xf numFmtId="167" fontId="0" fillId="13" borderId="0" xfId="0" applyNumberFormat="1" applyFill="1" applyBorder="1" applyAlignment="1">
      <alignment horizontal="center"/>
    </xf>
    <xf numFmtId="167" fontId="18" fillId="13" borderId="9" xfId="0" applyNumberFormat="1" applyFont="1" applyFill="1" applyBorder="1" applyAlignment="1">
      <alignment horizontal="center"/>
    </xf>
    <xf numFmtId="167" fontId="18" fillId="13" borderId="10" xfId="0" applyNumberFormat="1" applyFont="1" applyFill="1" applyBorder="1" applyAlignment="1">
      <alignment horizontal="center"/>
    </xf>
    <xf numFmtId="167" fontId="18" fillId="13" borderId="1" xfId="0" applyNumberFormat="1" applyFont="1" applyFill="1" applyBorder="1" applyAlignment="1">
      <alignment horizontal="center"/>
    </xf>
    <xf numFmtId="167" fontId="2" fillId="13" borderId="1" xfId="0" applyNumberFormat="1" applyFont="1" applyFill="1" applyBorder="1" applyAlignment="1">
      <alignment horizontal="center"/>
    </xf>
    <xf numFmtId="167" fontId="2" fillId="13" borderId="10" xfId="0" applyNumberFormat="1" applyFont="1" applyFill="1" applyBorder="1" applyAlignment="1">
      <alignment horizontal="center"/>
    </xf>
    <xf numFmtId="167" fontId="0" fillId="5" borderId="7" xfId="0" applyNumberFormat="1" applyFont="1" applyFill="1" applyBorder="1" applyAlignment="1">
      <alignment horizontal="right" indent="5"/>
    </xf>
    <xf numFmtId="167" fontId="0" fillId="5" borderId="0" xfId="0" applyNumberFormat="1" applyFont="1" applyFill="1" applyBorder="1" applyAlignment="1">
      <alignment horizontal="right" indent="5"/>
    </xf>
    <xf numFmtId="167" fontId="0" fillId="5" borderId="8" xfId="0" applyNumberFormat="1" applyFont="1" applyFill="1" applyBorder="1" applyAlignment="1">
      <alignment horizontal="right" indent="2"/>
    </xf>
    <xf numFmtId="167" fontId="19" fillId="5" borderId="7" xfId="0" applyNumberFormat="1" applyFont="1" applyFill="1" applyBorder="1" applyAlignment="1">
      <alignment horizontal="right" indent="5"/>
    </xf>
    <xf numFmtId="167" fontId="17" fillId="5" borderId="7" xfId="0" applyNumberFormat="1" applyFont="1" applyFill="1" applyBorder="1" applyAlignment="1">
      <alignment horizontal="right" indent="5"/>
    </xf>
    <xf numFmtId="167" fontId="0" fillId="5" borderId="9" xfId="0" applyNumberFormat="1" applyFont="1" applyFill="1" applyBorder="1" applyAlignment="1">
      <alignment horizontal="right" indent="5"/>
    </xf>
    <xf numFmtId="167" fontId="0" fillId="18" borderId="8" xfId="0" applyNumberFormat="1" applyFill="1" applyBorder="1"/>
    <xf numFmtId="167" fontId="0" fillId="17" borderId="15" xfId="0" applyNumberFormat="1" applyFill="1" applyBorder="1"/>
    <xf numFmtId="167" fontId="0" fillId="18" borderId="26" xfId="1" applyNumberFormat="1" applyFont="1" applyFill="1" applyBorder="1" applyAlignment="1">
      <alignment horizontal="center"/>
    </xf>
    <xf numFmtId="167" fontId="0" fillId="18" borderId="10" xfId="0" applyNumberFormat="1" applyFill="1" applyBorder="1"/>
    <xf numFmtId="167" fontId="0" fillId="17" borderId="16" xfId="0" applyNumberFormat="1" applyFill="1" applyBorder="1"/>
    <xf numFmtId="167" fontId="19" fillId="4" borderId="0" xfId="1" applyNumberFormat="1" applyFont="1" applyFill="1" applyBorder="1" applyAlignment="1">
      <alignment horizontal="right" indent="1"/>
    </xf>
    <xf numFmtId="167" fontId="17" fillId="5" borderId="8" xfId="0" applyNumberFormat="1" applyFont="1" applyFill="1" applyBorder="1" applyAlignment="1">
      <alignment horizontal="right" indent="2"/>
    </xf>
    <xf numFmtId="167" fontId="19" fillId="5" borderId="0" xfId="0" applyNumberFormat="1" applyFont="1" applyFill="1" applyBorder="1" applyAlignment="1">
      <alignment horizontal="right" indent="5"/>
    </xf>
    <xf numFmtId="167" fontId="0" fillId="5" borderId="7" xfId="0" applyNumberFormat="1" applyFont="1" applyFill="1" applyBorder="1" applyAlignment="1">
      <alignment horizontal="right" vertical="center" indent="5"/>
    </xf>
    <xf numFmtId="167" fontId="0" fillId="5" borderId="0" xfId="0" applyNumberFormat="1" applyFont="1" applyFill="1" applyBorder="1" applyAlignment="1">
      <alignment horizontal="right" vertical="center" indent="5"/>
    </xf>
    <xf numFmtId="167" fontId="0" fillId="5" borderId="8" xfId="0" applyNumberFormat="1" applyFont="1" applyFill="1" applyBorder="1" applyAlignment="1">
      <alignment horizontal="right" vertical="center" indent="1"/>
    </xf>
    <xf numFmtId="167" fontId="19" fillId="5" borderId="7" xfId="0" applyNumberFormat="1" applyFont="1" applyFill="1" applyBorder="1" applyAlignment="1">
      <alignment horizontal="right" vertical="center" indent="5"/>
    </xf>
    <xf numFmtId="167" fontId="19" fillId="5" borderId="0" xfId="0" applyNumberFormat="1" applyFont="1" applyFill="1" applyBorder="1" applyAlignment="1">
      <alignment horizontal="right" vertical="center" indent="5"/>
    </xf>
    <xf numFmtId="167" fontId="17" fillId="5" borderId="0" xfId="1" applyNumberFormat="1" applyFont="1" applyFill="1" applyBorder="1" applyAlignment="1">
      <alignment horizontal="right" indent="5"/>
    </xf>
    <xf numFmtId="167" fontId="0" fillId="5" borderId="8" xfId="1" applyNumberFormat="1" applyFont="1" applyFill="1" applyBorder="1" applyAlignment="1">
      <alignment horizontal="right" indent="2"/>
    </xf>
    <xf numFmtId="167" fontId="19" fillId="5" borderId="0" xfId="1" applyNumberFormat="1" applyFont="1" applyFill="1" applyBorder="1" applyAlignment="1">
      <alignment horizontal="right" indent="5"/>
    </xf>
    <xf numFmtId="167" fontId="19" fillId="5" borderId="8" xfId="1" applyNumberFormat="1" applyFont="1" applyFill="1" applyBorder="1" applyAlignment="1">
      <alignment horizontal="right" indent="2"/>
    </xf>
    <xf numFmtId="167" fontId="17" fillId="5" borderId="1" xfId="1" applyNumberFormat="1" applyFont="1" applyFill="1" applyBorder="1" applyAlignment="1">
      <alignment horizontal="right" indent="5"/>
    </xf>
    <xf numFmtId="167" fontId="0" fillId="5" borderId="10" xfId="1" applyNumberFormat="1" applyFont="1" applyFill="1" applyBorder="1" applyAlignment="1">
      <alignment horizontal="right" indent="2"/>
    </xf>
    <xf numFmtId="8" fontId="9" fillId="10" borderId="3" xfId="1" applyNumberFormat="1" applyFont="1" applyFill="1" applyBorder="1" applyAlignment="1">
      <alignment horizontal="right" indent="1"/>
    </xf>
    <xf numFmtId="167" fontId="1" fillId="5" borderId="0" xfId="1" applyNumberFormat="1" applyFont="1" applyFill="1" applyBorder="1" applyAlignment="1">
      <alignment horizontal="right" indent="5"/>
    </xf>
    <xf numFmtId="167" fontId="0" fillId="3" borderId="8" xfId="1" applyNumberFormat="1" applyFont="1" applyFill="1" applyBorder="1" applyAlignment="1">
      <alignment horizontal="right" indent="2"/>
    </xf>
    <xf numFmtId="167" fontId="19" fillId="3" borderId="8" xfId="1" applyNumberFormat="1" applyFont="1" applyFill="1" applyBorder="1" applyAlignment="1">
      <alignment horizontal="right" indent="2"/>
    </xf>
    <xf numFmtId="167" fontId="2" fillId="17" borderId="15" xfId="0" applyNumberFormat="1" applyFont="1" applyFill="1" applyBorder="1"/>
    <xf numFmtId="167" fontId="2" fillId="17" borderId="16" xfId="0" applyNumberFormat="1" applyFont="1" applyFill="1" applyBorder="1"/>
    <xf numFmtId="167" fontId="0" fillId="3" borderId="10" xfId="1" applyNumberFormat="1" applyFont="1" applyFill="1" applyBorder="1" applyAlignment="1">
      <alignment horizontal="right" indent="2"/>
    </xf>
    <xf numFmtId="167" fontId="0" fillId="20" borderId="8" xfId="0" applyNumberFormat="1" applyFill="1" applyBorder="1"/>
    <xf numFmtId="167" fontId="0" fillId="3" borderId="15" xfId="0" applyNumberFormat="1" applyFill="1" applyBorder="1"/>
    <xf numFmtId="167" fontId="13" fillId="20" borderId="8" xfId="0" applyNumberFormat="1" applyFont="1" applyFill="1" applyBorder="1"/>
    <xf numFmtId="167" fontId="13" fillId="20" borderId="10" xfId="0" applyNumberFormat="1" applyFont="1" applyFill="1" applyBorder="1"/>
    <xf numFmtId="167" fontId="0" fillId="3" borderId="16" xfId="0" applyNumberFormat="1" applyFill="1" applyBorder="1"/>
    <xf numFmtId="8" fontId="2" fillId="10" borderId="3" xfId="1" applyNumberFormat="1" applyFont="1" applyFill="1" applyBorder="1" applyAlignment="1">
      <alignment horizontal="right" indent="1"/>
    </xf>
    <xf numFmtId="167" fontId="17" fillId="5" borderId="8" xfId="1" applyNumberFormat="1" applyFont="1" applyFill="1" applyBorder="1" applyAlignment="1">
      <alignment horizontal="right" indent="5"/>
    </xf>
    <xf numFmtId="167" fontId="17" fillId="5" borderId="10" xfId="1" applyNumberFormat="1" applyFont="1" applyFill="1" applyBorder="1" applyAlignment="1">
      <alignment horizontal="right" indent="5"/>
    </xf>
    <xf numFmtId="167" fontId="17" fillId="3" borderId="8" xfId="1" applyNumberFormat="1" applyFont="1" applyFill="1" applyBorder="1" applyAlignment="1">
      <alignment horizontal="right" indent="2"/>
    </xf>
    <xf numFmtId="167" fontId="0" fillId="4" borderId="5" xfId="1" applyNumberFormat="1" applyFont="1" applyFill="1" applyBorder="1" applyAlignment="1">
      <alignment horizontal="right" indent="3"/>
    </xf>
    <xf numFmtId="167" fontId="0" fillId="4" borderId="0" xfId="1" applyNumberFormat="1" applyFont="1" applyFill="1" applyBorder="1" applyAlignment="1">
      <alignment horizontal="right" indent="3"/>
    </xf>
    <xf numFmtId="167" fontId="4" fillId="4" borderId="0" xfId="1" applyNumberFormat="1" applyFont="1" applyFill="1" applyBorder="1" applyAlignment="1">
      <alignment horizontal="right" indent="3"/>
    </xf>
    <xf numFmtId="167" fontId="4" fillId="4" borderId="0" xfId="1" applyNumberFormat="1" applyFont="1" applyFill="1" applyBorder="1"/>
    <xf numFmtId="167" fontId="3" fillId="0" borderId="11" xfId="0" applyNumberFormat="1" applyFont="1" applyFill="1" applyBorder="1" applyAlignment="1">
      <alignment horizontal="center" vertical="center"/>
    </xf>
    <xf numFmtId="167" fontId="3" fillId="0" borderId="12" xfId="0" applyNumberFormat="1" applyFont="1" applyFill="1" applyBorder="1" applyAlignment="1">
      <alignment horizontal="center" vertical="center"/>
    </xf>
    <xf numFmtId="167" fontId="3" fillId="0" borderId="13" xfId="0" applyNumberFormat="1" applyFont="1" applyFill="1" applyBorder="1" applyAlignment="1">
      <alignment horizontal="center" vertical="center"/>
    </xf>
    <xf numFmtId="167" fontId="0" fillId="9" borderId="7" xfId="1" applyNumberFormat="1" applyFont="1" applyFill="1" applyBorder="1" applyAlignment="1">
      <alignment horizontal="center"/>
    </xf>
    <xf numFmtId="167" fontId="0" fillId="9" borderId="0" xfId="1" applyNumberFormat="1" applyFont="1" applyFill="1" applyBorder="1" applyAlignment="1">
      <alignment horizontal="center"/>
    </xf>
    <xf numFmtId="167" fontId="0" fillId="9" borderId="8" xfId="1" applyNumberFormat="1" applyFont="1" applyFill="1" applyBorder="1" applyAlignment="1">
      <alignment horizontal="center"/>
    </xf>
    <xf numFmtId="167" fontId="2" fillId="0" borderId="0" xfId="0" applyNumberFormat="1" applyFont="1" applyFill="1" applyAlignment="1">
      <alignment horizontal="center"/>
    </xf>
    <xf numFmtId="167" fontId="24" fillId="0" borderId="0" xfId="0" applyNumberFormat="1" applyFont="1" applyFill="1" applyAlignment="1">
      <alignment horizontal="center"/>
    </xf>
    <xf numFmtId="10" fontId="0" fillId="9" borderId="7" xfId="2" applyNumberFormat="1" applyFont="1" applyFill="1" applyBorder="1" applyAlignment="1">
      <alignment horizontal="center"/>
    </xf>
    <xf numFmtId="10" fontId="0" fillId="9" borderId="0" xfId="2" applyNumberFormat="1" applyFont="1" applyFill="1" applyBorder="1" applyAlignment="1">
      <alignment horizontal="center"/>
    </xf>
    <xf numFmtId="10" fontId="0" fillId="9" borderId="8" xfId="2" applyNumberFormat="1" applyFont="1" applyFill="1" applyBorder="1" applyAlignment="1">
      <alignment horizontal="center"/>
    </xf>
    <xf numFmtId="10" fontId="0" fillId="9" borderId="9" xfId="2" applyNumberFormat="1" applyFont="1" applyFill="1" applyBorder="1" applyAlignment="1">
      <alignment horizontal="center"/>
    </xf>
    <xf numFmtId="10" fontId="0" fillId="9" borderId="1" xfId="2" applyNumberFormat="1" applyFont="1" applyFill="1" applyBorder="1" applyAlignment="1">
      <alignment horizontal="center"/>
    </xf>
    <xf numFmtId="10" fontId="0" fillId="9" borderId="10" xfId="2" applyNumberFormat="1" applyFont="1" applyFill="1" applyBorder="1" applyAlignment="1">
      <alignment horizontal="center"/>
    </xf>
    <xf numFmtId="43" fontId="2" fillId="0" borderId="0" xfId="0" applyNumberFormat="1" applyFont="1" applyAlignment="1">
      <alignment horizontal="center"/>
    </xf>
    <xf numFmtId="43" fontId="2" fillId="0" borderId="0" xfId="0" applyNumberFormat="1" applyFont="1" applyFill="1" applyAlignment="1">
      <alignment horizontal="center"/>
    </xf>
    <xf numFmtId="43" fontId="0" fillId="0" borderId="0" xfId="0" applyNumberFormat="1" applyAlignment="1">
      <alignment horizontal="center"/>
    </xf>
    <xf numFmtId="43" fontId="0" fillId="0" borderId="0" xfId="0" applyNumberFormat="1" applyFill="1" applyAlignment="1">
      <alignment horizontal="center"/>
    </xf>
    <xf numFmtId="167" fontId="0" fillId="11" borderId="7" xfId="0" applyNumberFormat="1" applyFont="1" applyFill="1" applyBorder="1" applyAlignment="1">
      <alignment horizontal="center"/>
    </xf>
    <xf numFmtId="167" fontId="0" fillId="11" borderId="15" xfId="0" applyNumberFormat="1" applyFont="1" applyFill="1" applyBorder="1" applyAlignment="1">
      <alignment horizontal="center"/>
    </xf>
    <xf numFmtId="167" fontId="0" fillId="11" borderId="9" xfId="0" applyNumberFormat="1" applyFont="1" applyFill="1" applyBorder="1" applyAlignment="1">
      <alignment horizontal="center"/>
    </xf>
    <xf numFmtId="167" fontId="0" fillId="11" borderId="16" xfId="0" applyNumberFormat="1" applyFont="1" applyFill="1" applyBorder="1" applyAlignment="1">
      <alignment horizontal="center"/>
    </xf>
    <xf numFmtId="43" fontId="24" fillId="0" borderId="0" xfId="0" applyNumberFormat="1" applyFont="1" applyAlignment="1">
      <alignment horizontal="center"/>
    </xf>
    <xf numFmtId="40" fontId="9" fillId="10" borderId="3" xfId="1" applyNumberFormat="1" applyFont="1" applyFill="1" applyBorder="1"/>
    <xf numFmtId="167" fontId="0" fillId="4" borderId="0" xfId="1" applyNumberFormat="1" applyFont="1" applyFill="1" applyBorder="1" applyAlignment="1">
      <alignment horizontal="center"/>
    </xf>
    <xf numFmtId="167" fontId="24" fillId="3" borderId="6" xfId="0" applyNumberFormat="1" applyFont="1" applyFill="1" applyBorder="1" applyAlignment="1">
      <alignment horizontal="center" vertical="center"/>
    </xf>
    <xf numFmtId="167" fontId="24" fillId="0" borderId="6" xfId="0" applyNumberFormat="1" applyFont="1" applyFill="1" applyBorder="1" applyAlignment="1">
      <alignment horizontal="center" vertical="center"/>
    </xf>
    <xf numFmtId="0" fontId="3" fillId="0" borderId="0" xfId="0" applyFont="1" applyFill="1" applyBorder="1" applyAlignment="1">
      <alignment vertical="center" wrapText="1"/>
    </xf>
    <xf numFmtId="0" fontId="3" fillId="22" borderId="28" xfId="0" applyFont="1" applyFill="1" applyBorder="1" applyAlignment="1">
      <alignment horizontal="center" vertical="center" wrapText="1"/>
    </xf>
    <xf numFmtId="0" fontId="3" fillId="22" borderId="29" xfId="0" applyFont="1" applyFill="1" applyBorder="1" applyAlignment="1">
      <alignment horizontal="center" vertical="center" wrapText="1"/>
    </xf>
    <xf numFmtId="0" fontId="3" fillId="22" borderId="30" xfId="0" applyFont="1" applyFill="1" applyBorder="1" applyAlignment="1">
      <alignment horizontal="center" vertical="center" wrapText="1"/>
    </xf>
    <xf numFmtId="0" fontId="3" fillId="22" borderId="31" xfId="0" applyFont="1" applyFill="1" applyBorder="1" applyAlignment="1">
      <alignment horizontal="center" vertical="center" wrapText="1"/>
    </xf>
    <xf numFmtId="0" fontId="3" fillId="22" borderId="0" xfId="0" applyFont="1" applyFill="1" applyBorder="1" applyAlignment="1">
      <alignment horizontal="center" vertical="center" wrapText="1"/>
    </xf>
    <xf numFmtId="0" fontId="3" fillId="22" borderId="32" xfId="0" applyFont="1" applyFill="1" applyBorder="1" applyAlignment="1">
      <alignment horizontal="center" vertical="center" wrapText="1"/>
    </xf>
    <xf numFmtId="0" fontId="3" fillId="22" borderId="33" xfId="0" applyFont="1" applyFill="1" applyBorder="1" applyAlignment="1">
      <alignment horizontal="center" vertical="center" wrapText="1"/>
    </xf>
    <xf numFmtId="0" fontId="3" fillId="22" borderId="34" xfId="0" applyFont="1" applyFill="1" applyBorder="1" applyAlignment="1">
      <alignment horizontal="center" vertical="center" wrapText="1"/>
    </xf>
    <xf numFmtId="0" fontId="3" fillId="22" borderId="35" xfId="0" applyFont="1" applyFill="1" applyBorder="1" applyAlignment="1">
      <alignment horizontal="center" vertical="center" wrapText="1"/>
    </xf>
    <xf numFmtId="0" fontId="0" fillId="4" borderId="4"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4" borderId="5" xfId="0" applyFill="1" applyBorder="1" applyAlignment="1">
      <alignment horizontal="center" wrapText="1"/>
    </xf>
    <xf numFmtId="0" fontId="0" fillId="4" borderId="0" xfId="0" applyFill="1" applyBorder="1" applyAlignment="1">
      <alignment horizontal="center" wrapText="1"/>
    </xf>
    <xf numFmtId="0" fontId="0" fillId="4" borderId="1" xfId="0" applyFill="1" applyBorder="1" applyAlignment="1">
      <alignment horizontal="center" wrapText="1"/>
    </xf>
    <xf numFmtId="0" fontId="0" fillId="4" borderId="24" xfId="0" applyFill="1" applyBorder="1" applyAlignment="1">
      <alignment horizontal="center"/>
    </xf>
    <xf numFmtId="0" fontId="0" fillId="4" borderId="0" xfId="0" applyFill="1" applyBorder="1" applyAlignment="1">
      <alignment horizontal="center"/>
    </xf>
    <xf numFmtId="0" fontId="0" fillId="4" borderId="8" xfId="0" applyFill="1" applyBorder="1" applyAlignment="1">
      <alignment horizontal="center"/>
    </xf>
    <xf numFmtId="169" fontId="17" fillId="4" borderId="5" xfId="0" applyNumberFormat="1" applyFont="1" applyFill="1" applyBorder="1" applyAlignment="1">
      <alignment horizontal="center" wrapText="1"/>
    </xf>
    <xf numFmtId="169" fontId="17" fillId="4" borderId="0" xfId="0" applyNumberFormat="1" applyFont="1" applyFill="1" applyBorder="1" applyAlignment="1">
      <alignment horizontal="center" wrapText="1"/>
    </xf>
    <xf numFmtId="169" fontId="17" fillId="4" borderId="1" xfId="0" applyNumberFormat="1" applyFont="1" applyFill="1" applyBorder="1" applyAlignment="1">
      <alignment horizontal="center" wrapText="1"/>
    </xf>
    <xf numFmtId="0" fontId="0" fillId="4" borderId="5" xfId="0" quotePrefix="1" applyFill="1" applyBorder="1" applyAlignment="1">
      <alignment horizontal="center" wrapText="1"/>
    </xf>
    <xf numFmtId="0" fontId="0" fillId="4" borderId="0" xfId="0" quotePrefix="1" applyFill="1" applyBorder="1" applyAlignment="1">
      <alignment horizontal="center" wrapText="1"/>
    </xf>
    <xf numFmtId="0" fontId="0" fillId="4" borderId="1" xfId="0" quotePrefix="1" applyFill="1" applyBorder="1" applyAlignment="1">
      <alignment horizontal="center" wrapText="1"/>
    </xf>
    <xf numFmtId="0" fontId="11" fillId="0" borderId="2" xfId="3" applyFont="1" applyBorder="1" applyAlignment="1">
      <alignment horizontal="left" vertical="top" wrapText="1"/>
    </xf>
    <xf numFmtId="0" fontId="12" fillId="0" borderId="0" xfId="3" applyFont="1" applyBorder="1" applyAlignment="1">
      <alignment horizontal="center" wrapText="1"/>
    </xf>
    <xf numFmtId="0" fontId="10" fillId="0" borderId="0" xfId="3"/>
    <xf numFmtId="0" fontId="12" fillId="0" borderId="2" xfId="3" applyFont="1" applyBorder="1" applyAlignment="1">
      <alignment horizontal="center" wrapText="1"/>
    </xf>
    <xf numFmtId="0" fontId="27" fillId="5" borderId="9" xfId="0" applyFont="1" applyFill="1" applyBorder="1" applyAlignment="1">
      <alignment horizontal="center" vertical="center"/>
    </xf>
    <xf numFmtId="0" fontId="27" fillId="5" borderId="1" xfId="0" applyFont="1" applyFill="1" applyBorder="1" applyAlignment="1">
      <alignment horizontal="center" vertical="center"/>
    </xf>
    <xf numFmtId="0" fontId="27" fillId="5" borderId="10" xfId="0" applyFont="1" applyFill="1" applyBorder="1" applyAlignment="1">
      <alignment horizontal="center" vertical="center"/>
    </xf>
    <xf numFmtId="0" fontId="0" fillId="7" borderId="4" xfId="0" applyFill="1" applyBorder="1" applyAlignment="1">
      <alignment horizontal="center" wrapText="1"/>
    </xf>
    <xf numFmtId="0" fontId="0" fillId="7" borderId="7" xfId="0" applyFill="1" applyBorder="1" applyAlignment="1">
      <alignment horizontal="center" wrapText="1"/>
    </xf>
    <xf numFmtId="0" fontId="0" fillId="7" borderId="9" xfId="0" applyFill="1" applyBorder="1" applyAlignment="1">
      <alignment horizontal="center" wrapText="1"/>
    </xf>
    <xf numFmtId="0" fontId="0" fillId="8" borderId="14" xfId="0" applyFill="1" applyBorder="1" applyAlignment="1">
      <alignment horizontal="center" wrapText="1"/>
    </xf>
    <xf numFmtId="0" fontId="0" fillId="8" borderId="15" xfId="0" applyFill="1" applyBorder="1" applyAlignment="1">
      <alignment horizontal="center" wrapText="1"/>
    </xf>
    <xf numFmtId="0" fontId="0" fillId="8" borderId="16" xfId="0" applyFill="1"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0" fillId="0" borderId="7" xfId="0" applyFont="1" applyBorder="1" applyAlignment="1">
      <alignment horizontal="left" wrapText="1"/>
    </xf>
    <xf numFmtId="0" fontId="0" fillId="12" borderId="14" xfId="0" applyFill="1" applyBorder="1" applyAlignment="1">
      <alignment horizontal="center" wrapText="1"/>
    </xf>
    <xf numFmtId="0" fontId="0" fillId="12" borderId="15" xfId="0" applyFill="1" applyBorder="1" applyAlignment="1">
      <alignment horizontal="center" wrapText="1"/>
    </xf>
    <xf numFmtId="0" fontId="0" fillId="12" borderId="16" xfId="0" applyFill="1" applyBorder="1" applyAlignment="1">
      <alignment horizontal="center" wrapText="1"/>
    </xf>
    <xf numFmtId="0" fontId="0" fillId="7" borderId="14" xfId="0" applyFill="1" applyBorder="1" applyAlignment="1">
      <alignment horizontal="center" wrapText="1"/>
    </xf>
    <xf numFmtId="0" fontId="0" fillId="7" borderId="15" xfId="0" applyFill="1" applyBorder="1" applyAlignment="1">
      <alignment horizontal="center" wrapText="1"/>
    </xf>
    <xf numFmtId="0" fontId="0" fillId="7" borderId="16" xfId="0" applyFill="1" applyBorder="1" applyAlignment="1">
      <alignment horizontal="center" wrapText="1"/>
    </xf>
    <xf numFmtId="165" fontId="3" fillId="17" borderId="15" xfId="0" applyNumberFormat="1" applyFont="1" applyFill="1" applyBorder="1" applyAlignment="1">
      <alignment horizontal="center" vertical="center" wrapText="1"/>
    </xf>
    <xf numFmtId="0" fontId="30" fillId="15" borderId="8" xfId="0" applyFont="1" applyFill="1" applyBorder="1" applyAlignment="1">
      <alignment horizontal="center"/>
    </xf>
    <xf numFmtId="0" fontId="30" fillId="15" borderId="15" xfId="0" applyFont="1" applyFill="1" applyBorder="1" applyAlignment="1">
      <alignment horizontal="center"/>
    </xf>
    <xf numFmtId="0" fontId="28" fillId="5" borderId="15" xfId="0" applyFont="1" applyFill="1" applyBorder="1" applyAlignment="1">
      <alignment horizontal="center"/>
    </xf>
    <xf numFmtId="0" fontId="28" fillId="18" borderId="15" xfId="0" applyFont="1" applyFill="1" applyBorder="1" applyAlignment="1">
      <alignment horizontal="center"/>
    </xf>
    <xf numFmtId="1" fontId="24" fillId="3" borderId="4" xfId="0" applyNumberFormat="1" applyFont="1" applyFill="1" applyBorder="1" applyAlignment="1">
      <alignment horizontal="center" vertical="center" wrapText="1"/>
    </xf>
    <xf numFmtId="1" fontId="24" fillId="3" borderId="5" xfId="0" applyNumberFormat="1" applyFont="1" applyFill="1" applyBorder="1" applyAlignment="1">
      <alignment horizontal="center" vertical="center" wrapText="1"/>
    </xf>
    <xf numFmtId="1" fontId="24" fillId="3" borderId="9" xfId="0" applyNumberFormat="1" applyFont="1" applyFill="1" applyBorder="1" applyAlignment="1">
      <alignment horizontal="center" vertical="center" wrapText="1"/>
    </xf>
    <xf numFmtId="1" fontId="24" fillId="3" borderId="1" xfId="0" applyNumberFormat="1" applyFont="1" applyFill="1" applyBorder="1" applyAlignment="1">
      <alignment horizontal="center" vertical="center" wrapText="1"/>
    </xf>
    <xf numFmtId="167" fontId="24" fillId="3" borderId="6" xfId="0" applyNumberFormat="1" applyFont="1" applyFill="1" applyBorder="1" applyAlignment="1">
      <alignment horizontal="center" vertical="center"/>
    </xf>
    <xf numFmtId="167" fontId="24" fillId="3" borderId="10" xfId="0" applyNumberFormat="1" applyFont="1" applyFill="1" applyBorder="1" applyAlignment="1">
      <alignment horizontal="center" vertical="center"/>
    </xf>
    <xf numFmtId="168" fontId="22" fillId="15" borderId="0" xfId="0" applyNumberFormat="1" applyFont="1" applyFill="1" applyBorder="1" applyAlignment="1">
      <alignment horizontal="center" wrapText="1"/>
    </xf>
    <xf numFmtId="1" fontId="16" fillId="15" borderId="0" xfId="0" quotePrefix="1" applyNumberFormat="1" applyFont="1" applyFill="1" applyBorder="1" applyAlignment="1">
      <alignment horizontal="center" wrapText="1"/>
    </xf>
    <xf numFmtId="0" fontId="22" fillId="16" borderId="0" xfId="0" applyFont="1" applyFill="1" applyBorder="1" applyAlignment="1">
      <alignment horizontal="center" wrapText="1"/>
    </xf>
    <xf numFmtId="4" fontId="0" fillId="3" borderId="8" xfId="0" applyNumberFormat="1" applyFont="1" applyFill="1" applyBorder="1" applyAlignment="1">
      <alignment horizontal="center" vertical="center" wrapText="1"/>
    </xf>
    <xf numFmtId="167" fontId="24" fillId="3" borderId="14" xfId="0" applyNumberFormat="1" applyFont="1" applyFill="1" applyBorder="1" applyAlignment="1">
      <alignment horizontal="center" vertical="center"/>
    </xf>
    <xf numFmtId="167" fontId="24" fillId="3" borderId="16" xfId="0" applyNumberFormat="1" applyFont="1" applyFill="1" applyBorder="1" applyAlignment="1">
      <alignment horizontal="center" vertical="center"/>
    </xf>
    <xf numFmtId="167" fontId="24" fillId="3" borderId="15" xfId="0" applyNumberFormat="1" applyFont="1" applyFill="1" applyBorder="1" applyAlignment="1">
      <alignment horizontal="center" vertical="center"/>
    </xf>
    <xf numFmtId="1" fontId="13" fillId="21" borderId="4" xfId="0" applyNumberFormat="1" applyFont="1" applyFill="1" applyBorder="1" applyAlignment="1">
      <alignment horizontal="center" vertical="center" wrapText="1"/>
    </xf>
    <xf numFmtId="1" fontId="13" fillId="21" borderId="5" xfId="0" applyNumberFormat="1" applyFont="1" applyFill="1" applyBorder="1" applyAlignment="1">
      <alignment horizontal="center" vertical="center" wrapText="1"/>
    </xf>
    <xf numFmtId="1" fontId="13" fillId="21" borderId="7" xfId="0" applyNumberFormat="1" applyFont="1" applyFill="1" applyBorder="1" applyAlignment="1">
      <alignment horizontal="center" vertical="center" wrapText="1"/>
    </xf>
    <xf numFmtId="1" fontId="13" fillId="21" borderId="0" xfId="0" applyNumberFormat="1" applyFont="1" applyFill="1" applyBorder="1" applyAlignment="1">
      <alignment horizontal="center" vertical="center" wrapText="1"/>
    </xf>
    <xf numFmtId="167" fontId="13" fillId="21" borderId="6" xfId="0" applyNumberFormat="1" applyFont="1" applyFill="1" applyBorder="1" applyAlignment="1">
      <alignment horizontal="center" vertical="center"/>
    </xf>
    <xf numFmtId="167" fontId="13" fillId="21" borderId="8" xfId="0" applyNumberFormat="1" applyFont="1" applyFill="1" applyBorder="1" applyAlignment="1">
      <alignment horizontal="center" vertical="center"/>
    </xf>
    <xf numFmtId="0" fontId="30" fillId="15" borderId="0" xfId="0" applyFont="1" applyFill="1" applyBorder="1" applyAlignment="1">
      <alignment horizontal="center"/>
    </xf>
    <xf numFmtId="0" fontId="28" fillId="18" borderId="7" xfId="0" applyFont="1" applyFill="1" applyBorder="1" applyAlignment="1">
      <alignment horizontal="center"/>
    </xf>
    <xf numFmtId="0" fontId="28" fillId="18" borderId="8" xfId="0" applyFont="1" applyFill="1" applyBorder="1" applyAlignment="1">
      <alignment horizontal="center"/>
    </xf>
    <xf numFmtId="0" fontId="28" fillId="5" borderId="7" xfId="0" applyFont="1" applyFill="1" applyBorder="1" applyAlignment="1">
      <alignment horizontal="center"/>
    </xf>
    <xf numFmtId="0" fontId="28" fillId="5" borderId="8" xfId="0" applyFont="1" applyFill="1" applyBorder="1" applyAlignment="1">
      <alignment horizontal="center"/>
    </xf>
    <xf numFmtId="0" fontId="0" fillId="11" borderId="4" xfId="0" applyFont="1" applyFill="1" applyBorder="1" applyAlignment="1">
      <alignment horizontal="center" wrapText="1"/>
    </xf>
    <xf numFmtId="0" fontId="0" fillId="11" borderId="7" xfId="0" applyFont="1" applyFill="1" applyBorder="1" applyAlignment="1">
      <alignment horizontal="center" wrapText="1"/>
    </xf>
    <xf numFmtId="0" fontId="0" fillId="11" borderId="9" xfId="0" applyFont="1" applyFill="1" applyBorder="1" applyAlignment="1">
      <alignment horizontal="center" wrapText="1"/>
    </xf>
    <xf numFmtId="0" fontId="22" fillId="15" borderId="0" xfId="0" applyFont="1" applyFill="1" applyBorder="1" applyAlignment="1">
      <alignment horizontal="center"/>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9" borderId="4" xfId="0" applyFill="1" applyBorder="1" applyAlignment="1">
      <alignment horizontal="center" vertical="center" wrapText="1"/>
    </xf>
    <xf numFmtId="0" fontId="0" fillId="9" borderId="7" xfId="0" applyFill="1" applyBorder="1" applyAlignment="1">
      <alignment horizontal="center" vertical="center" wrapText="1"/>
    </xf>
    <xf numFmtId="0" fontId="0" fillId="9" borderId="9"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16" xfId="0" applyFill="1" applyBorder="1" applyAlignment="1">
      <alignment horizontal="center" vertical="center" wrapText="1"/>
    </xf>
    <xf numFmtId="0" fontId="0" fillId="0" borderId="0" xfId="0" applyFill="1" applyBorder="1" applyAlignment="1">
      <alignment horizontal="center" vertical="top"/>
    </xf>
    <xf numFmtId="0" fontId="22" fillId="15" borderId="5" xfId="0" applyFont="1" applyFill="1" applyBorder="1" applyAlignment="1">
      <alignment horizontal="center" wrapText="1"/>
    </xf>
    <xf numFmtId="0" fontId="22" fillId="15" borderId="0" xfId="0" applyFont="1" applyFill="1" applyBorder="1" applyAlignment="1">
      <alignment horizontal="center" wrapText="1"/>
    </xf>
    <xf numFmtId="0" fontId="22" fillId="15" borderId="1" xfId="0" applyFont="1" applyFill="1" applyBorder="1" applyAlignment="1">
      <alignment horizontal="center" wrapText="1"/>
    </xf>
    <xf numFmtId="0" fontId="22" fillId="16" borderId="5" xfId="0" applyFont="1" applyFill="1" applyBorder="1" applyAlignment="1">
      <alignment horizontal="center" wrapText="1"/>
    </xf>
    <xf numFmtId="0" fontId="22" fillId="16" borderId="1" xfId="0" applyFont="1" applyFill="1" applyBorder="1" applyAlignment="1">
      <alignment horizontal="center" wrapText="1"/>
    </xf>
  </cellXfs>
  <cellStyles count="4">
    <cellStyle name="Comma" xfId="1" builtinId="3"/>
    <cellStyle name="Normal" xfId="0" builtinId="0"/>
    <cellStyle name="Normal 2" xfId="3"/>
    <cellStyle name="Percent" xfId="2" builtinId="5"/>
  </cellStyles>
  <dxfs count="0"/>
  <tableStyles count="0" defaultTableStyle="TableStyleMedium2" defaultPivotStyle="PivotStyleLight16"/>
  <colors>
    <mruColors>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142875</xdr:colOff>
      <xdr:row>3</xdr:row>
      <xdr:rowOff>59532</xdr:rowOff>
    </xdr:from>
    <xdr:to>
      <xdr:col>9</xdr:col>
      <xdr:colOff>14288</xdr:colOff>
      <xdr:row>3</xdr:row>
      <xdr:rowOff>269082</xdr:rowOff>
    </xdr:to>
    <mc:AlternateContent xmlns:mc="http://schemas.openxmlformats.org/markup-compatibility/2006" xmlns:a14="http://schemas.microsoft.com/office/drawing/2010/main">
      <mc:Choice Requires="a14">
        <xdr:sp macro="" textlink="">
          <xdr:nvSpPr>
            <xdr:cNvPr id="3" name="Text Box 2"/>
            <xdr:cNvSpPr txBox="1">
              <a:spLocks noChangeArrowheads="1"/>
            </xdr:cNvSpPr>
          </xdr:nvSpPr>
          <xdr:spPr bwMode="auto">
            <a:xfrm>
              <a:off x="8548688" y="952501"/>
              <a:ext cx="1323975"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14:m>
                <m:oMath xmlns:m="http://schemas.openxmlformats.org/officeDocument/2006/math">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3" name="Text Box 2"/>
            <xdr:cNvSpPr txBox="1">
              <a:spLocks noChangeArrowheads="1"/>
            </xdr:cNvSpPr>
          </xdr:nvSpPr>
          <xdr:spPr bwMode="auto">
            <a:xfrm>
              <a:off x="8548688" y="952501"/>
              <a:ext cx="1323975"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𝐴_(𝑡+1)  =</a:t>
              </a: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226219</xdr:colOff>
      <xdr:row>3</xdr:row>
      <xdr:rowOff>59531</xdr:rowOff>
    </xdr:from>
    <xdr:to>
      <xdr:col>9</xdr:col>
      <xdr:colOff>1142523</xdr:colOff>
      <xdr:row>3</xdr:row>
      <xdr:rowOff>321468</xdr:rowOff>
    </xdr:to>
    <mc:AlternateContent xmlns:mc="http://schemas.openxmlformats.org/markup-compatibility/2006" xmlns:a14="http://schemas.microsoft.com/office/drawing/2010/main">
      <mc:Choice Requires="a14">
        <xdr:sp macro="" textlink="">
          <xdr:nvSpPr>
            <xdr:cNvPr id="4" name="Text Box 2"/>
            <xdr:cNvSpPr txBox="1">
              <a:spLocks noChangeArrowheads="1"/>
            </xdr:cNvSpPr>
          </xdr:nvSpPr>
          <xdr:spPr bwMode="auto">
            <a:xfrm>
              <a:off x="10084594" y="9525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r>
                          <a:rPr lang="en-US" sz="1100">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4" name="Text Box 2"/>
            <xdr:cNvSpPr txBox="1">
              <a:spLocks noChangeArrowheads="1"/>
            </xdr:cNvSpPr>
          </xdr:nvSpPr>
          <xdr:spPr bwMode="auto">
            <a:xfrm>
              <a:off x="10084594" y="9525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285750</xdr:colOff>
      <xdr:row>3</xdr:row>
      <xdr:rowOff>59531</xdr:rowOff>
    </xdr:from>
    <xdr:to>
      <xdr:col>10</xdr:col>
      <xdr:colOff>676275</xdr:colOff>
      <xdr:row>3</xdr:row>
      <xdr:rowOff>235744</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11596688" y="952500"/>
              <a:ext cx="390525" cy="176213"/>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11596688" y="952500"/>
              <a:ext cx="390525" cy="176213"/>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𝑖_𝑡∙𝑃_𝑡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7</xdr:col>
      <xdr:colOff>59531</xdr:colOff>
      <xdr:row>3</xdr:row>
      <xdr:rowOff>71438</xdr:rowOff>
    </xdr:from>
    <xdr:to>
      <xdr:col>7</xdr:col>
      <xdr:colOff>756761</xdr:colOff>
      <xdr:row>3</xdr:row>
      <xdr:rowOff>356553</xdr:rowOff>
    </xdr:to>
    <mc:AlternateContent xmlns:mc="http://schemas.openxmlformats.org/markup-compatibility/2006" xmlns:a14="http://schemas.microsoft.com/office/drawing/2010/main">
      <mc:Choice Requires="a14">
        <xdr:sp macro="" textlink="">
          <xdr:nvSpPr>
            <xdr:cNvPr id="7" name="Text Box 2"/>
            <xdr:cNvSpPr txBox="1">
              <a:spLocks noChangeArrowheads="1"/>
            </xdr:cNvSpPr>
          </xdr:nvSpPr>
          <xdr:spPr bwMode="auto">
            <a:xfrm>
              <a:off x="7572375" y="964407"/>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7" name="Text Box 2"/>
            <xdr:cNvSpPr txBox="1">
              <a:spLocks noChangeArrowheads="1"/>
            </xdr:cNvSpPr>
          </xdr:nvSpPr>
          <xdr:spPr bwMode="auto">
            <a:xfrm>
              <a:off x="7572375" y="964407"/>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2334875" y="916782"/>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2334875" y="916782"/>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12" name="Text Box 2"/>
            <xdr:cNvSpPr txBox="1">
              <a:spLocks noChangeArrowheads="1"/>
            </xdr:cNvSpPr>
          </xdr:nvSpPr>
          <xdr:spPr bwMode="auto">
            <a:xfrm>
              <a:off x="13227844" y="964406"/>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2" name="Text Box 2"/>
            <xdr:cNvSpPr txBox="1">
              <a:spLocks noChangeArrowheads="1"/>
            </xdr:cNvSpPr>
          </xdr:nvSpPr>
          <xdr:spPr bwMode="auto">
            <a:xfrm>
              <a:off x="13227844" y="964406"/>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142875</xdr:colOff>
      <xdr:row>3</xdr:row>
      <xdr:rowOff>83344</xdr:rowOff>
    </xdr:from>
    <xdr:to>
      <xdr:col>9</xdr:col>
      <xdr:colOff>14288</xdr:colOff>
      <xdr:row>3</xdr:row>
      <xdr:rowOff>292894</xdr:rowOff>
    </xdr:to>
    <mc:AlternateContent xmlns:mc="http://schemas.openxmlformats.org/markup-compatibility/2006" xmlns:a14="http://schemas.microsoft.com/office/drawing/2010/main">
      <mc:Choice Requires="a14">
        <xdr:sp macro="" textlink="">
          <xdr:nvSpPr>
            <xdr:cNvPr id="7" name="Text Box 2"/>
            <xdr:cNvSpPr txBox="1">
              <a:spLocks noChangeArrowheads="1"/>
            </xdr:cNvSpPr>
          </xdr:nvSpPr>
          <xdr:spPr bwMode="auto">
            <a:xfrm>
              <a:off x="8548688" y="976313"/>
              <a:ext cx="1323975"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oMath>
              </a14:m>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14:m>
                <m:oMath xmlns:m="http://schemas.openxmlformats.org/officeDocument/2006/math">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7" name="Text Box 2"/>
            <xdr:cNvSpPr txBox="1">
              <a:spLocks noChangeArrowheads="1"/>
            </xdr:cNvSpPr>
          </xdr:nvSpPr>
          <xdr:spPr bwMode="auto">
            <a:xfrm>
              <a:off x="8548688" y="976313"/>
              <a:ext cx="1323975"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𝐴_(𝑡+1)  =</a:t>
              </a:r>
              <a:r>
                <a:rPr lang="en-US" sz="1100">
                  <a:effectLst/>
                  <a:latin typeface="Calibri" panose="020F0502020204030204" pitchFamily="34"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238125</xdr:colOff>
      <xdr:row>3</xdr:row>
      <xdr:rowOff>59531</xdr:rowOff>
    </xdr:from>
    <xdr:to>
      <xdr:col>9</xdr:col>
      <xdr:colOff>1154429</xdr:colOff>
      <xdr:row>3</xdr:row>
      <xdr:rowOff>321468</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10096500" y="9525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r>
                          <a:rPr lang="en-US" sz="1100">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10096500" y="9525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297656</xdr:colOff>
      <xdr:row>3</xdr:row>
      <xdr:rowOff>59531</xdr:rowOff>
    </xdr:from>
    <xdr:to>
      <xdr:col>10</xdr:col>
      <xdr:colOff>688181</xdr:colOff>
      <xdr:row>3</xdr:row>
      <xdr:rowOff>259556</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1608594" y="952500"/>
              <a:ext cx="390525" cy="20002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1608594" y="952500"/>
              <a:ext cx="390525" cy="20002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𝑖_𝑡∙𝑃_𝑡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7</xdr:col>
      <xdr:colOff>71437</xdr:colOff>
      <xdr:row>3</xdr:row>
      <xdr:rowOff>11907</xdr:rowOff>
    </xdr:from>
    <xdr:to>
      <xdr:col>7</xdr:col>
      <xdr:colOff>768667</xdr:colOff>
      <xdr:row>3</xdr:row>
      <xdr:rowOff>297022</xdr:rowOff>
    </xdr:to>
    <mc:AlternateContent xmlns:mc="http://schemas.openxmlformats.org/markup-compatibility/2006" xmlns:a14="http://schemas.microsoft.com/office/drawing/2010/main">
      <mc:Choice Requires="a14">
        <xdr:sp macro="" textlink="">
          <xdr:nvSpPr>
            <xdr:cNvPr id="10" name="Text Box 2"/>
            <xdr:cNvSpPr txBox="1">
              <a:spLocks noChangeArrowheads="1"/>
            </xdr:cNvSpPr>
          </xdr:nvSpPr>
          <xdr:spPr bwMode="auto">
            <a:xfrm>
              <a:off x="7584281" y="90487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0" name="Text Box 2"/>
            <xdr:cNvSpPr txBox="1">
              <a:spLocks noChangeArrowheads="1"/>
            </xdr:cNvSpPr>
          </xdr:nvSpPr>
          <xdr:spPr bwMode="auto">
            <a:xfrm>
              <a:off x="7584281" y="90487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11"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1"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12"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2"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250033</xdr:colOff>
      <xdr:row>3</xdr:row>
      <xdr:rowOff>107156</xdr:rowOff>
    </xdr:from>
    <xdr:to>
      <xdr:col>9</xdr:col>
      <xdr:colOff>1166337</xdr:colOff>
      <xdr:row>3</xdr:row>
      <xdr:rowOff>369093</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10108408" y="11430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r>
                          <a:rPr lang="en-US" sz="1100">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10108408" y="1143000"/>
              <a:ext cx="916304"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23810</xdr:colOff>
      <xdr:row>3</xdr:row>
      <xdr:rowOff>107156</xdr:rowOff>
    </xdr:from>
    <xdr:to>
      <xdr:col>10</xdr:col>
      <xdr:colOff>868679</xdr:colOff>
      <xdr:row>3</xdr:row>
      <xdr:rowOff>378620</xdr:rowOff>
    </xdr:to>
    <mc:AlternateContent xmlns:mc="http://schemas.openxmlformats.org/markup-compatibility/2006" xmlns:a14="http://schemas.microsoft.com/office/drawing/2010/main">
      <mc:Choice Requires="a14">
        <xdr:sp macro="" textlink="">
          <xdr:nvSpPr>
            <xdr:cNvPr id="6" name="Text Box 2"/>
            <xdr:cNvSpPr txBox="1">
              <a:spLocks noChangeArrowheads="1"/>
            </xdr:cNvSpPr>
          </xdr:nvSpPr>
          <xdr:spPr bwMode="auto">
            <a:xfrm>
              <a:off x="10918029" y="1143000"/>
              <a:ext cx="844869" cy="271464"/>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d>
                      <m:dPr>
                        <m:begChr m:val="["/>
                        <m:endChr m:val="]"/>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6" name="Text Box 2"/>
            <xdr:cNvSpPr txBox="1">
              <a:spLocks noChangeArrowheads="1"/>
            </xdr:cNvSpPr>
          </xdr:nvSpPr>
          <xdr:spPr bwMode="auto">
            <a:xfrm>
              <a:off x="10918029" y="1143000"/>
              <a:ext cx="844869" cy="271464"/>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𝑃_𝑡+ 𝐴_𝑡^′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8</xdr:col>
      <xdr:colOff>119063</xdr:colOff>
      <xdr:row>3</xdr:row>
      <xdr:rowOff>23812</xdr:rowOff>
    </xdr:from>
    <xdr:to>
      <xdr:col>8</xdr:col>
      <xdr:colOff>1281113</xdr:colOff>
      <xdr:row>3</xdr:row>
      <xdr:rowOff>385762</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8524876" y="1059656"/>
              <a:ext cx="1162050" cy="3619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d>
                      <m:dPr>
                        <m:begChr m:val="["/>
                        <m:endChr m:val="]"/>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8524876" y="1059656"/>
              <a:ext cx="1162050" cy="3619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𝐴_(𝑡+1)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𝑃_𝑡+ 𝐴_𝑡^′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7</xdr:col>
      <xdr:colOff>59531</xdr:colOff>
      <xdr:row>3</xdr:row>
      <xdr:rowOff>23813</xdr:rowOff>
    </xdr:from>
    <xdr:to>
      <xdr:col>7</xdr:col>
      <xdr:colOff>756761</xdr:colOff>
      <xdr:row>3</xdr:row>
      <xdr:rowOff>308928</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7572375" y="916782"/>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7572375" y="916782"/>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10"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0"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11"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1"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238126</xdr:colOff>
      <xdr:row>3</xdr:row>
      <xdr:rowOff>107156</xdr:rowOff>
    </xdr:from>
    <xdr:to>
      <xdr:col>9</xdr:col>
      <xdr:colOff>1163955</xdr:colOff>
      <xdr:row>3</xdr:row>
      <xdr:rowOff>369093</xdr:rowOff>
    </xdr:to>
    <mc:AlternateContent xmlns:mc="http://schemas.openxmlformats.org/markup-compatibility/2006" xmlns:a14="http://schemas.microsoft.com/office/drawing/2010/main">
      <mc:Choice Requires="a14">
        <xdr:sp macro="" textlink="">
          <xdr:nvSpPr>
            <xdr:cNvPr id="14" name="Text Box 2"/>
            <xdr:cNvSpPr txBox="1">
              <a:spLocks noChangeArrowheads="1"/>
            </xdr:cNvSpPr>
          </xdr:nvSpPr>
          <xdr:spPr bwMode="auto">
            <a:xfrm>
              <a:off x="10096501" y="1143000"/>
              <a:ext cx="925829"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r>
                          <a:rPr lang="en-US" sz="1100">
                            <a:effectLst/>
                            <a:latin typeface="Cambria Math" panose="02040503050406030204" pitchFamily="18" charset="0"/>
                            <a:ea typeface="Times New Roman" panose="02020603050405020304" pitchFamily="18"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4" name="Text Box 2"/>
            <xdr:cNvSpPr txBox="1">
              <a:spLocks noChangeArrowheads="1"/>
            </xdr:cNvSpPr>
          </xdr:nvSpPr>
          <xdr:spPr bwMode="auto">
            <a:xfrm>
              <a:off x="10096501" y="1143000"/>
              <a:ext cx="925829" cy="26193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 </a:t>
              </a: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47624</xdr:colOff>
      <xdr:row>3</xdr:row>
      <xdr:rowOff>83343</xdr:rowOff>
    </xdr:from>
    <xdr:to>
      <xdr:col>10</xdr:col>
      <xdr:colOff>830579</xdr:colOff>
      <xdr:row>3</xdr:row>
      <xdr:rowOff>285750</xdr:rowOff>
    </xdr:to>
    <mc:AlternateContent xmlns:mc="http://schemas.openxmlformats.org/markup-compatibility/2006" xmlns:a14="http://schemas.microsoft.com/office/drawing/2010/main">
      <mc:Choice Requires="a14">
        <xdr:sp macro="" textlink="">
          <xdr:nvSpPr>
            <xdr:cNvPr id="15" name="Text Box 2"/>
            <xdr:cNvSpPr txBox="1">
              <a:spLocks noChangeArrowheads="1"/>
            </xdr:cNvSpPr>
          </xdr:nvSpPr>
          <xdr:spPr bwMode="auto">
            <a:xfrm>
              <a:off x="11358562" y="1119187"/>
              <a:ext cx="782955" cy="20240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d>
                      <m:dPr>
                        <m:begChr m:val="["/>
                        <m:endChr m:val="]"/>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5" name="Text Box 2"/>
            <xdr:cNvSpPr txBox="1">
              <a:spLocks noChangeArrowheads="1"/>
            </xdr:cNvSpPr>
          </xdr:nvSpPr>
          <xdr:spPr bwMode="auto">
            <a:xfrm>
              <a:off x="11358562" y="1119187"/>
              <a:ext cx="782955" cy="202407"/>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𝑃_𝑡+ 𝐴_𝑡^′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8</xdr:col>
      <xdr:colOff>71438</xdr:colOff>
      <xdr:row>3</xdr:row>
      <xdr:rowOff>23812</xdr:rowOff>
    </xdr:from>
    <xdr:to>
      <xdr:col>8</xdr:col>
      <xdr:colOff>1233488</xdr:colOff>
      <xdr:row>3</xdr:row>
      <xdr:rowOff>385762</xdr:rowOff>
    </xdr:to>
    <mc:AlternateContent xmlns:mc="http://schemas.openxmlformats.org/markup-compatibility/2006" xmlns:a14="http://schemas.microsoft.com/office/drawing/2010/main">
      <mc:Choice Requires="a14">
        <xdr:sp macro="" textlink="">
          <xdr:nvSpPr>
            <xdr:cNvPr id="18" name="Text Box 2"/>
            <xdr:cNvSpPr txBox="1">
              <a:spLocks noChangeArrowheads="1"/>
            </xdr:cNvSpPr>
          </xdr:nvSpPr>
          <xdr:spPr bwMode="auto">
            <a:xfrm>
              <a:off x="8477251" y="1059656"/>
              <a:ext cx="1162050" cy="3619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d>
                      <m:dPr>
                        <m:begChr m:val="["/>
                        <m:endChr m:val="]"/>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Sup>
                          <m:sSubSup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SupPr>
                          <m:e>
                            <m:r>
                              <a:rPr lang="en-US" sz="1100" i="1">
                                <a:effectLst/>
                                <a:latin typeface="Cambria Math" panose="02040503050406030204" pitchFamily="18" charset="0"/>
                                <a:ea typeface="Calibri" panose="020F0502020204030204" pitchFamily="34" charset="0"/>
                                <a:cs typeface="Times New Roman" panose="02020603050405020304" pitchFamily="18" charset="0"/>
                              </a:rPr>
                              <m:t>𝐴</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up>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up>
                        </m:sSubSup>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8" name="Text Box 2"/>
            <xdr:cNvSpPr txBox="1">
              <a:spLocks noChangeArrowheads="1"/>
            </xdr:cNvSpPr>
          </xdr:nvSpPr>
          <xdr:spPr bwMode="auto">
            <a:xfrm>
              <a:off x="8477251" y="1059656"/>
              <a:ext cx="1162050" cy="3619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𝐴_(𝑡+1)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i="0">
                  <a:effectLst/>
                  <a:latin typeface="Cambria Math" panose="02040503050406030204" pitchFamily="18" charset="0"/>
                  <a:ea typeface="Calibri" panose="020F0502020204030204" pitchFamily="34" charset="0"/>
                  <a:cs typeface="Times New Roman" panose="02020603050405020304" pitchFamily="18" charset="0"/>
                </a:rPr>
                <a:t>𝐴_𝑡^′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 𝑖〗_𝑡∙</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𝑃_𝑡+ 𝐴_𝑡^′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7</xdr:col>
      <xdr:colOff>71437</xdr:colOff>
      <xdr:row>3</xdr:row>
      <xdr:rowOff>35719</xdr:rowOff>
    </xdr:from>
    <xdr:to>
      <xdr:col>7</xdr:col>
      <xdr:colOff>768667</xdr:colOff>
      <xdr:row>3</xdr:row>
      <xdr:rowOff>320834</xdr:rowOff>
    </xdr:to>
    <mc:AlternateContent xmlns:mc="http://schemas.openxmlformats.org/markup-compatibility/2006" xmlns:a14="http://schemas.microsoft.com/office/drawing/2010/main">
      <mc:Choice Requires="a14">
        <xdr:sp macro="" textlink="">
          <xdr:nvSpPr>
            <xdr:cNvPr id="19" name="Text Box 2"/>
            <xdr:cNvSpPr txBox="1">
              <a:spLocks noChangeArrowheads="1"/>
            </xdr:cNvSpPr>
          </xdr:nvSpPr>
          <xdr:spPr bwMode="auto">
            <a:xfrm>
              <a:off x="7584281" y="952500"/>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9" name="Text Box 2"/>
            <xdr:cNvSpPr txBox="1">
              <a:spLocks noChangeArrowheads="1"/>
            </xdr:cNvSpPr>
          </xdr:nvSpPr>
          <xdr:spPr bwMode="auto">
            <a:xfrm>
              <a:off x="7584281" y="952500"/>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20"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20" name="Text Box 2"/>
            <xdr:cNvSpPr txBox="1">
              <a:spLocks noChangeArrowheads="1"/>
            </xdr:cNvSpPr>
          </xdr:nvSpPr>
          <xdr:spPr bwMode="auto">
            <a:xfrm>
              <a:off x="12334875" y="9477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21"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21" name="Text Box 2"/>
            <xdr:cNvSpPr txBox="1">
              <a:spLocks noChangeArrowheads="1"/>
            </xdr:cNvSpPr>
          </xdr:nvSpPr>
          <xdr:spPr bwMode="auto">
            <a:xfrm>
              <a:off x="13225463" y="9953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35719</xdr:colOff>
      <xdr:row>3</xdr:row>
      <xdr:rowOff>23812</xdr:rowOff>
    </xdr:from>
    <xdr:to>
      <xdr:col>8</xdr:col>
      <xdr:colOff>1535906</xdr:colOff>
      <xdr:row>3</xdr:row>
      <xdr:rowOff>328612</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8441532" y="1095375"/>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9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 </m:t>
                    </m:r>
                    <m:d>
                      <m:dPr>
                        <m:begChr m:val="["/>
                        <m:endChr m:val="]"/>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nary>
                          <m:naryPr>
                            <m:chr m:val="∏"/>
                            <m:limLoc m:val="subSup"/>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naryPr>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𝑏</m:t>
                            </m:r>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sub>
                          <m:sup>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p>
                          <m:e>
                            <m:d>
                              <m:d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r>
                                  <a:rPr lang="en-US" sz="9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9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9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900" i="1">
                                        <a:effectLst/>
                                        <a:latin typeface="Cambria Math" panose="02040503050406030204" pitchFamily="18" charset="0"/>
                                        <a:ea typeface="Calibri" panose="020F0502020204030204" pitchFamily="34" charset="0"/>
                                        <a:cs typeface="Times New Roman" panose="02020603050405020304" pitchFamily="18" charset="0"/>
                                      </a:rPr>
                                      <m:t>𝑏</m:t>
                                    </m:r>
                                  </m:sub>
                                </m:sSub>
                              </m:e>
                            </m:d>
                          </m:e>
                        </m:nary>
                        <m:r>
                          <a:rPr lang="en-US" sz="900" i="1">
                            <a:effectLst/>
                            <a:latin typeface="Cambria Math" panose="02040503050406030204" pitchFamily="18" charset="0"/>
                            <a:ea typeface="Calibri" panose="020F0502020204030204" pitchFamily="34" charset="0"/>
                            <a:cs typeface="Times New Roman" panose="02020603050405020304" pitchFamily="18" charset="0"/>
                          </a:rPr>
                          <m:t>−1</m:t>
                        </m:r>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8441532" y="1095375"/>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UCR_𝑡= </a:t>
              </a:r>
              <a:r>
                <a:rPr lang="en-US" sz="900" i="0">
                  <a:effectLst/>
                  <a:latin typeface="Cambria Math" panose="02040503050406030204" pitchFamily="18" charset="0"/>
                  <a:cs typeface="Times New Roman" panose="02020603050405020304" pitchFamily="18" charset="0"/>
                </a:rPr>
                <a:t>[∏2_(</a:t>
              </a: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𝑏=1)^𝑡▒(1+</a:t>
              </a:r>
              <a:r>
                <a:rPr lang="en-US" sz="900" i="0">
                  <a:effectLst/>
                  <a:latin typeface="Cambria Math" panose="02040503050406030204" pitchFamily="18" charset="0"/>
                  <a:ea typeface="Calibri" panose="020F0502020204030204" pitchFamily="34" charset="0"/>
                  <a:cs typeface="Times New Roman" panose="02020603050405020304" pitchFamily="18" charset="0"/>
                </a:rPr>
                <a:t> 𝑖_𝑏 ) −1]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202405</xdr:colOff>
      <xdr:row>3</xdr:row>
      <xdr:rowOff>119063</xdr:rowOff>
    </xdr:from>
    <xdr:to>
      <xdr:col>9</xdr:col>
      <xdr:colOff>1328260</xdr:colOff>
      <xdr:row>3</xdr:row>
      <xdr:rowOff>317818</xdr:rowOff>
    </xdr:to>
    <mc:AlternateContent xmlns:mc="http://schemas.openxmlformats.org/markup-compatibility/2006" xmlns:a14="http://schemas.microsoft.com/office/drawing/2010/main">
      <mc:Choice Requires="a14">
        <xdr:sp macro="" textlink="">
          <xdr:nvSpPr>
            <xdr:cNvPr id="6" name="Text Box 2"/>
            <xdr:cNvSpPr txBox="1">
              <a:spLocks noChangeArrowheads="1"/>
            </xdr:cNvSpPr>
          </xdr:nvSpPr>
          <xdr:spPr bwMode="auto">
            <a:xfrm>
              <a:off x="10322718" y="1190626"/>
              <a:ext cx="1125855" cy="19875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gn="ctr">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𝐴</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+1</m:t>
                        </m:r>
                      </m:sub>
                    </m:s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m:t>
                    </m:r>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2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solidFill>
                              <a:srgbClr val="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6" name="Text Box 2"/>
            <xdr:cNvSpPr txBox="1">
              <a:spLocks noChangeArrowheads="1"/>
            </xdr:cNvSpPr>
          </xdr:nvSpPr>
          <xdr:spPr bwMode="auto">
            <a:xfrm>
              <a:off x="10322718" y="1190626"/>
              <a:ext cx="1125855" cy="19875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gn="ctr">
                <a:lnSpc>
                  <a:spcPct val="107000"/>
                </a:lnSpc>
                <a:spcBef>
                  <a:spcPts val="0"/>
                </a:spcBef>
                <a:spcAft>
                  <a:spcPts val="0"/>
                </a:spcAft>
              </a:pP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𝐴_(𝑡+1)=UCR_𝑡</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a:t>
              </a:r>
              <a:r>
                <a:rPr lang="en-US" sz="1200" i="0">
                  <a:solidFill>
                    <a:srgbClr val="000000"/>
                  </a:solidFill>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7</xdr:col>
      <xdr:colOff>47625</xdr:colOff>
      <xdr:row>3</xdr:row>
      <xdr:rowOff>35719</xdr:rowOff>
    </xdr:from>
    <xdr:to>
      <xdr:col>7</xdr:col>
      <xdr:colOff>744855</xdr:colOff>
      <xdr:row>3</xdr:row>
      <xdr:rowOff>320834</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7560469" y="1107282"/>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7560469" y="1107282"/>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95250</xdr:colOff>
      <xdr:row>3</xdr:row>
      <xdr:rowOff>107156</xdr:rowOff>
    </xdr:from>
    <xdr:to>
      <xdr:col>10</xdr:col>
      <xdr:colOff>1154430</xdr:colOff>
      <xdr:row>3</xdr:row>
      <xdr:rowOff>316706</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1537156" y="1178719"/>
              <a:ext cx="1059180"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100">
                            <a:effectLst/>
                            <a:latin typeface="Cambria Math" panose="02040503050406030204" pitchFamily="18" charset="0"/>
                            <a:ea typeface="Times New Roman" panose="02020603050405020304" pitchFamily="18" charset="0"/>
                            <a:cs typeface="Times New Roman" panose="02020603050405020304" pitchFamily="18" charset="0"/>
                          </a:rPr>
                          <m:t>A</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r>
                          <a:rPr lang="en-US" sz="1100" i="1">
                            <a:effectLst/>
                            <a:latin typeface="Cambria Math" panose="02040503050406030204" pitchFamily="18" charset="0"/>
                            <a:ea typeface="Times New Roman" panose="02020603050405020304" pitchFamily="18"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100">
                            <a:effectLst/>
                            <a:latin typeface="Cambria Math" panose="02040503050406030204" pitchFamily="18" charset="0"/>
                            <a:ea typeface="Times New Roman" panose="02020603050405020304" pitchFamily="18" charset="0"/>
                            <a:cs typeface="Times New Roman" panose="02020603050405020304" pitchFamily="18" charset="0"/>
                          </a:rPr>
                          <m:t>A</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1537156" y="1178719"/>
              <a:ext cx="1059180"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+1</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_𝑡</a:t>
              </a:r>
              <a:r>
                <a:rPr lang="en-US" sz="1100" i="0">
                  <a:effectLst/>
                  <a:latin typeface="Cambria Math" panose="02040503050406030204" pitchFamily="18" charset="0"/>
                  <a:ea typeface="Calibri" panose="020F0502020204030204" pitchFamily="34" charset="0"/>
                  <a:cs typeface="Times New Roman" panose="02020603050405020304" pitchFamily="18" charset="0"/>
                </a:rPr>
                <a:t>−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10" name="Text Box 2"/>
            <xdr:cNvSpPr txBox="1">
              <a:spLocks noChangeArrowheads="1"/>
            </xdr:cNvSpPr>
          </xdr:nvSpPr>
          <xdr:spPr bwMode="auto">
            <a:xfrm>
              <a:off x="12277725" y="9858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0" name="Text Box 2"/>
            <xdr:cNvSpPr txBox="1">
              <a:spLocks noChangeArrowheads="1"/>
            </xdr:cNvSpPr>
          </xdr:nvSpPr>
          <xdr:spPr bwMode="auto">
            <a:xfrm>
              <a:off x="12277725" y="98583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11" name="Text Box 2"/>
            <xdr:cNvSpPr txBox="1">
              <a:spLocks noChangeArrowheads="1"/>
            </xdr:cNvSpPr>
          </xdr:nvSpPr>
          <xdr:spPr bwMode="auto">
            <a:xfrm>
              <a:off x="13168313" y="10334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1" name="Text Box 2"/>
            <xdr:cNvSpPr txBox="1">
              <a:spLocks noChangeArrowheads="1"/>
            </xdr:cNvSpPr>
          </xdr:nvSpPr>
          <xdr:spPr bwMode="auto">
            <a:xfrm>
              <a:off x="13168313" y="103346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59531</xdr:colOff>
      <xdr:row>3</xdr:row>
      <xdr:rowOff>35719</xdr:rowOff>
    </xdr:from>
    <xdr:to>
      <xdr:col>7</xdr:col>
      <xdr:colOff>756761</xdr:colOff>
      <xdr:row>3</xdr:row>
      <xdr:rowOff>320834</xdr:rowOff>
    </xdr:to>
    <mc:AlternateContent xmlns:mc="http://schemas.openxmlformats.org/markup-compatibility/2006" xmlns:a14="http://schemas.microsoft.com/office/drawing/2010/main">
      <mc:Choice Requires="a14">
        <xdr:sp macro="" textlink="">
          <xdr:nvSpPr>
            <xdr:cNvPr id="4" name="Text Box 2"/>
            <xdr:cNvSpPr txBox="1">
              <a:spLocks noChangeArrowheads="1"/>
            </xdr:cNvSpPr>
          </xdr:nvSpPr>
          <xdr:spPr bwMode="auto">
            <a:xfrm>
              <a:off x="7572375" y="940594"/>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4" name="Text Box 2"/>
            <xdr:cNvSpPr txBox="1">
              <a:spLocks noChangeArrowheads="1"/>
            </xdr:cNvSpPr>
          </xdr:nvSpPr>
          <xdr:spPr bwMode="auto">
            <a:xfrm>
              <a:off x="7572375" y="940594"/>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8</xdr:col>
      <xdr:colOff>35719</xdr:colOff>
      <xdr:row>3</xdr:row>
      <xdr:rowOff>23812</xdr:rowOff>
    </xdr:from>
    <xdr:to>
      <xdr:col>8</xdr:col>
      <xdr:colOff>1535906</xdr:colOff>
      <xdr:row>3</xdr:row>
      <xdr:rowOff>328612</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8579644" y="1090612"/>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9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 </m:t>
                    </m:r>
                    <m:d>
                      <m:dPr>
                        <m:begChr m:val="["/>
                        <m:endChr m:val="]"/>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nary>
                          <m:naryPr>
                            <m:chr m:val="∏"/>
                            <m:limLoc m:val="subSup"/>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naryPr>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𝑏</m:t>
                            </m:r>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sub>
                          <m:sup>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p>
                          <m:e>
                            <m:d>
                              <m:d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r>
                                  <a:rPr lang="en-US" sz="9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9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9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900" i="1">
                                        <a:effectLst/>
                                        <a:latin typeface="Cambria Math" panose="02040503050406030204" pitchFamily="18" charset="0"/>
                                        <a:ea typeface="Calibri" panose="020F0502020204030204" pitchFamily="34" charset="0"/>
                                        <a:cs typeface="Times New Roman" panose="02020603050405020304" pitchFamily="18" charset="0"/>
                                      </a:rPr>
                                      <m:t>𝑏</m:t>
                                    </m:r>
                                  </m:sub>
                                </m:sSub>
                              </m:e>
                            </m:d>
                          </m:e>
                        </m:nary>
                        <m:r>
                          <a:rPr lang="en-US" sz="900" i="1">
                            <a:effectLst/>
                            <a:latin typeface="Cambria Math" panose="02040503050406030204" pitchFamily="18" charset="0"/>
                            <a:ea typeface="Calibri" panose="020F0502020204030204" pitchFamily="34" charset="0"/>
                            <a:cs typeface="Times New Roman" panose="02020603050405020304" pitchFamily="18" charset="0"/>
                          </a:rPr>
                          <m:t>−1</m:t>
                        </m:r>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8579644" y="1090612"/>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UCR_𝑡= </a:t>
              </a:r>
              <a:r>
                <a:rPr lang="en-US" sz="900" i="0">
                  <a:effectLst/>
                  <a:latin typeface="Cambria Math" panose="02040503050406030204" pitchFamily="18" charset="0"/>
                  <a:cs typeface="Times New Roman" panose="02020603050405020304" pitchFamily="18" charset="0"/>
                </a:rPr>
                <a:t>[∏2_(</a:t>
              </a: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𝑏=1)^𝑡▒(1+</a:t>
              </a:r>
              <a:r>
                <a:rPr lang="en-US" sz="900" i="0">
                  <a:effectLst/>
                  <a:latin typeface="Cambria Math" panose="02040503050406030204" pitchFamily="18" charset="0"/>
                  <a:ea typeface="Calibri" panose="020F0502020204030204" pitchFamily="34" charset="0"/>
                  <a:cs typeface="Times New Roman" panose="02020603050405020304" pitchFamily="18" charset="0"/>
                </a:rPr>
                <a:t> 𝑖_𝑏 ) −1]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178593</xdr:colOff>
      <xdr:row>3</xdr:row>
      <xdr:rowOff>107157</xdr:rowOff>
    </xdr:from>
    <xdr:to>
      <xdr:col>9</xdr:col>
      <xdr:colOff>1304448</xdr:colOff>
      <xdr:row>3</xdr:row>
      <xdr:rowOff>305912</xdr:rowOff>
    </xdr:to>
    <mc:AlternateContent xmlns:mc="http://schemas.openxmlformats.org/markup-compatibility/2006" xmlns:a14="http://schemas.microsoft.com/office/drawing/2010/main">
      <mc:Choice Requires="a14">
        <xdr:sp macro="" textlink="">
          <xdr:nvSpPr>
            <xdr:cNvPr id="6" name="Text Box 2"/>
            <xdr:cNvSpPr txBox="1">
              <a:spLocks noChangeArrowheads="1"/>
            </xdr:cNvSpPr>
          </xdr:nvSpPr>
          <xdr:spPr bwMode="auto">
            <a:xfrm>
              <a:off x="10167937" y="1012032"/>
              <a:ext cx="1125855" cy="19875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gn="ctr">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𝐴</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+1</m:t>
                        </m:r>
                      </m:sub>
                    </m:s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m:t>
                    </m:r>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2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solidFill>
                              <a:srgbClr val="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6" name="Text Box 2"/>
            <xdr:cNvSpPr txBox="1">
              <a:spLocks noChangeArrowheads="1"/>
            </xdr:cNvSpPr>
          </xdr:nvSpPr>
          <xdr:spPr bwMode="auto">
            <a:xfrm>
              <a:off x="10167937" y="1012032"/>
              <a:ext cx="1125855" cy="198755"/>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gn="ctr">
                <a:lnSpc>
                  <a:spcPct val="107000"/>
                </a:lnSpc>
                <a:spcBef>
                  <a:spcPts val="0"/>
                </a:spcBef>
                <a:spcAft>
                  <a:spcPts val="0"/>
                </a:spcAft>
              </a:pP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𝐴_(𝑡+1)=UCR_𝑡</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a:t>
              </a:r>
              <a:r>
                <a:rPr lang="en-US" sz="1200" i="0">
                  <a:solidFill>
                    <a:srgbClr val="000000"/>
                  </a:solidFill>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95250</xdr:colOff>
      <xdr:row>3</xdr:row>
      <xdr:rowOff>107156</xdr:rowOff>
    </xdr:from>
    <xdr:to>
      <xdr:col>10</xdr:col>
      <xdr:colOff>1154430</xdr:colOff>
      <xdr:row>3</xdr:row>
      <xdr:rowOff>316706</xdr:rowOff>
    </xdr:to>
    <mc:AlternateContent xmlns:mc="http://schemas.openxmlformats.org/markup-compatibility/2006" xmlns:a14="http://schemas.microsoft.com/office/drawing/2010/main">
      <mc:Choice Requires="a14">
        <xdr:sp macro="" textlink="">
          <xdr:nvSpPr>
            <xdr:cNvPr id="7" name="Text Box 2"/>
            <xdr:cNvSpPr txBox="1">
              <a:spLocks noChangeArrowheads="1"/>
            </xdr:cNvSpPr>
          </xdr:nvSpPr>
          <xdr:spPr bwMode="auto">
            <a:xfrm>
              <a:off x="11668125" y="1173956"/>
              <a:ext cx="1059180"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14:m>
                <m:oMathPara xmlns:m="http://schemas.openxmlformats.org/officeDocument/2006/math">
                  <m:oMathParaPr>
                    <m:jc m:val="centerGroup"/>
                  </m:oMathParaPr>
                  <m:oMath xmlns:m="http://schemas.openxmlformats.org/officeDocument/2006/math">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100">
                            <a:effectLst/>
                            <a:latin typeface="Cambria Math" panose="02040503050406030204" pitchFamily="18" charset="0"/>
                            <a:ea typeface="Times New Roman" panose="02020603050405020304" pitchFamily="18" charset="0"/>
                            <a:cs typeface="Times New Roman" panose="02020603050405020304" pitchFamily="18" charset="0"/>
                          </a:rPr>
                          <m:t>A</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r>
                          <a:rPr lang="en-US" sz="1100" i="1">
                            <a:effectLst/>
                            <a:latin typeface="Cambria Math" panose="02040503050406030204" pitchFamily="18" charset="0"/>
                            <a:ea typeface="Times New Roman" panose="02020603050405020304" pitchFamily="18" charset="0"/>
                            <a:cs typeface="Times New Roman" panose="02020603050405020304" pitchFamily="18" charset="0"/>
                          </a:rPr>
                          <m:t>+1</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1100">
                            <a:effectLst/>
                            <a:latin typeface="Cambria Math" panose="02040503050406030204" pitchFamily="18" charset="0"/>
                            <a:ea typeface="Times New Roman" panose="02020603050405020304" pitchFamily="18" charset="0"/>
                            <a:cs typeface="Times New Roman" panose="02020603050405020304" pitchFamily="18" charset="0"/>
                          </a:rPr>
                          <m:t>A</m:t>
                        </m:r>
                      </m:e>
                      <m:sub>
                        <m:r>
                          <a:rPr lang="en-US" sz="12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𝑃𝐷</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7" name="Text Box 2"/>
            <xdr:cNvSpPr txBox="1">
              <a:spLocks noChangeArrowheads="1"/>
            </xdr:cNvSpPr>
          </xdr:nvSpPr>
          <xdr:spPr bwMode="auto">
            <a:xfrm>
              <a:off x="11668125" y="1173956"/>
              <a:ext cx="1059180" cy="20955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800"/>
                </a:spcAft>
              </a:pP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_(𝑡</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+1</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a:t>
              </a:r>
              <a:r>
                <a:rPr lang="en-US" sz="1100" i="0">
                  <a:effectLst/>
                  <a:latin typeface="Cambria Math" panose="02040503050406030204" pitchFamily="18" charset="0"/>
                  <a:ea typeface="Times New Roman" panose="02020603050405020304" pitchFamily="18" charset="0"/>
                  <a:cs typeface="Times New Roman" panose="02020603050405020304" pitchFamily="18" charset="0"/>
                </a:rPr>
                <a:t>A</a:t>
              </a:r>
              <a:r>
                <a:rPr lang="en-US" sz="1200" i="0">
                  <a:effectLst/>
                  <a:latin typeface="Cambria Math" panose="02040503050406030204" pitchFamily="18" charset="0"/>
                  <a:ea typeface="Times New Roman" panose="02020603050405020304" pitchFamily="18" charset="0"/>
                  <a:cs typeface="Times New Roman" panose="02020603050405020304" pitchFamily="18" charset="0"/>
                </a:rPr>
                <a:t>_𝑡</a:t>
              </a:r>
              <a:r>
                <a:rPr lang="en-US" sz="1100" i="0">
                  <a:effectLst/>
                  <a:latin typeface="Cambria Math" panose="02040503050406030204" pitchFamily="18" charset="0"/>
                  <a:ea typeface="Calibri" panose="020F0502020204030204" pitchFamily="34" charset="0"/>
                  <a:cs typeface="Times New Roman" panose="02020603050405020304" pitchFamily="18" charset="0"/>
                </a:rPr>
                <a:t>− </a:t>
              </a: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𝑃𝐷〗_𝑡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190500</xdr:colOff>
      <xdr:row>3</xdr:row>
      <xdr:rowOff>23813</xdr:rowOff>
    </xdr:from>
    <xdr:to>
      <xdr:col>11</xdr:col>
      <xdr:colOff>845343</xdr:colOff>
      <xdr:row>3</xdr:row>
      <xdr:rowOff>347663</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12811125" y="1090613"/>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12811125" y="1090613"/>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12</xdr:col>
      <xdr:colOff>119063</xdr:colOff>
      <xdr:row>3</xdr:row>
      <xdr:rowOff>71437</xdr:rowOff>
    </xdr:from>
    <xdr:to>
      <xdr:col>12</xdr:col>
      <xdr:colOff>816293</xdr:colOff>
      <xdr:row>3</xdr:row>
      <xdr:rowOff>366712</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3701713" y="1138237"/>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3701713" y="1138237"/>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71437</xdr:colOff>
      <xdr:row>3</xdr:row>
      <xdr:rowOff>23812</xdr:rowOff>
    </xdr:from>
    <xdr:to>
      <xdr:col>7</xdr:col>
      <xdr:colOff>768667</xdr:colOff>
      <xdr:row>3</xdr:row>
      <xdr:rowOff>308927</xdr:rowOff>
    </xdr:to>
    <mc:AlternateContent xmlns:mc="http://schemas.openxmlformats.org/markup-compatibility/2006" xmlns:a14="http://schemas.microsoft.com/office/drawing/2010/main">
      <mc:Choice Requires="a14">
        <xdr:sp macro="" textlink="">
          <xdr:nvSpPr>
            <xdr:cNvPr id="4" name="Text Box 2"/>
            <xdr:cNvSpPr txBox="1">
              <a:spLocks noChangeArrowheads="1"/>
            </xdr:cNvSpPr>
          </xdr:nvSpPr>
          <xdr:spPr bwMode="auto">
            <a:xfrm>
              <a:off x="7584281" y="96440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4" name="Text Box 2"/>
            <xdr:cNvSpPr txBox="1">
              <a:spLocks noChangeArrowheads="1"/>
            </xdr:cNvSpPr>
          </xdr:nvSpPr>
          <xdr:spPr bwMode="auto">
            <a:xfrm>
              <a:off x="7584281" y="96440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8</xdr:col>
      <xdr:colOff>35719</xdr:colOff>
      <xdr:row>3</xdr:row>
      <xdr:rowOff>23812</xdr:rowOff>
    </xdr:from>
    <xdr:to>
      <xdr:col>8</xdr:col>
      <xdr:colOff>1535906</xdr:colOff>
      <xdr:row>3</xdr:row>
      <xdr:rowOff>328612</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8579644" y="1090612"/>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9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 </m:t>
                    </m:r>
                    <m:d>
                      <m:dPr>
                        <m:begChr m:val="["/>
                        <m:endChr m:val="]"/>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nary>
                          <m:naryPr>
                            <m:chr m:val="∏"/>
                            <m:limLoc m:val="subSup"/>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naryPr>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𝑏</m:t>
                            </m:r>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sub>
                          <m:sup>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p>
                          <m:e>
                            <m:d>
                              <m:d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r>
                                  <a:rPr lang="en-US" sz="9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9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9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900" i="1">
                                        <a:effectLst/>
                                        <a:latin typeface="Cambria Math" panose="02040503050406030204" pitchFamily="18" charset="0"/>
                                        <a:ea typeface="Calibri" panose="020F0502020204030204" pitchFamily="34" charset="0"/>
                                        <a:cs typeface="Times New Roman" panose="02020603050405020304" pitchFamily="18" charset="0"/>
                                      </a:rPr>
                                      <m:t>𝑏</m:t>
                                    </m:r>
                                  </m:sub>
                                </m:sSub>
                              </m:e>
                            </m:d>
                          </m:e>
                        </m:nary>
                        <m:r>
                          <a:rPr lang="en-US" sz="900" i="1">
                            <a:effectLst/>
                            <a:latin typeface="Cambria Math" panose="02040503050406030204" pitchFamily="18" charset="0"/>
                            <a:ea typeface="Calibri" panose="020F0502020204030204" pitchFamily="34" charset="0"/>
                            <a:cs typeface="Times New Roman" panose="02020603050405020304" pitchFamily="18" charset="0"/>
                          </a:rPr>
                          <m:t>−1</m:t>
                        </m:r>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8579644" y="1090612"/>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UCR_𝑡= </a:t>
              </a:r>
              <a:r>
                <a:rPr lang="en-US" sz="900" i="0">
                  <a:effectLst/>
                  <a:latin typeface="Cambria Math" panose="02040503050406030204" pitchFamily="18" charset="0"/>
                  <a:cs typeface="Times New Roman" panose="02020603050405020304" pitchFamily="18" charset="0"/>
                </a:rPr>
                <a:t>[∏2_(</a:t>
              </a: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𝑏=1)^𝑡▒(1+</a:t>
              </a:r>
              <a:r>
                <a:rPr lang="en-US" sz="900" i="0">
                  <a:effectLst/>
                  <a:latin typeface="Cambria Math" panose="02040503050406030204" pitchFamily="18" charset="0"/>
                  <a:ea typeface="Calibri" panose="020F0502020204030204" pitchFamily="34" charset="0"/>
                  <a:cs typeface="Times New Roman" panose="02020603050405020304" pitchFamily="18" charset="0"/>
                </a:rPr>
                <a:t> 𝑖_𝑏 ) −1]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130969</xdr:colOff>
      <xdr:row>3</xdr:row>
      <xdr:rowOff>95250</xdr:rowOff>
    </xdr:from>
    <xdr:to>
      <xdr:col>9</xdr:col>
      <xdr:colOff>1437799</xdr:colOff>
      <xdr:row>3</xdr:row>
      <xdr:rowOff>285750</xdr:rowOff>
    </xdr:to>
    <mc:AlternateContent xmlns:mc="http://schemas.openxmlformats.org/markup-compatibility/2006" xmlns:a14="http://schemas.microsoft.com/office/drawing/2010/main">
      <mc:Choice Requires="a14">
        <xdr:sp macro="" textlink="">
          <xdr:nvSpPr>
            <xdr:cNvPr id="7" name="Text Box 2"/>
            <xdr:cNvSpPr txBox="1">
              <a:spLocks noChangeArrowheads="1"/>
            </xdr:cNvSpPr>
          </xdr:nvSpPr>
          <xdr:spPr bwMode="auto">
            <a:xfrm>
              <a:off x="10120313" y="1035844"/>
              <a:ext cx="1306830" cy="1905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d>
                      <m:d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𝑈𝐶𝑅</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𝑈𝐶𝑅</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e>
                    </m:d>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7" name="Text Box 2"/>
            <xdr:cNvSpPr txBox="1">
              <a:spLocks noChangeArrowheads="1"/>
            </xdr:cNvSpPr>
          </xdr:nvSpPr>
          <xdr:spPr bwMode="auto">
            <a:xfrm>
              <a:off x="10120313" y="1035844"/>
              <a:ext cx="1306830" cy="1905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𝑈𝐶𝑅〗_𝑡−〖𝑈𝐶𝑅〗_(𝑡−1) )∙𝑃_𝑡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190500</xdr:colOff>
      <xdr:row>3</xdr:row>
      <xdr:rowOff>23813</xdr:rowOff>
    </xdr:from>
    <xdr:to>
      <xdr:col>10</xdr:col>
      <xdr:colOff>845343</xdr:colOff>
      <xdr:row>3</xdr:row>
      <xdr:rowOff>347663</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12677775" y="9286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12677775" y="9286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119063</xdr:colOff>
      <xdr:row>3</xdr:row>
      <xdr:rowOff>71437</xdr:rowOff>
    </xdr:from>
    <xdr:to>
      <xdr:col>11</xdr:col>
      <xdr:colOff>816293</xdr:colOff>
      <xdr:row>3</xdr:row>
      <xdr:rowOff>366712</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3568363" y="9763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3568363" y="9763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190500</xdr:colOff>
      <xdr:row>3</xdr:row>
      <xdr:rowOff>23813</xdr:rowOff>
    </xdr:from>
    <xdr:to>
      <xdr:col>10</xdr:col>
      <xdr:colOff>845343</xdr:colOff>
      <xdr:row>3</xdr:row>
      <xdr:rowOff>347663</xdr:rowOff>
    </xdr:to>
    <mc:AlternateContent xmlns:mc="http://schemas.openxmlformats.org/markup-compatibility/2006" xmlns:a14="http://schemas.microsoft.com/office/drawing/2010/main">
      <mc:Choice Requires="a14">
        <xdr:sp macro="" textlink="">
          <xdr:nvSpPr>
            <xdr:cNvPr id="10" name="Text Box 2"/>
            <xdr:cNvSpPr txBox="1">
              <a:spLocks noChangeArrowheads="1"/>
            </xdr:cNvSpPr>
          </xdr:nvSpPr>
          <xdr:spPr bwMode="auto">
            <a:xfrm>
              <a:off x="12677775" y="9286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0" name="Text Box 2"/>
            <xdr:cNvSpPr txBox="1">
              <a:spLocks noChangeArrowheads="1"/>
            </xdr:cNvSpPr>
          </xdr:nvSpPr>
          <xdr:spPr bwMode="auto">
            <a:xfrm>
              <a:off x="12677775" y="9286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119063</xdr:colOff>
      <xdr:row>3</xdr:row>
      <xdr:rowOff>71437</xdr:rowOff>
    </xdr:from>
    <xdr:to>
      <xdr:col>11</xdr:col>
      <xdr:colOff>816293</xdr:colOff>
      <xdr:row>3</xdr:row>
      <xdr:rowOff>366712</xdr:rowOff>
    </xdr:to>
    <mc:AlternateContent xmlns:mc="http://schemas.openxmlformats.org/markup-compatibility/2006" xmlns:a14="http://schemas.microsoft.com/office/drawing/2010/main">
      <mc:Choice Requires="a14">
        <xdr:sp macro="" textlink="">
          <xdr:nvSpPr>
            <xdr:cNvPr id="11" name="Text Box 2"/>
            <xdr:cNvSpPr txBox="1">
              <a:spLocks noChangeArrowheads="1"/>
            </xdr:cNvSpPr>
          </xdr:nvSpPr>
          <xdr:spPr bwMode="auto">
            <a:xfrm>
              <a:off x="13568363" y="9763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1" name="Text Box 2"/>
            <xdr:cNvSpPr txBox="1">
              <a:spLocks noChangeArrowheads="1"/>
            </xdr:cNvSpPr>
          </xdr:nvSpPr>
          <xdr:spPr bwMode="auto">
            <a:xfrm>
              <a:off x="13568363" y="9763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7</xdr:col>
      <xdr:colOff>71438</xdr:colOff>
      <xdr:row>3</xdr:row>
      <xdr:rowOff>23812</xdr:rowOff>
    </xdr:from>
    <xdr:to>
      <xdr:col>7</xdr:col>
      <xdr:colOff>768668</xdr:colOff>
      <xdr:row>3</xdr:row>
      <xdr:rowOff>308927</xdr:rowOff>
    </xdr:to>
    <mc:AlternateContent xmlns:mc="http://schemas.openxmlformats.org/markup-compatibility/2006" xmlns:a14="http://schemas.microsoft.com/office/drawing/2010/main">
      <mc:Choice Requires="a14">
        <xdr:sp macro="" textlink="">
          <xdr:nvSpPr>
            <xdr:cNvPr id="4" name="Text Box 2"/>
            <xdr:cNvSpPr txBox="1">
              <a:spLocks noChangeArrowheads="1"/>
            </xdr:cNvSpPr>
          </xdr:nvSpPr>
          <xdr:spPr bwMode="auto">
            <a:xfrm>
              <a:off x="7584282" y="96440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 </m:t>
                    </m:r>
                    <m:f>
                      <m:f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𝑟</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4" name="Text Box 2"/>
            <xdr:cNvSpPr txBox="1">
              <a:spLocks noChangeArrowheads="1"/>
            </xdr:cNvSpPr>
          </xdr:nvSpPr>
          <xdr:spPr bwMode="auto">
            <a:xfrm>
              <a:off x="7584282" y="964406"/>
              <a:ext cx="697230" cy="285115"/>
            </a:xfrm>
            <a:prstGeom prst="rect">
              <a:avLst/>
            </a:prstGeom>
            <a:solidFill>
              <a:schemeClr val="accent1"/>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solidFill>
                    <a:srgbClr val="FFFFFF"/>
                  </a:solidFill>
                  <a:effectLst/>
                  <a:latin typeface="Cambria Math" panose="02040503050406030204" pitchFamily="18" charset="0"/>
                  <a:cs typeface="Times New Roman" panose="02020603050405020304" pitchFamily="18" charset="0"/>
                </a:rPr>
                <a:t>〖</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 𝑖〗_𝑡= </a:t>
              </a:r>
              <a:r>
                <a:rPr lang="en-US" sz="1100" i="0">
                  <a:solidFill>
                    <a:srgbClr val="FFFFFF"/>
                  </a:solidFill>
                  <a:effectLst/>
                  <a:latin typeface="Cambria Math" panose="02040503050406030204" pitchFamily="18" charset="0"/>
                  <a:cs typeface="Times New Roman" panose="02020603050405020304" pitchFamily="18" charset="0"/>
                </a:rPr>
                <a:t> (</a:t>
              </a:r>
              <a:r>
                <a:rPr lang="en-US" sz="1100" i="0">
                  <a:solidFill>
                    <a:srgbClr val="FFFFFF"/>
                  </a:solidFill>
                  <a:effectLst/>
                  <a:latin typeface="Cambria Math" panose="02040503050406030204" pitchFamily="18" charset="0"/>
                  <a:ea typeface="Calibri" panose="020F0502020204030204" pitchFamily="34" charset="0"/>
                  <a:cs typeface="Times New Roman" panose="02020603050405020304" pitchFamily="18" charset="0"/>
                </a:rPr>
                <a:t>𝑟_𝑡∙𝑛_𝑡)/𝑁</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8</xdr:col>
      <xdr:colOff>35719</xdr:colOff>
      <xdr:row>3</xdr:row>
      <xdr:rowOff>23812</xdr:rowOff>
    </xdr:from>
    <xdr:to>
      <xdr:col>8</xdr:col>
      <xdr:colOff>1535906</xdr:colOff>
      <xdr:row>3</xdr:row>
      <xdr:rowOff>328612</xdr:rowOff>
    </xdr:to>
    <mc:AlternateContent xmlns:mc="http://schemas.openxmlformats.org/markup-compatibility/2006" xmlns:a14="http://schemas.microsoft.com/office/drawing/2010/main">
      <mc:Choice Requires="a14">
        <xdr:sp macro="" textlink="">
          <xdr:nvSpPr>
            <xdr:cNvPr id="5" name="Text Box 2"/>
            <xdr:cNvSpPr txBox="1">
              <a:spLocks noChangeArrowheads="1"/>
            </xdr:cNvSpPr>
          </xdr:nvSpPr>
          <xdr:spPr bwMode="auto">
            <a:xfrm>
              <a:off x="8446294" y="966787"/>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sSub>
                      <m:sSub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sSubPr>
                      <m:e>
                        <m:r>
                          <m:rPr>
                            <m:sty m:val="p"/>
                          </m:rPr>
                          <a:rPr lang="en-US" sz="900">
                            <a:effectLst/>
                            <a:latin typeface="Cambria Math" panose="02040503050406030204" pitchFamily="18" charset="0"/>
                            <a:ea typeface="Times New Roman" panose="02020603050405020304" pitchFamily="18" charset="0"/>
                            <a:cs typeface="Times New Roman" panose="02020603050405020304" pitchFamily="18" charset="0"/>
                          </a:rPr>
                          <m:t>UCR</m:t>
                        </m:r>
                      </m:e>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b>
                    </m:s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 </m:t>
                    </m:r>
                    <m:d>
                      <m:dPr>
                        <m:begChr m:val="["/>
                        <m:endChr m:val="]"/>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nary>
                          <m:naryPr>
                            <m:chr m:val="∏"/>
                            <m:limLoc m:val="subSup"/>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naryPr>
                          <m:sub>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𝑏</m:t>
                            </m:r>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sub>
                          <m:sup>
                            <m:r>
                              <a:rPr lang="en-US" sz="900" i="1">
                                <a:effectLst/>
                                <a:latin typeface="Cambria Math" panose="02040503050406030204" pitchFamily="18" charset="0"/>
                                <a:ea typeface="Times New Roman" panose="02020603050405020304" pitchFamily="18" charset="0"/>
                                <a:cs typeface="Times New Roman" panose="02020603050405020304" pitchFamily="18" charset="0"/>
                              </a:rPr>
                              <m:t>𝑡</m:t>
                            </m:r>
                          </m:sup>
                          <m:e>
                            <m:d>
                              <m:dPr>
                                <m:ctrlPr>
                                  <a:rPr lang="en-US" sz="900" i="1">
                                    <a:effectLst/>
                                    <a:latin typeface="Cambria Math" panose="02040503050406030204" pitchFamily="18" charset="0"/>
                                    <a:ea typeface="Times New Roman" panose="02020603050405020304" pitchFamily="18" charset="0"/>
                                    <a:cs typeface="Times New Roman" panose="02020603050405020304" pitchFamily="18" charset="0"/>
                                  </a:rPr>
                                </m:ctrlPr>
                              </m:dPr>
                              <m:e>
                                <m:r>
                                  <a:rPr lang="en-US" sz="900" i="1">
                                    <a:effectLst/>
                                    <a:latin typeface="Cambria Math" panose="02040503050406030204" pitchFamily="18" charset="0"/>
                                    <a:ea typeface="Times New Roman" panose="02020603050405020304" pitchFamily="18" charset="0"/>
                                    <a:cs typeface="Times New Roman" panose="02020603050405020304" pitchFamily="18" charset="0"/>
                                  </a:rPr>
                                  <m:t>1+</m:t>
                                </m:r>
                                <m:r>
                                  <a:rPr lang="en-US" sz="900" i="1">
                                    <a:effectLst/>
                                    <a:latin typeface="Cambria Math" panose="02040503050406030204" pitchFamily="18" charset="0"/>
                                    <a:ea typeface="Calibri" panose="020F0502020204030204" pitchFamily="34" charset="0"/>
                                    <a:cs typeface="Times New Roman" panose="02020603050405020304" pitchFamily="18" charset="0"/>
                                  </a:rPr>
                                  <m:t> </m:t>
                                </m:r>
                                <m:sSub>
                                  <m:sSubPr>
                                    <m:ctrlPr>
                                      <a:rPr lang="en-US" sz="9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900" i="1">
                                        <a:effectLst/>
                                        <a:latin typeface="Cambria Math" panose="02040503050406030204" pitchFamily="18" charset="0"/>
                                        <a:ea typeface="Calibri" panose="020F0502020204030204" pitchFamily="34" charset="0"/>
                                        <a:cs typeface="Times New Roman" panose="02020603050405020304" pitchFamily="18" charset="0"/>
                                      </a:rPr>
                                      <m:t>𝑖</m:t>
                                    </m:r>
                                  </m:e>
                                  <m:sub>
                                    <m:r>
                                      <a:rPr lang="en-US" sz="900" i="1">
                                        <a:effectLst/>
                                        <a:latin typeface="Cambria Math" panose="02040503050406030204" pitchFamily="18" charset="0"/>
                                        <a:ea typeface="Calibri" panose="020F0502020204030204" pitchFamily="34" charset="0"/>
                                        <a:cs typeface="Times New Roman" panose="02020603050405020304" pitchFamily="18" charset="0"/>
                                      </a:rPr>
                                      <m:t>𝑏</m:t>
                                    </m:r>
                                  </m:sub>
                                </m:sSub>
                              </m:e>
                            </m:d>
                          </m:e>
                        </m:nary>
                        <m:r>
                          <a:rPr lang="en-US" sz="900" i="1">
                            <a:effectLst/>
                            <a:latin typeface="Cambria Math" panose="02040503050406030204" pitchFamily="18" charset="0"/>
                            <a:ea typeface="Calibri" panose="020F0502020204030204" pitchFamily="34" charset="0"/>
                            <a:cs typeface="Times New Roman" panose="02020603050405020304" pitchFamily="18" charset="0"/>
                          </a:rPr>
                          <m:t>−1</m:t>
                        </m:r>
                      </m:e>
                    </m:d>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5" name="Text Box 2"/>
            <xdr:cNvSpPr txBox="1">
              <a:spLocks noChangeArrowheads="1"/>
            </xdr:cNvSpPr>
          </xdr:nvSpPr>
          <xdr:spPr bwMode="auto">
            <a:xfrm>
              <a:off x="8446294" y="966787"/>
              <a:ext cx="1500187" cy="3048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UCR_𝑡= </a:t>
              </a:r>
              <a:r>
                <a:rPr lang="en-US" sz="900" i="0">
                  <a:effectLst/>
                  <a:latin typeface="Cambria Math" panose="02040503050406030204" pitchFamily="18" charset="0"/>
                  <a:cs typeface="Times New Roman" panose="02020603050405020304" pitchFamily="18" charset="0"/>
                </a:rPr>
                <a:t>[∏2_(</a:t>
              </a:r>
              <a:r>
                <a:rPr lang="en-US" sz="900" i="0">
                  <a:effectLst/>
                  <a:latin typeface="Cambria Math" panose="02040503050406030204" pitchFamily="18" charset="0"/>
                  <a:ea typeface="Times New Roman" panose="02020603050405020304" pitchFamily="18" charset="0"/>
                  <a:cs typeface="Times New Roman" panose="02020603050405020304" pitchFamily="18" charset="0"/>
                </a:rPr>
                <a:t>𝑏=1)^𝑡▒(1+</a:t>
              </a:r>
              <a:r>
                <a:rPr lang="en-US" sz="900" i="0">
                  <a:effectLst/>
                  <a:latin typeface="Cambria Math" panose="02040503050406030204" pitchFamily="18" charset="0"/>
                  <a:ea typeface="Calibri" panose="020F0502020204030204" pitchFamily="34" charset="0"/>
                  <a:cs typeface="Times New Roman" panose="02020603050405020304" pitchFamily="18" charset="0"/>
                </a:rPr>
                <a:t> 𝑖_𝑏 ) −1]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9</xdr:col>
      <xdr:colOff>130969</xdr:colOff>
      <xdr:row>3</xdr:row>
      <xdr:rowOff>95250</xdr:rowOff>
    </xdr:from>
    <xdr:to>
      <xdr:col>9</xdr:col>
      <xdr:colOff>1437799</xdr:colOff>
      <xdr:row>3</xdr:row>
      <xdr:rowOff>285750</xdr:rowOff>
    </xdr:to>
    <mc:AlternateContent xmlns:mc="http://schemas.openxmlformats.org/markup-compatibility/2006" xmlns:a14="http://schemas.microsoft.com/office/drawing/2010/main">
      <mc:Choice Requires="a14">
        <xdr:sp macro="" textlink="">
          <xdr:nvSpPr>
            <xdr:cNvPr id="6" name="Text Box 2"/>
            <xdr:cNvSpPr txBox="1">
              <a:spLocks noChangeArrowheads="1"/>
            </xdr:cNvSpPr>
          </xdr:nvSpPr>
          <xdr:spPr bwMode="auto">
            <a:xfrm>
              <a:off x="10122694" y="1038225"/>
              <a:ext cx="1306830" cy="1905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d>
                      <m:d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dPr>
                      <m:e>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𝑈𝐶𝑅</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𝑈𝐶𝑅</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r>
                              <a:rPr lang="en-US" sz="1100" i="1">
                                <a:effectLst/>
                                <a:latin typeface="Cambria Math" panose="02040503050406030204" pitchFamily="18" charset="0"/>
                                <a:ea typeface="Calibri" panose="020F0502020204030204" pitchFamily="34" charset="0"/>
                                <a:cs typeface="Times New Roman" panose="02020603050405020304" pitchFamily="18" charset="0"/>
                              </a:rPr>
                              <m:t>−1</m:t>
                            </m:r>
                          </m:sub>
                        </m:sSub>
                      </m:e>
                    </m:d>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6" name="Text Box 2"/>
            <xdr:cNvSpPr txBox="1">
              <a:spLocks noChangeArrowheads="1"/>
            </xdr:cNvSpPr>
          </xdr:nvSpPr>
          <xdr:spPr bwMode="auto">
            <a:xfrm>
              <a:off x="10122694" y="1038225"/>
              <a:ext cx="1306830" cy="190500"/>
            </a:xfrm>
            <a:prstGeom prst="rect">
              <a:avLst/>
            </a:prstGeom>
            <a:solidFill>
              <a:schemeClr val="tx2">
                <a:lumMod val="20000"/>
                <a:lumOff val="8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𝑈𝐶𝑅〗_𝑡−〖𝑈𝐶𝑅〗_(𝑡−1) )∙𝑃_𝑡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190500</xdr:colOff>
      <xdr:row>3</xdr:row>
      <xdr:rowOff>23813</xdr:rowOff>
    </xdr:from>
    <xdr:to>
      <xdr:col>10</xdr:col>
      <xdr:colOff>845343</xdr:colOff>
      <xdr:row>3</xdr:row>
      <xdr:rowOff>347663</xdr:rowOff>
    </xdr:to>
    <mc:AlternateContent xmlns:mc="http://schemas.openxmlformats.org/markup-compatibility/2006" xmlns:a14="http://schemas.microsoft.com/office/drawing/2010/main">
      <mc:Choice Requires="a14">
        <xdr:sp macro="" textlink="">
          <xdr:nvSpPr>
            <xdr:cNvPr id="7" name="Text Box 2"/>
            <xdr:cNvSpPr txBox="1">
              <a:spLocks noChangeArrowheads="1"/>
            </xdr:cNvSpPr>
          </xdr:nvSpPr>
          <xdr:spPr bwMode="auto">
            <a:xfrm>
              <a:off x="13011150" y="9667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7" name="Text Box 2"/>
            <xdr:cNvSpPr txBox="1">
              <a:spLocks noChangeArrowheads="1"/>
            </xdr:cNvSpPr>
          </xdr:nvSpPr>
          <xdr:spPr bwMode="auto">
            <a:xfrm>
              <a:off x="13011150" y="9667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119063</xdr:colOff>
      <xdr:row>3</xdr:row>
      <xdr:rowOff>71437</xdr:rowOff>
    </xdr:from>
    <xdr:to>
      <xdr:col>11</xdr:col>
      <xdr:colOff>816293</xdr:colOff>
      <xdr:row>3</xdr:row>
      <xdr:rowOff>366712</xdr:rowOff>
    </xdr:to>
    <mc:AlternateContent xmlns:mc="http://schemas.openxmlformats.org/markup-compatibility/2006" xmlns:a14="http://schemas.microsoft.com/office/drawing/2010/main">
      <mc:Choice Requires="a14">
        <xdr:sp macro="" textlink="">
          <xdr:nvSpPr>
            <xdr:cNvPr id="8" name="Text Box 2"/>
            <xdr:cNvSpPr txBox="1">
              <a:spLocks noChangeArrowheads="1"/>
            </xdr:cNvSpPr>
          </xdr:nvSpPr>
          <xdr:spPr bwMode="auto">
            <a:xfrm>
              <a:off x="13901738" y="10144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8" name="Text Box 2"/>
            <xdr:cNvSpPr txBox="1">
              <a:spLocks noChangeArrowheads="1"/>
            </xdr:cNvSpPr>
          </xdr:nvSpPr>
          <xdr:spPr bwMode="auto">
            <a:xfrm>
              <a:off x="13901738" y="10144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10</xdr:col>
      <xdr:colOff>190500</xdr:colOff>
      <xdr:row>3</xdr:row>
      <xdr:rowOff>23813</xdr:rowOff>
    </xdr:from>
    <xdr:to>
      <xdr:col>10</xdr:col>
      <xdr:colOff>845343</xdr:colOff>
      <xdr:row>3</xdr:row>
      <xdr:rowOff>347663</xdr:rowOff>
    </xdr:to>
    <mc:AlternateContent xmlns:mc="http://schemas.openxmlformats.org/markup-compatibility/2006" xmlns:a14="http://schemas.microsoft.com/office/drawing/2010/main">
      <mc:Choice Requires="a14">
        <xdr:sp macro="" textlink="">
          <xdr:nvSpPr>
            <xdr:cNvPr id="9" name="Text Box 2"/>
            <xdr:cNvSpPr txBox="1">
              <a:spLocks noChangeArrowheads="1"/>
            </xdr:cNvSpPr>
          </xdr:nvSpPr>
          <xdr:spPr bwMode="auto">
            <a:xfrm>
              <a:off x="13011150" y="9667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m:t>𝑁</m:t>
                        </m:r>
                      </m:den>
                    </m:f>
                  </m:oMath>
                </m:oMathPara>
              </a14:m>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9" name="Text Box 2"/>
            <xdr:cNvSpPr txBox="1">
              <a:spLocks noChangeArrowheads="1"/>
            </xdr:cNvSpPr>
          </xdr:nvSpPr>
          <xdr:spPr bwMode="auto">
            <a:xfrm>
              <a:off x="13011150" y="966788"/>
              <a:ext cx="654843" cy="323850"/>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baseline="0">
                  <a:solidFill>
                    <a:sysClr val="windowText" lastClr="000000"/>
                  </a:solidFill>
                  <a:effectLst/>
                  <a:latin typeface="Cambria Math" panose="02040503050406030204" pitchFamily="18" charset="0"/>
                  <a:cs typeface="Times New Roman" panose="02020603050405020304" pitchFamily="18" charset="0"/>
                </a:rPr>
                <a:t>(</a:t>
              </a:r>
              <a:r>
                <a:rPr lang="en-US" sz="1100" i="0" baseline="0">
                  <a:solidFill>
                    <a:sysClr val="windowText" lastClr="000000"/>
                  </a:solidFill>
                  <a:effectLst/>
                  <a:latin typeface="Cambria Math" panose="02040503050406030204" pitchFamily="18" charset="0"/>
                  <a:ea typeface="Calibri" panose="020F0502020204030204" pitchFamily="34" charset="0"/>
                  <a:cs typeface="Times New Roman" panose="02020603050405020304" pitchFamily="18" charset="0"/>
                </a:rPr>
                <a:t>𝑚_𝑡∙𝑛_𝑡)/𝑁</a:t>
              </a:r>
              <a:endParaRPr lang="en-US" sz="1100" baseline="0">
                <a:solidFill>
                  <a:sysClr val="windowText" lastClr="000000"/>
                </a:solidFill>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twoCellAnchor>
    <xdr:from>
      <xdr:col>11</xdr:col>
      <xdr:colOff>119063</xdr:colOff>
      <xdr:row>3</xdr:row>
      <xdr:rowOff>71437</xdr:rowOff>
    </xdr:from>
    <xdr:to>
      <xdr:col>11</xdr:col>
      <xdr:colOff>816293</xdr:colOff>
      <xdr:row>3</xdr:row>
      <xdr:rowOff>366712</xdr:rowOff>
    </xdr:to>
    <mc:AlternateContent xmlns:mc="http://schemas.openxmlformats.org/markup-compatibility/2006" xmlns:a14="http://schemas.microsoft.com/office/drawing/2010/main">
      <mc:Choice Requires="a14">
        <xdr:sp macro="" textlink="">
          <xdr:nvSpPr>
            <xdr:cNvPr id="10" name="Text Box 2"/>
            <xdr:cNvSpPr txBox="1">
              <a:spLocks noChangeArrowheads="1"/>
            </xdr:cNvSpPr>
          </xdr:nvSpPr>
          <xdr:spPr bwMode="auto">
            <a:xfrm>
              <a:off x="13901738" y="10144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14:m>
                <m:oMathPara xmlns:m="http://schemas.openxmlformats.org/officeDocument/2006/math">
                  <m:oMathParaPr>
                    <m:jc m:val="centerGroup"/>
                  </m:oMathParaPr>
                  <m:oMath xmlns:m="http://schemas.openxmlformats.org/officeDocument/2006/math">
                    <m:f>
                      <m:f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fPr>
                      <m:num>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𝑚</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1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𝑛</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num>
                      <m:den>
                        <m:r>
                          <a:rPr lang="en-US" sz="1100" i="1">
                            <a:effectLst/>
                            <a:latin typeface="Cambria Math" panose="02040503050406030204" pitchFamily="18" charset="0"/>
                            <a:ea typeface="Calibri" panose="020F0502020204030204" pitchFamily="34" charset="0"/>
                            <a:cs typeface="Times New Roman" panose="02020603050405020304" pitchFamily="18" charset="0"/>
                          </a:rPr>
                          <m:t>𝑁</m:t>
                        </m:r>
                      </m:den>
                    </m:f>
                    <m:r>
                      <a:rPr lang="en-US" sz="1100" i="1">
                        <a:effectLst/>
                        <a:latin typeface="Cambria Math" panose="02040503050406030204" pitchFamily="18" charset="0"/>
                        <a:ea typeface="Calibri" panose="020F0502020204030204" pitchFamily="34" charset="0"/>
                        <a:cs typeface="Times New Roman" panose="02020603050405020304" pitchFamily="18" charset="0"/>
                      </a:rPr>
                      <m:t>∙</m:t>
                    </m:r>
                    <m:sSub>
                      <m:sSubPr>
                        <m:ctrlPr>
                          <a:rPr lang="en-US" sz="1200" i="1">
                            <a:effectLst/>
                            <a:latin typeface="Cambria Math" panose="02040503050406030204" pitchFamily="18" charset="0"/>
                            <a:ea typeface="Calibri" panose="020F0502020204030204" pitchFamily="34" charset="0"/>
                            <a:cs typeface="Times New Roman" panose="02020603050405020304" pitchFamily="18" charset="0"/>
                          </a:rPr>
                        </m:ctrlPr>
                      </m:sSubPr>
                      <m:e>
                        <m:r>
                          <a:rPr lang="en-US" sz="1100" i="1">
                            <a:effectLst/>
                            <a:latin typeface="Cambria Math" panose="02040503050406030204" pitchFamily="18" charset="0"/>
                            <a:ea typeface="Calibri" panose="020F0502020204030204" pitchFamily="34" charset="0"/>
                            <a:cs typeface="Times New Roman" panose="02020603050405020304" pitchFamily="18" charset="0"/>
                          </a:rPr>
                          <m:t>𝑃</m:t>
                        </m:r>
                      </m:e>
                      <m:sub>
                        <m:r>
                          <a:rPr lang="en-US" sz="1100" i="1">
                            <a:effectLst/>
                            <a:latin typeface="Cambria Math" panose="02040503050406030204" pitchFamily="18" charset="0"/>
                            <a:ea typeface="Calibri" panose="020F0502020204030204" pitchFamily="34" charset="0"/>
                            <a:cs typeface="Times New Roman" panose="02020603050405020304" pitchFamily="18" charset="0"/>
                          </a:rPr>
                          <m:t>𝑡</m:t>
                        </m:r>
                      </m:sub>
                    </m:sSub>
                  </m:oMath>
                </m:oMathPara>
              </a14:m>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Choice>
      <mc:Fallback xmlns="">
        <xdr:sp macro="" textlink="">
          <xdr:nvSpPr>
            <xdr:cNvPr id="10" name="Text Box 2"/>
            <xdr:cNvSpPr txBox="1">
              <a:spLocks noChangeArrowheads="1"/>
            </xdr:cNvSpPr>
          </xdr:nvSpPr>
          <xdr:spPr bwMode="auto">
            <a:xfrm>
              <a:off x="13901738" y="1014412"/>
              <a:ext cx="697230" cy="295275"/>
            </a:xfrm>
            <a:prstGeom prst="rect">
              <a:avLst/>
            </a:prstGeom>
            <a:solidFill>
              <a:schemeClr val="bg2">
                <a:lumMod val="90000"/>
              </a:schemeClr>
            </a:solidFill>
            <a:ln w="9525">
              <a:noFill/>
              <a:miter lim="800000"/>
              <a:headEnd/>
              <a:tailEnd/>
            </a:ln>
          </xdr:spPr>
          <xdr:txBody>
            <a:bodyPr rot="0" vert="horz" wrap="square" lIns="0" tIns="0" rIns="0" bIns="0" anchor="t" anchorCtr="0">
              <a:noAutofit/>
            </a:bodyPr>
            <a:lstStyle/>
            <a:p>
              <a:pPr marL="0" marR="0">
                <a:lnSpc>
                  <a:spcPct val="107000"/>
                </a:lnSpc>
                <a:spcBef>
                  <a:spcPts val="0"/>
                </a:spcBef>
                <a:spcAft>
                  <a:spcPts val="0"/>
                </a:spcAft>
              </a:pPr>
              <a:r>
                <a:rPr lang="en-US" sz="1100" i="0">
                  <a:effectLst/>
                  <a:latin typeface="Cambria Math" panose="02040503050406030204" pitchFamily="18" charset="0"/>
                  <a:cs typeface="Times New Roman" panose="02020603050405020304" pitchFamily="18" charset="0"/>
                </a:rPr>
                <a:t>(</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𝑚_𝑡∙𝑛_𝑡)/𝑁∙𝑃</a:t>
              </a:r>
              <a:r>
                <a:rPr lang="en-US" sz="1200" i="0">
                  <a:effectLst/>
                  <a:latin typeface="Cambria Math" panose="02040503050406030204" pitchFamily="18" charset="0"/>
                  <a:ea typeface="Calibri" panose="020F0502020204030204" pitchFamily="34" charset="0"/>
                  <a:cs typeface="Times New Roman" panose="02020603050405020304" pitchFamily="18" charset="0"/>
                </a:rPr>
                <a:t>_</a:t>
              </a:r>
              <a:r>
                <a:rPr lang="en-US" sz="1100" i="0">
                  <a:effectLst/>
                  <a:latin typeface="Cambria Math" panose="02040503050406030204" pitchFamily="18" charset="0"/>
                  <a:ea typeface="Calibri" panose="020F0502020204030204" pitchFamily="34" charset="0"/>
                  <a:cs typeface="Times New Roman" panose="02020603050405020304" pitchFamily="18" charset="0"/>
                </a:rPr>
                <a:t>𝑡</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Q36"/>
  <sheetViews>
    <sheetView topLeftCell="A11" zoomScale="90" zoomScaleNormal="90" workbookViewId="0">
      <selection activeCell="C15" sqref="C15"/>
    </sheetView>
  </sheetViews>
  <sheetFormatPr defaultRowHeight="15" x14ac:dyDescent="0.25"/>
  <cols>
    <col min="2" max="2" width="28" customWidth="1"/>
    <col min="3" max="3" width="24.140625" bestFit="1" customWidth="1"/>
    <col min="4" max="4" width="15.7109375" bestFit="1" customWidth="1"/>
    <col min="5" max="5" width="18.28515625" customWidth="1"/>
    <col min="6" max="6" width="10.5703125" customWidth="1"/>
    <col min="7" max="7" width="23.7109375" bestFit="1" customWidth="1"/>
    <col min="8" max="8" width="16.42578125" style="110" customWidth="1"/>
    <col min="9" max="10" width="12" customWidth="1"/>
    <col min="11" max="11" width="9.140625" style="33"/>
    <col min="12" max="12" width="19" customWidth="1"/>
    <col min="13" max="13" width="16.28515625" customWidth="1"/>
    <col min="14" max="14" width="16.140625" customWidth="1"/>
    <col min="15" max="15" width="15" customWidth="1"/>
    <col min="16" max="16" width="15.7109375" customWidth="1"/>
    <col min="17" max="17" width="15" customWidth="1"/>
    <col min="20" max="20" width="12.42578125" customWidth="1"/>
  </cols>
  <sheetData>
    <row r="1" spans="2:17" ht="15.75" thickBot="1" x14ac:dyDescent="0.3">
      <c r="N1" s="149"/>
    </row>
    <row r="2" spans="2:17" ht="18" customHeight="1" x14ac:dyDescent="0.25">
      <c r="B2" s="40" t="s">
        <v>23</v>
      </c>
      <c r="C2" s="41">
        <f>G5</f>
        <v>43647</v>
      </c>
      <c r="D2" s="42"/>
      <c r="E2" s="43"/>
      <c r="G2" s="332" t="s">
        <v>1</v>
      </c>
      <c r="H2" s="341" t="s">
        <v>62</v>
      </c>
      <c r="I2" s="335" t="s">
        <v>2</v>
      </c>
      <c r="J2" s="74"/>
      <c r="K2" s="344" t="s">
        <v>63</v>
      </c>
      <c r="L2" s="335" t="s">
        <v>61</v>
      </c>
      <c r="M2" s="335" t="s">
        <v>24</v>
      </c>
      <c r="N2" s="150"/>
      <c r="O2" s="13"/>
      <c r="P2" s="13"/>
      <c r="Q2" s="146"/>
    </row>
    <row r="3" spans="2:17" ht="15" customHeight="1" x14ac:dyDescent="0.25">
      <c r="B3" s="44" t="s">
        <v>53</v>
      </c>
      <c r="C3" s="45">
        <f>G27+1</f>
        <v>43678</v>
      </c>
      <c r="D3" s="46"/>
      <c r="E3" s="47"/>
      <c r="G3" s="333"/>
      <c r="H3" s="342"/>
      <c r="I3" s="336"/>
      <c r="J3" s="75"/>
      <c r="K3" s="345"/>
      <c r="L3" s="336"/>
      <c r="M3" s="336"/>
      <c r="N3" s="338" t="s">
        <v>64</v>
      </c>
      <c r="O3" s="339"/>
      <c r="P3" s="339"/>
      <c r="Q3" s="340"/>
    </row>
    <row r="4" spans="2:17" ht="28.5" customHeight="1" thickBot="1" x14ac:dyDescent="0.3">
      <c r="B4" s="44" t="s">
        <v>80</v>
      </c>
      <c r="C4" s="182" t="s">
        <v>81</v>
      </c>
      <c r="D4" s="46"/>
      <c r="E4" s="47"/>
      <c r="G4" s="334"/>
      <c r="H4" s="343"/>
      <c r="I4" s="337"/>
      <c r="J4" s="76" t="s">
        <v>79</v>
      </c>
      <c r="K4" s="346"/>
      <c r="L4" s="337"/>
      <c r="M4" s="337"/>
      <c r="N4" s="148" t="s">
        <v>3</v>
      </c>
      <c r="O4" s="77" t="s">
        <v>4</v>
      </c>
      <c r="P4" s="77" t="s">
        <v>5</v>
      </c>
      <c r="Q4" s="147" t="s">
        <v>6</v>
      </c>
    </row>
    <row r="5" spans="2:17" x14ac:dyDescent="0.25">
      <c r="B5" s="44" t="s">
        <v>79</v>
      </c>
      <c r="C5" s="181">
        <v>2</v>
      </c>
      <c r="D5" s="46"/>
      <c r="E5" s="47"/>
      <c r="G5" s="20">
        <v>43647</v>
      </c>
      <c r="H5" s="111">
        <f>'FRBNY SOFR Data'!A29</f>
        <v>43647</v>
      </c>
      <c r="I5" s="183">
        <f>'FRBNY SOFR Data'!C29</f>
        <v>2.42</v>
      </c>
      <c r="J5" s="183">
        <f>$C$5</f>
        <v>2</v>
      </c>
      <c r="K5" s="88">
        <v>1</v>
      </c>
      <c r="L5" s="212">
        <v>100000000</v>
      </c>
      <c r="M5" s="13"/>
      <c r="N5" s="216"/>
      <c r="O5" s="217">
        <v>50000000</v>
      </c>
      <c r="P5" s="217">
        <v>25000000</v>
      </c>
      <c r="Q5" s="218">
        <v>25000000</v>
      </c>
    </row>
    <row r="6" spans="2:17" x14ac:dyDescent="0.25">
      <c r="B6" s="44" t="s">
        <v>38</v>
      </c>
      <c r="C6" s="46">
        <v>31</v>
      </c>
      <c r="D6" s="46"/>
      <c r="E6" s="47"/>
      <c r="G6" s="14">
        <v>43648</v>
      </c>
      <c r="H6" s="112">
        <f>'FRBNY SOFR Data'!A28</f>
        <v>43648</v>
      </c>
      <c r="I6" s="184">
        <f>'FRBNY SOFR Data'!C28</f>
        <v>2.5099999999999998</v>
      </c>
      <c r="J6" s="184">
        <f>$C$5</f>
        <v>2</v>
      </c>
      <c r="K6" s="89">
        <v>1</v>
      </c>
      <c r="L6" s="213">
        <f>L5+M5</f>
        <v>100000000</v>
      </c>
      <c r="M6" s="8"/>
      <c r="N6" s="219"/>
      <c r="O6" s="220">
        <f t="shared" ref="O6:O14" si="0">O5+M5*(O5/L5)</f>
        <v>50000000</v>
      </c>
      <c r="P6" s="220">
        <f t="shared" ref="P6:P14" si="1">P5+M5*(P5/L5)</f>
        <v>25000000</v>
      </c>
      <c r="Q6" s="221">
        <f t="shared" ref="Q6:Q14" si="2">Q5+M5*(Q5/L5)</f>
        <v>25000000</v>
      </c>
    </row>
    <row r="7" spans="2:17" x14ac:dyDescent="0.25">
      <c r="B7" s="44" t="s">
        <v>39</v>
      </c>
      <c r="C7" s="48">
        <v>22</v>
      </c>
      <c r="D7" s="46"/>
      <c r="E7" s="47"/>
      <c r="G7" s="14">
        <v>43649</v>
      </c>
      <c r="H7" s="112">
        <f>'FRBNY SOFR Data'!A27</f>
        <v>43649</v>
      </c>
      <c r="I7" s="184">
        <f>'FRBNY SOFR Data'!C27</f>
        <v>2.56</v>
      </c>
      <c r="J7" s="184">
        <f>$C$5</f>
        <v>2</v>
      </c>
      <c r="K7" s="89">
        <v>2</v>
      </c>
      <c r="L7" s="213">
        <f t="shared" ref="L7:L14" si="3">L6+M6</f>
        <v>100000000</v>
      </c>
      <c r="M7" s="8"/>
      <c r="N7" s="219"/>
      <c r="O7" s="220">
        <f t="shared" si="0"/>
        <v>50000000</v>
      </c>
      <c r="P7" s="220">
        <f t="shared" si="1"/>
        <v>25000000</v>
      </c>
      <c r="Q7" s="221">
        <f t="shared" si="2"/>
        <v>25000000</v>
      </c>
    </row>
    <row r="8" spans="2:17" x14ac:dyDescent="0.25">
      <c r="B8" s="44" t="s">
        <v>66</v>
      </c>
      <c r="C8" s="46">
        <v>360</v>
      </c>
      <c r="D8" s="46"/>
      <c r="E8" s="47"/>
      <c r="G8" s="16">
        <v>43650</v>
      </c>
      <c r="H8" s="113"/>
      <c r="I8" s="211"/>
      <c r="J8" s="30"/>
      <c r="K8" s="144"/>
      <c r="L8" s="214">
        <f t="shared" si="3"/>
        <v>100000000</v>
      </c>
      <c r="M8" s="12"/>
      <c r="N8" s="222"/>
      <c r="O8" s="220">
        <f t="shared" si="0"/>
        <v>50000000</v>
      </c>
      <c r="P8" s="220">
        <f t="shared" si="1"/>
        <v>25000000</v>
      </c>
      <c r="Q8" s="221">
        <f t="shared" si="2"/>
        <v>25000000</v>
      </c>
    </row>
    <row r="9" spans="2:17" x14ac:dyDescent="0.25">
      <c r="B9" s="44" t="s">
        <v>22</v>
      </c>
      <c r="C9" s="46">
        <v>3</v>
      </c>
      <c r="D9" s="46"/>
      <c r="E9" s="47"/>
      <c r="G9" s="14">
        <v>43651</v>
      </c>
      <c r="H9" s="112">
        <f>'FRBNY SOFR Data'!A26</f>
        <v>43651</v>
      </c>
      <c r="I9" s="184">
        <f>'FRBNY SOFR Data'!C26</f>
        <v>2.59</v>
      </c>
      <c r="J9" s="184">
        <f t="shared" ref="J9:J27" si="4">$C$5</f>
        <v>2</v>
      </c>
      <c r="K9" s="89">
        <v>3</v>
      </c>
      <c r="L9" s="213">
        <f t="shared" si="3"/>
        <v>100000000</v>
      </c>
      <c r="M9" s="8"/>
      <c r="N9" s="219"/>
      <c r="O9" s="220">
        <f t="shared" si="0"/>
        <v>50000000</v>
      </c>
      <c r="P9" s="220">
        <f t="shared" si="1"/>
        <v>25000000</v>
      </c>
      <c r="Q9" s="221">
        <f t="shared" si="2"/>
        <v>25000000</v>
      </c>
    </row>
    <row r="10" spans="2:17" x14ac:dyDescent="0.25">
      <c r="B10" s="44" t="s">
        <v>65</v>
      </c>
      <c r="C10" s="151">
        <v>100000000</v>
      </c>
      <c r="D10" s="46"/>
      <c r="E10" s="47"/>
      <c r="G10" s="14">
        <v>43654</v>
      </c>
      <c r="H10" s="112">
        <f>'FRBNY SOFR Data'!A25</f>
        <v>43654</v>
      </c>
      <c r="I10" s="184">
        <f>'FRBNY SOFR Data'!C25</f>
        <v>2.48</v>
      </c>
      <c r="J10" s="184">
        <f t="shared" si="4"/>
        <v>2</v>
      </c>
      <c r="K10" s="89">
        <v>1</v>
      </c>
      <c r="L10" s="213">
        <f t="shared" si="3"/>
        <v>100000000</v>
      </c>
      <c r="M10" s="8"/>
      <c r="N10" s="219"/>
      <c r="O10" s="220">
        <f t="shared" si="0"/>
        <v>50000000</v>
      </c>
      <c r="P10" s="220">
        <f t="shared" si="1"/>
        <v>25000000</v>
      </c>
      <c r="Q10" s="221">
        <f t="shared" si="2"/>
        <v>25000000</v>
      </c>
    </row>
    <row r="11" spans="2:17" x14ac:dyDescent="0.25">
      <c r="B11" s="44" t="s">
        <v>40</v>
      </c>
      <c r="C11" s="46" t="s">
        <v>34</v>
      </c>
      <c r="D11" s="49">
        <f>M15</f>
        <v>-10000000</v>
      </c>
      <c r="E11" s="50" t="s">
        <v>41</v>
      </c>
      <c r="G11" s="14">
        <v>43655</v>
      </c>
      <c r="H11" s="112">
        <f>'FRBNY SOFR Data'!A24</f>
        <v>43655</v>
      </c>
      <c r="I11" s="184">
        <f>'FRBNY SOFR Data'!C24</f>
        <v>2.4500000000000002</v>
      </c>
      <c r="J11" s="184">
        <f t="shared" si="4"/>
        <v>2</v>
      </c>
      <c r="K11" s="89">
        <v>1</v>
      </c>
      <c r="L11" s="213">
        <f t="shared" si="3"/>
        <v>100000000</v>
      </c>
      <c r="M11" s="8"/>
      <c r="N11" s="219"/>
      <c r="O11" s="220">
        <f t="shared" si="0"/>
        <v>50000000</v>
      </c>
      <c r="P11" s="220">
        <f t="shared" si="1"/>
        <v>25000000</v>
      </c>
      <c r="Q11" s="221">
        <f t="shared" si="2"/>
        <v>25000000</v>
      </c>
    </row>
    <row r="12" spans="2:17" x14ac:dyDescent="0.25">
      <c r="B12" s="51"/>
      <c r="C12" s="46" t="s">
        <v>31</v>
      </c>
      <c r="D12" s="49">
        <f>N19</f>
        <v>22500000</v>
      </c>
      <c r="E12" s="50" t="s">
        <v>3</v>
      </c>
      <c r="G12" s="14">
        <v>43656</v>
      </c>
      <c r="H12" s="112">
        <f>'FRBNY SOFR Data'!A23</f>
        <v>43656</v>
      </c>
      <c r="I12" s="184">
        <f>'FRBNY SOFR Data'!C23</f>
        <v>2.46</v>
      </c>
      <c r="J12" s="184">
        <f t="shared" si="4"/>
        <v>2</v>
      </c>
      <c r="K12" s="89">
        <v>1</v>
      </c>
      <c r="L12" s="213">
        <f t="shared" si="3"/>
        <v>100000000</v>
      </c>
      <c r="M12" s="8"/>
      <c r="N12" s="219"/>
      <c r="O12" s="220">
        <f t="shared" si="0"/>
        <v>50000000</v>
      </c>
      <c r="P12" s="220">
        <f t="shared" si="1"/>
        <v>25000000</v>
      </c>
      <c r="Q12" s="221">
        <f t="shared" si="2"/>
        <v>25000000</v>
      </c>
    </row>
    <row r="13" spans="2:17" ht="17.25" x14ac:dyDescent="0.25">
      <c r="B13" s="36" t="s">
        <v>98</v>
      </c>
      <c r="C13" s="37" t="s">
        <v>37</v>
      </c>
      <c r="D13" s="46"/>
      <c r="E13" s="47"/>
      <c r="G13" s="14">
        <v>43657</v>
      </c>
      <c r="H13" s="112">
        <f>'FRBNY SOFR Data'!A22</f>
        <v>43657</v>
      </c>
      <c r="I13" s="184">
        <f>'FRBNY SOFR Data'!C22</f>
        <v>2.41</v>
      </c>
      <c r="J13" s="184">
        <f t="shared" si="4"/>
        <v>2</v>
      </c>
      <c r="K13" s="89">
        <v>1</v>
      </c>
      <c r="L13" s="213">
        <f t="shared" si="3"/>
        <v>100000000</v>
      </c>
      <c r="M13" s="8"/>
      <c r="N13" s="219"/>
      <c r="O13" s="220">
        <f t="shared" si="0"/>
        <v>50000000</v>
      </c>
      <c r="P13" s="220">
        <f t="shared" si="1"/>
        <v>25000000</v>
      </c>
      <c r="Q13" s="221">
        <f t="shared" si="2"/>
        <v>25000000</v>
      </c>
    </row>
    <row r="14" spans="2:17" ht="15.75" thickBot="1" x14ac:dyDescent="0.3">
      <c r="B14" s="38" t="s">
        <v>0</v>
      </c>
      <c r="C14" s="39" t="s">
        <v>37</v>
      </c>
      <c r="D14" s="52"/>
      <c r="E14" s="53"/>
      <c r="G14" s="32">
        <v>43658</v>
      </c>
      <c r="H14" s="112">
        <f>'FRBNY SOFR Data'!A21</f>
        <v>43658</v>
      </c>
      <c r="I14" s="184">
        <f>'FRBNY SOFR Data'!C21</f>
        <v>2.36</v>
      </c>
      <c r="J14" s="184">
        <f t="shared" si="4"/>
        <v>2</v>
      </c>
      <c r="K14" s="89">
        <v>3</v>
      </c>
      <c r="L14" s="213">
        <f t="shared" si="3"/>
        <v>100000000</v>
      </c>
      <c r="M14" s="8"/>
      <c r="N14" s="223"/>
      <c r="O14" s="220">
        <f t="shared" si="0"/>
        <v>50000000</v>
      </c>
      <c r="P14" s="220">
        <f t="shared" si="1"/>
        <v>25000000</v>
      </c>
      <c r="Q14" s="221">
        <f t="shared" si="2"/>
        <v>25000000</v>
      </c>
    </row>
    <row r="15" spans="2:17" x14ac:dyDescent="0.25">
      <c r="G15" s="14">
        <v>43661</v>
      </c>
      <c r="H15" s="112">
        <f>'FRBNY SOFR Data'!A20</f>
        <v>43661</v>
      </c>
      <c r="I15" s="184">
        <f>'FRBNY SOFR Data'!C20</f>
        <v>2.46</v>
      </c>
      <c r="J15" s="184">
        <f t="shared" si="4"/>
        <v>2</v>
      </c>
      <c r="K15" s="89">
        <v>1</v>
      </c>
      <c r="L15" s="213">
        <f>L14+M15</f>
        <v>90000000</v>
      </c>
      <c r="M15" s="230">
        <v>-10000000</v>
      </c>
      <c r="N15" s="219"/>
      <c r="O15" s="220">
        <f t="shared" ref="O15:O25" si="5">O14+M15*(O14/L14)</f>
        <v>45000000</v>
      </c>
      <c r="P15" s="220">
        <f>P14+M15*(P14/L14)</f>
        <v>22500000</v>
      </c>
      <c r="Q15" s="221">
        <f>Q14+M15*(Q14/L14)</f>
        <v>22500000</v>
      </c>
    </row>
    <row r="16" spans="2:17" ht="15.75" thickBot="1" x14ac:dyDescent="0.3">
      <c r="B16" s="1"/>
      <c r="G16" s="14">
        <v>43662</v>
      </c>
      <c r="H16" s="112">
        <f>'FRBNY SOFR Data'!A19</f>
        <v>43662</v>
      </c>
      <c r="I16" s="184">
        <f>'FRBNY SOFR Data'!C19</f>
        <v>2.4700000000000002</v>
      </c>
      <c r="J16" s="184">
        <f t="shared" si="4"/>
        <v>2</v>
      </c>
      <c r="K16" s="89">
        <v>1</v>
      </c>
      <c r="L16" s="213">
        <f t="shared" ref="L16:L25" si="6">L15+M16</f>
        <v>90000000</v>
      </c>
      <c r="M16" s="8"/>
      <c r="N16" s="219"/>
      <c r="O16" s="220">
        <f t="shared" si="5"/>
        <v>45000000</v>
      </c>
      <c r="P16" s="220">
        <f>P15+M16*(P15/L15)</f>
        <v>22500000</v>
      </c>
      <c r="Q16" s="221">
        <f>Q15+M16*(Q15/L15)</f>
        <v>22500000</v>
      </c>
    </row>
    <row r="17" spans="2:17" ht="15" customHeight="1" thickTop="1" x14ac:dyDescent="0.25">
      <c r="B17" s="323" t="s">
        <v>97</v>
      </c>
      <c r="C17" s="324"/>
      <c r="D17" s="324"/>
      <c r="E17" s="325"/>
      <c r="G17" s="14">
        <v>43663</v>
      </c>
      <c r="H17" s="112">
        <f>'FRBNY SOFR Data'!A18</f>
        <v>43663</v>
      </c>
      <c r="I17" s="184">
        <f>'FRBNY SOFR Data'!C18</f>
        <v>2.4700000000000002</v>
      </c>
      <c r="J17" s="184">
        <f t="shared" si="4"/>
        <v>2</v>
      </c>
      <c r="K17" s="89">
        <v>1</v>
      </c>
      <c r="L17" s="213">
        <f t="shared" si="6"/>
        <v>90000000</v>
      </c>
      <c r="M17" s="8"/>
      <c r="N17" s="219"/>
      <c r="O17" s="220">
        <f t="shared" si="5"/>
        <v>45000000</v>
      </c>
      <c r="P17" s="220">
        <f>P16+M17*(P16/L16)</f>
        <v>22500000</v>
      </c>
      <c r="Q17" s="221">
        <f>Q16+M17*(Q16/L16)</f>
        <v>22500000</v>
      </c>
    </row>
    <row r="18" spans="2:17" ht="15.75" thickBot="1" x14ac:dyDescent="0.3">
      <c r="B18" s="326"/>
      <c r="C18" s="327"/>
      <c r="D18" s="327"/>
      <c r="E18" s="328"/>
      <c r="G18" s="14">
        <v>43664</v>
      </c>
      <c r="H18" s="112">
        <f>'FRBNY SOFR Data'!A17</f>
        <v>43664</v>
      </c>
      <c r="I18" s="184">
        <f>'FRBNY SOFR Data'!C17</f>
        <v>2.46</v>
      </c>
      <c r="J18" s="184">
        <f t="shared" si="4"/>
        <v>2</v>
      </c>
      <c r="K18" s="89">
        <v>1</v>
      </c>
      <c r="L18" s="213">
        <f t="shared" si="6"/>
        <v>90000000</v>
      </c>
      <c r="M18" s="8"/>
      <c r="N18" s="219"/>
      <c r="O18" s="220">
        <f t="shared" si="5"/>
        <v>45000000</v>
      </c>
      <c r="P18" s="220">
        <f>P17+M18*(P17/L17)</f>
        <v>22500000</v>
      </c>
      <c r="Q18" s="221">
        <f>Q17+M18*(Q17/L17)</f>
        <v>22500000</v>
      </c>
    </row>
    <row r="19" spans="2:17" ht="15.75" thickBot="1" x14ac:dyDescent="0.3">
      <c r="B19" s="326"/>
      <c r="C19" s="327"/>
      <c r="D19" s="327"/>
      <c r="E19" s="328"/>
      <c r="G19" s="32">
        <v>43665</v>
      </c>
      <c r="H19" s="112">
        <f>'FRBNY SOFR Data'!A16</f>
        <v>43665</v>
      </c>
      <c r="I19" s="184">
        <f>'FRBNY SOFR Data'!C16</f>
        <v>2.41</v>
      </c>
      <c r="J19" s="184">
        <f t="shared" si="4"/>
        <v>2</v>
      </c>
      <c r="K19" s="89">
        <v>3</v>
      </c>
      <c r="L19" s="213">
        <f t="shared" si="6"/>
        <v>90000000</v>
      </c>
      <c r="M19" s="8"/>
      <c r="N19" s="224">
        <v>22500000</v>
      </c>
      <c r="O19" s="220">
        <f t="shared" si="5"/>
        <v>45000000</v>
      </c>
      <c r="P19" s="225">
        <f>P18+M19*(P18/L18)-N19</f>
        <v>0</v>
      </c>
      <c r="Q19" s="226">
        <f>Q18+M19*(Q18/L18)+N19</f>
        <v>45000000</v>
      </c>
    </row>
    <row r="20" spans="2:17" x14ac:dyDescent="0.25">
      <c r="B20" s="326"/>
      <c r="C20" s="327"/>
      <c r="D20" s="327"/>
      <c r="E20" s="328"/>
      <c r="G20" s="14">
        <v>43668</v>
      </c>
      <c r="H20" s="112">
        <f>'FRBNY SOFR Data'!A15</f>
        <v>43668</v>
      </c>
      <c r="I20" s="184">
        <f>'FRBNY SOFR Data'!C15</f>
        <v>2.4</v>
      </c>
      <c r="J20" s="184">
        <f t="shared" si="4"/>
        <v>2</v>
      </c>
      <c r="K20" s="89">
        <v>1</v>
      </c>
      <c r="L20" s="213">
        <f t="shared" si="6"/>
        <v>90000000</v>
      </c>
      <c r="M20" s="8"/>
      <c r="N20" s="219"/>
      <c r="O20" s="220">
        <f t="shared" si="5"/>
        <v>45000000</v>
      </c>
      <c r="P20" s="220">
        <f t="shared" ref="P20:P25" si="7">P19+M20*(P19/L19)</f>
        <v>0</v>
      </c>
      <c r="Q20" s="221">
        <f t="shared" ref="Q20:Q25" si="8">Q19+M20*(Q19/L19)</f>
        <v>45000000</v>
      </c>
    </row>
    <row r="21" spans="2:17" x14ac:dyDescent="0.25">
      <c r="B21" s="326"/>
      <c r="C21" s="327"/>
      <c r="D21" s="327"/>
      <c r="E21" s="328"/>
      <c r="G21" s="14">
        <v>43669</v>
      </c>
      <c r="H21" s="112">
        <f>'FRBNY SOFR Data'!A14</f>
        <v>43669</v>
      </c>
      <c r="I21" s="184">
        <f>'FRBNY SOFR Data'!C14</f>
        <v>2.4</v>
      </c>
      <c r="J21" s="184">
        <f t="shared" si="4"/>
        <v>2</v>
      </c>
      <c r="K21" s="89">
        <v>1</v>
      </c>
      <c r="L21" s="213">
        <f t="shared" si="6"/>
        <v>90000000</v>
      </c>
      <c r="M21" s="8"/>
      <c r="N21" s="219"/>
      <c r="O21" s="220">
        <f t="shared" si="5"/>
        <v>45000000</v>
      </c>
      <c r="P21" s="220">
        <f t="shared" si="7"/>
        <v>0</v>
      </c>
      <c r="Q21" s="221">
        <f t="shared" si="8"/>
        <v>45000000</v>
      </c>
    </row>
    <row r="22" spans="2:17" x14ac:dyDescent="0.25">
      <c r="B22" s="326"/>
      <c r="C22" s="327"/>
      <c r="D22" s="327"/>
      <c r="E22" s="328"/>
      <c r="G22" s="14">
        <v>43670</v>
      </c>
      <c r="H22" s="112">
        <f>'FRBNY SOFR Data'!A13</f>
        <v>43670</v>
      </c>
      <c r="I22" s="184">
        <f>'FRBNY SOFR Data'!C13</f>
        <v>2.41</v>
      </c>
      <c r="J22" s="184">
        <f t="shared" si="4"/>
        <v>2</v>
      </c>
      <c r="K22" s="89">
        <v>1</v>
      </c>
      <c r="L22" s="213">
        <f t="shared" si="6"/>
        <v>90000000</v>
      </c>
      <c r="M22" s="8"/>
      <c r="N22" s="219"/>
      <c r="O22" s="220">
        <f t="shared" si="5"/>
        <v>45000000</v>
      </c>
      <c r="P22" s="220">
        <f t="shared" si="7"/>
        <v>0</v>
      </c>
      <c r="Q22" s="221">
        <f t="shared" si="8"/>
        <v>45000000</v>
      </c>
    </row>
    <row r="23" spans="2:17" x14ac:dyDescent="0.25">
      <c r="B23" s="326"/>
      <c r="C23" s="327"/>
      <c r="D23" s="327"/>
      <c r="E23" s="328"/>
      <c r="G23" s="14">
        <v>43671</v>
      </c>
      <c r="H23" s="112">
        <f>'FRBNY SOFR Data'!A12</f>
        <v>43671</v>
      </c>
      <c r="I23" s="184">
        <f>'FRBNY SOFR Data'!C12</f>
        <v>2.42</v>
      </c>
      <c r="J23" s="184">
        <f t="shared" si="4"/>
        <v>2</v>
      </c>
      <c r="K23" s="89">
        <v>1</v>
      </c>
      <c r="L23" s="213">
        <f t="shared" si="6"/>
        <v>90000000</v>
      </c>
      <c r="M23" s="8"/>
      <c r="N23" s="219"/>
      <c r="O23" s="220">
        <f t="shared" si="5"/>
        <v>45000000</v>
      </c>
      <c r="P23" s="220">
        <f t="shared" si="7"/>
        <v>0</v>
      </c>
      <c r="Q23" s="221">
        <f t="shared" si="8"/>
        <v>45000000</v>
      </c>
    </row>
    <row r="24" spans="2:17" x14ac:dyDescent="0.25">
      <c r="B24" s="326"/>
      <c r="C24" s="327"/>
      <c r="D24" s="327"/>
      <c r="E24" s="328"/>
      <c r="G24" s="14">
        <v>43672</v>
      </c>
      <c r="H24" s="112">
        <f>'FRBNY SOFR Data'!A11</f>
        <v>43672</v>
      </c>
      <c r="I24" s="184">
        <f>'FRBNY SOFR Data'!C11</f>
        <v>2.41</v>
      </c>
      <c r="J24" s="184">
        <f t="shared" si="4"/>
        <v>2</v>
      </c>
      <c r="K24" s="89">
        <v>3</v>
      </c>
      <c r="L24" s="213">
        <f t="shared" si="6"/>
        <v>90000000</v>
      </c>
      <c r="M24" s="8"/>
      <c r="N24" s="219"/>
      <c r="O24" s="220">
        <f t="shared" si="5"/>
        <v>45000000</v>
      </c>
      <c r="P24" s="220">
        <f t="shared" si="7"/>
        <v>0</v>
      </c>
      <c r="Q24" s="221">
        <f t="shared" si="8"/>
        <v>45000000</v>
      </c>
    </row>
    <row r="25" spans="2:17" x14ac:dyDescent="0.25">
      <c r="B25" s="326"/>
      <c r="C25" s="327"/>
      <c r="D25" s="327"/>
      <c r="E25" s="328"/>
      <c r="G25" s="14">
        <v>43675</v>
      </c>
      <c r="H25" s="112">
        <f>'FRBNY SOFR Data'!A10</f>
        <v>43675</v>
      </c>
      <c r="I25" s="184">
        <f>'FRBNY SOFR Data'!C10</f>
        <v>2.4</v>
      </c>
      <c r="J25" s="184">
        <f t="shared" si="4"/>
        <v>2</v>
      </c>
      <c r="K25" s="89">
        <v>1</v>
      </c>
      <c r="L25" s="213">
        <f t="shared" si="6"/>
        <v>90000000</v>
      </c>
      <c r="M25" s="8"/>
      <c r="N25" s="219"/>
      <c r="O25" s="220">
        <f t="shared" si="5"/>
        <v>45000000</v>
      </c>
      <c r="P25" s="220">
        <f t="shared" si="7"/>
        <v>0</v>
      </c>
      <c r="Q25" s="221">
        <f t="shared" si="8"/>
        <v>45000000</v>
      </c>
    </row>
    <row r="26" spans="2:17" ht="15.75" thickBot="1" x14ac:dyDescent="0.3">
      <c r="B26" s="329"/>
      <c r="C26" s="330"/>
      <c r="D26" s="330"/>
      <c r="E26" s="331"/>
      <c r="G26" s="14">
        <v>43676</v>
      </c>
      <c r="H26" s="112">
        <f>'FRBNY SOFR Data'!A9</f>
        <v>43676</v>
      </c>
      <c r="I26" s="184">
        <f>'FRBNY SOFR Data'!C9</f>
        <v>2.39</v>
      </c>
      <c r="J26" s="184">
        <f t="shared" si="4"/>
        <v>2</v>
      </c>
      <c r="K26" s="89">
        <v>1</v>
      </c>
      <c r="L26" s="213">
        <f>L24+M26</f>
        <v>90000000</v>
      </c>
      <c r="M26" s="8"/>
      <c r="N26" s="219"/>
      <c r="O26" s="220">
        <f>O24+M26*(O24/L24)</f>
        <v>45000000</v>
      </c>
      <c r="P26" s="220">
        <f>P24+M26*(P24/L24)</f>
        <v>0</v>
      </c>
      <c r="Q26" s="221">
        <f>Q24+M26*(Q24/L24)</f>
        <v>45000000</v>
      </c>
    </row>
    <row r="27" spans="2:17" ht="16.5" thickTop="1" thickBot="1" x14ac:dyDescent="0.3">
      <c r="G27" s="17">
        <v>43677</v>
      </c>
      <c r="H27" s="114">
        <f>'FRBNY SOFR Data'!A8</f>
        <v>43677</v>
      </c>
      <c r="I27" s="185">
        <f>'FRBNY SOFR Data'!C8</f>
        <v>2.5499999999999998</v>
      </c>
      <c r="J27" s="185">
        <f t="shared" si="4"/>
        <v>2</v>
      </c>
      <c r="K27" s="145">
        <v>1</v>
      </c>
      <c r="L27" s="215">
        <f>L25+M27</f>
        <v>90000000</v>
      </c>
      <c r="M27" s="9"/>
      <c r="N27" s="227"/>
      <c r="O27" s="228">
        <f>O25+M27*(O25/L25)</f>
        <v>45000000</v>
      </c>
      <c r="P27" s="228">
        <f>P25+M27*(P25/L25)</f>
        <v>0</v>
      </c>
      <c r="Q27" s="229">
        <f>Q25+M27*(Q25/L25)</f>
        <v>45000000</v>
      </c>
    </row>
    <row r="33" spans="6:12" ht="15" customHeight="1" x14ac:dyDescent="0.25">
      <c r="F33" s="322"/>
      <c r="G33" s="322"/>
      <c r="H33" s="322"/>
      <c r="I33" s="322"/>
      <c r="J33" s="322"/>
      <c r="K33" s="322"/>
      <c r="L33" s="322"/>
    </row>
    <row r="34" spans="6:12" x14ac:dyDescent="0.25">
      <c r="F34" s="322"/>
      <c r="G34" s="322"/>
      <c r="H34" s="322"/>
      <c r="I34" s="322"/>
      <c r="J34" s="322"/>
      <c r="K34" s="322"/>
      <c r="L34" s="322"/>
    </row>
    <row r="35" spans="6:12" x14ac:dyDescent="0.25">
      <c r="F35" s="322"/>
      <c r="G35" s="322"/>
      <c r="H35" s="322"/>
      <c r="I35" s="322"/>
      <c r="J35" s="322"/>
      <c r="K35" s="322"/>
      <c r="L35" s="322"/>
    </row>
    <row r="36" spans="6:12" x14ac:dyDescent="0.25">
      <c r="F36" s="322"/>
      <c r="G36" s="322"/>
      <c r="H36" s="322"/>
      <c r="I36" s="322"/>
      <c r="J36" s="322"/>
      <c r="K36" s="322"/>
      <c r="L36" s="322"/>
    </row>
  </sheetData>
  <sheetProtection algorithmName="SHA-512" hashValue="2D+7aGY7AesOLq3WVXdCYKP+wC5K1GD80QAlzV08yRCk8vJRcaB0899zd6Nlg/j43piWtKCGndWQ3SP/1DQqWg==" saltValue="l5DePDW2y/1uyvYhP5T6+w==" spinCount="100000" sheet="1" objects="1" scenarios="1"/>
  <sortState ref="T5:U26">
    <sortCondition ref="T5:T26"/>
  </sortState>
  <mergeCells count="8">
    <mergeCell ref="B17:E26"/>
    <mergeCell ref="G2:G4"/>
    <mergeCell ref="L2:L4"/>
    <mergeCell ref="M2:M4"/>
    <mergeCell ref="N3:Q3"/>
    <mergeCell ref="I2:I4"/>
    <mergeCell ref="H2:H4"/>
    <mergeCell ref="K2:K4"/>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4"/>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bestFit="1" customWidth="1"/>
    <col min="9" max="9" width="23.7109375" style="19" customWidth="1"/>
    <col min="10" max="10" width="22.7109375" customWidth="1"/>
    <col min="11" max="11" width="14.42578125" customWidth="1"/>
    <col min="12" max="12" width="12.42578125" customWidth="1"/>
    <col min="13" max="13" width="12.28515625" bestFit="1" customWidth="1"/>
    <col min="14" max="14" width="13.5703125" style="197" customWidth="1"/>
    <col min="15" max="15" width="11.28515625" customWidth="1"/>
  </cols>
  <sheetData>
    <row r="1" spans="1:26" s="176" customFormat="1" ht="19.5" thickTop="1" x14ac:dyDescent="0.3">
      <c r="A1" s="394" t="s">
        <v>72</v>
      </c>
      <c r="B1" s="394"/>
      <c r="C1" s="394"/>
      <c r="D1" s="394"/>
      <c r="E1" s="394"/>
      <c r="F1" s="394"/>
      <c r="G1" s="394"/>
      <c r="H1" s="371"/>
      <c r="I1" s="397" t="s">
        <v>73</v>
      </c>
      <c r="J1" s="398"/>
      <c r="K1" s="395" t="s">
        <v>77</v>
      </c>
      <c r="L1" s="396"/>
      <c r="M1" s="180"/>
      <c r="N1" s="194"/>
      <c r="P1" s="323" t="s">
        <v>97</v>
      </c>
      <c r="Q1" s="324"/>
      <c r="R1" s="324"/>
      <c r="S1" s="324"/>
      <c r="T1" s="324"/>
      <c r="U1" s="324"/>
      <c r="V1" s="324"/>
      <c r="W1" s="324"/>
      <c r="X1" s="324"/>
      <c r="Y1" s="324"/>
      <c r="Z1" s="325"/>
    </row>
    <row r="2" spans="1:26" ht="5.0999999999999996" customHeight="1" x14ac:dyDescent="0.25">
      <c r="A2" s="59"/>
      <c r="B2" s="95"/>
      <c r="C2" s="80"/>
      <c r="D2" s="80"/>
      <c r="E2" s="138"/>
      <c r="F2" s="80"/>
      <c r="G2" s="82"/>
      <c r="H2" s="106"/>
      <c r="I2" s="108"/>
      <c r="J2" s="78"/>
      <c r="K2" s="177"/>
      <c r="L2" s="178"/>
      <c r="M2" s="179"/>
      <c r="N2" s="195"/>
      <c r="P2" s="326"/>
      <c r="Q2" s="327"/>
      <c r="R2" s="327"/>
      <c r="S2" s="327"/>
      <c r="T2" s="327"/>
      <c r="U2" s="327"/>
      <c r="V2" s="327"/>
      <c r="W2" s="327"/>
      <c r="X2" s="327"/>
      <c r="Y2" s="327"/>
      <c r="Z2" s="328"/>
    </row>
    <row r="3" spans="1:26" ht="51.95" customHeight="1" x14ac:dyDescent="0.35">
      <c r="A3" s="59"/>
      <c r="B3" s="381" t="s">
        <v>96</v>
      </c>
      <c r="C3" s="80"/>
      <c r="D3" s="80"/>
      <c r="E3" s="382" t="s">
        <v>59</v>
      </c>
      <c r="F3" s="80"/>
      <c r="G3" s="383" t="s">
        <v>69</v>
      </c>
      <c r="H3" s="106" t="s">
        <v>57</v>
      </c>
      <c r="I3" s="108" t="s">
        <v>68</v>
      </c>
      <c r="J3" s="78" t="s">
        <v>70</v>
      </c>
      <c r="K3" s="164" t="s">
        <v>74</v>
      </c>
      <c r="L3" s="165" t="s">
        <v>75</v>
      </c>
      <c r="M3" s="370" t="s">
        <v>76</v>
      </c>
      <c r="N3" s="384" t="s">
        <v>82</v>
      </c>
      <c r="P3" s="326"/>
      <c r="Q3" s="327"/>
      <c r="R3" s="327"/>
      <c r="S3" s="327"/>
      <c r="T3" s="327"/>
      <c r="U3" s="327"/>
      <c r="V3" s="327"/>
      <c r="W3" s="327"/>
      <c r="X3" s="327"/>
      <c r="Y3" s="327"/>
      <c r="Z3" s="328"/>
    </row>
    <row r="4" spans="1:26" ht="32.1" customHeight="1" thickBot="1" x14ac:dyDescent="0.4">
      <c r="A4" s="204" t="s">
        <v>94</v>
      </c>
      <c r="B4" s="381"/>
      <c r="C4" s="80" t="s">
        <v>60</v>
      </c>
      <c r="D4" s="80" t="s">
        <v>78</v>
      </c>
      <c r="E4" s="382"/>
      <c r="F4" s="80" t="s">
        <v>71</v>
      </c>
      <c r="G4" s="383"/>
      <c r="H4" s="139"/>
      <c r="I4" s="108"/>
      <c r="J4" s="78"/>
      <c r="K4" s="166"/>
      <c r="L4" s="167"/>
      <c r="M4" s="370"/>
      <c r="N4" s="384"/>
      <c r="P4" s="329"/>
      <c r="Q4" s="330"/>
      <c r="R4" s="330"/>
      <c r="S4" s="330"/>
      <c r="T4" s="330"/>
      <c r="U4" s="330"/>
      <c r="V4" s="330"/>
      <c r="W4" s="330"/>
      <c r="X4" s="330"/>
      <c r="Y4" s="330"/>
      <c r="Z4" s="331"/>
    </row>
    <row r="5" spans="1:26" ht="5.0999999999999996" customHeight="1" thickTop="1" thickBot="1" x14ac:dyDescent="0.3">
      <c r="A5" s="92"/>
      <c r="B5" s="96"/>
      <c r="C5" s="81"/>
      <c r="D5" s="81"/>
      <c r="E5" s="137"/>
      <c r="F5" s="81"/>
      <c r="G5" s="83"/>
      <c r="H5" s="107"/>
      <c r="I5" s="109"/>
      <c r="J5" s="79"/>
      <c r="K5" s="168"/>
      <c r="L5" s="169"/>
      <c r="M5" s="172"/>
      <c r="N5" s="196"/>
    </row>
    <row r="6" spans="1:26"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52">
        <f>(1+H6)-1</f>
        <v>6.722222222221852E-5</v>
      </c>
      <c r="J6" s="54"/>
      <c r="K6" s="174">
        <f t="shared" ref="K6:K28" si="1">D6*(E6/360)</f>
        <v>5.5555555555555558E-5</v>
      </c>
      <c r="L6" s="170"/>
      <c r="M6" s="173"/>
      <c r="N6" s="195"/>
      <c r="O6" s="6"/>
    </row>
    <row r="7" spans="1:26"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152">
        <f t="shared" ref="I7:I28" si="2">(1+H7)*(1+I6)-1</f>
        <v>1.3694913132700215E-4</v>
      </c>
      <c r="J7" s="288">
        <f>(I6-0)*F6</f>
        <v>6722.2222222218516</v>
      </c>
      <c r="K7" s="175">
        <f t="shared" si="1"/>
        <v>5.5555555555555558E-5</v>
      </c>
      <c r="L7" s="256">
        <f t="shared" ref="L7:L29" si="3">K6*F6</f>
        <v>5555.5555555555557</v>
      </c>
      <c r="M7" s="257">
        <f>J7+L7</f>
        <v>12277.777777777406</v>
      </c>
      <c r="N7" s="277">
        <f>'2a Comp Bal int prepay'!N7</f>
        <v>12277.777777777777</v>
      </c>
      <c r="O7" s="6"/>
    </row>
    <row r="8" spans="1:26" ht="15" customHeight="1"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152">
        <f t="shared" si="2"/>
        <v>2.7919083075911288E-4</v>
      </c>
      <c r="J8" s="288">
        <f t="shared" ref="J8:J29" si="4">(I7-I6)*F7</f>
        <v>6972.6909104783626</v>
      </c>
      <c r="K8" s="175">
        <f t="shared" si="1"/>
        <v>1.1111111111111112E-4</v>
      </c>
      <c r="L8" s="256">
        <f t="shared" si="3"/>
        <v>5555.5555555555557</v>
      </c>
      <c r="M8" s="257">
        <f t="shared" ref="M8:M29" si="5">J8+L8</f>
        <v>12528.246466033917</v>
      </c>
      <c r="N8" s="277">
        <f>'2a Comp Bal int prepay'!N8</f>
        <v>12528.246466049382</v>
      </c>
      <c r="O8" s="6"/>
    </row>
    <row r="9" spans="1:26" s="2" customFormat="1" ht="15" customHeight="1" x14ac:dyDescent="0.25">
      <c r="A9" s="55">
        <f>'Loan Details'!G8</f>
        <v>43650</v>
      </c>
      <c r="B9" s="99" t="s">
        <v>54</v>
      </c>
      <c r="C9" s="127"/>
      <c r="D9" s="127"/>
      <c r="E9" s="89"/>
      <c r="F9" s="261">
        <f>'Loan Details'!L8</f>
        <v>100000000</v>
      </c>
      <c r="G9" s="56"/>
      <c r="H9" s="134">
        <f t="shared" si="0"/>
        <v>0</v>
      </c>
      <c r="I9" s="154">
        <f t="shared" si="2"/>
        <v>2.7919083075911288E-4</v>
      </c>
      <c r="J9" s="288">
        <f t="shared" si="4"/>
        <v>14224.169943211073</v>
      </c>
      <c r="K9" s="175">
        <f t="shared" si="1"/>
        <v>0</v>
      </c>
      <c r="L9" s="256">
        <f t="shared" si="3"/>
        <v>11111.111111111111</v>
      </c>
      <c r="M9" s="257">
        <f t="shared" si="5"/>
        <v>25335.281054322186</v>
      </c>
      <c r="N9" s="277">
        <f>'2a Comp Bal int prepay'!N9</f>
        <v>25335.28105431221</v>
      </c>
      <c r="O9" s="6"/>
    </row>
    <row r="10" spans="1:26"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152">
        <f t="shared" si="2"/>
        <v>4.9508442278001219E-4</v>
      </c>
      <c r="J10" s="288">
        <f t="shared" si="4"/>
        <v>0</v>
      </c>
      <c r="K10" s="175">
        <f t="shared" si="1"/>
        <v>1.6666666666666666E-4</v>
      </c>
      <c r="L10" s="256">
        <f t="shared" si="3"/>
        <v>0</v>
      </c>
      <c r="M10" s="257">
        <f t="shared" si="5"/>
        <v>0</v>
      </c>
      <c r="N10" s="278">
        <f>'2a Comp Bal int prepay'!N10</f>
        <v>0</v>
      </c>
      <c r="O10" s="6"/>
    </row>
    <row r="11" spans="1:26"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152">
        <f t="shared" si="2"/>
        <v>5.6400741748463545E-4</v>
      </c>
      <c r="J11" s="288">
        <f t="shared" si="4"/>
        <v>21589.35920208993</v>
      </c>
      <c r="K11" s="175">
        <f t="shared" si="1"/>
        <v>5.5555555555555558E-5</v>
      </c>
      <c r="L11" s="256">
        <f t="shared" si="3"/>
        <v>16666.666666666668</v>
      </c>
      <c r="M11" s="257">
        <f t="shared" si="5"/>
        <v>38256.025868756595</v>
      </c>
      <c r="N11" s="277">
        <f>'2a Comp Bal int prepay'!N11</f>
        <v>38256.025868763885</v>
      </c>
      <c r="O11" s="6"/>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152">
        <f t="shared" si="2"/>
        <v>6.3210135687818969E-4</v>
      </c>
      <c r="J12" s="288">
        <f t="shared" si="4"/>
        <v>6892.2994704623261</v>
      </c>
      <c r="K12" s="175">
        <f t="shared" si="1"/>
        <v>5.5555555555555558E-5</v>
      </c>
      <c r="L12" s="256">
        <f t="shared" si="3"/>
        <v>5555.5555555555557</v>
      </c>
      <c r="M12" s="257">
        <f t="shared" si="5"/>
        <v>12447.855026017882</v>
      </c>
      <c r="N12" s="277">
        <f>'2a Comp Bal int prepay'!N12</f>
        <v>12447.855026023597</v>
      </c>
      <c r="O12" s="6"/>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152">
        <f t="shared" si="2"/>
        <v>7.0047788380422915E-4</v>
      </c>
      <c r="J13" s="288">
        <f t="shared" si="4"/>
        <v>6809.3939393554238</v>
      </c>
      <c r="K13" s="175">
        <f t="shared" si="1"/>
        <v>5.5555555555555558E-5</v>
      </c>
      <c r="L13" s="256">
        <f t="shared" si="3"/>
        <v>5555.5555555555557</v>
      </c>
      <c r="M13" s="257">
        <f t="shared" si="5"/>
        <v>12364.949494910979</v>
      </c>
      <c r="N13" s="277">
        <f>'2a Comp Bal int prepay'!N13</f>
        <v>12364.949494924549</v>
      </c>
      <c r="O13" s="6"/>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152">
        <f t="shared" si="2"/>
        <v>7.674692213515133E-4</v>
      </c>
      <c r="J14" s="288">
        <f t="shared" si="4"/>
        <v>6837.652692603946</v>
      </c>
      <c r="K14" s="175">
        <f t="shared" si="1"/>
        <v>5.5555555555555558E-5</v>
      </c>
      <c r="L14" s="256">
        <f t="shared" si="3"/>
        <v>5555.5555555555557</v>
      </c>
      <c r="M14" s="257">
        <f t="shared" si="5"/>
        <v>12393.208248159503</v>
      </c>
      <c r="N14" s="277">
        <f>'2a Comp Bal int prepay'!N14</f>
        <v>12393.208248160892</v>
      </c>
      <c r="O14" s="6"/>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152">
        <f t="shared" si="2"/>
        <v>9.6428682363169926E-4</v>
      </c>
      <c r="J15" s="288">
        <f t="shared" si="4"/>
        <v>6699.1337547284147</v>
      </c>
      <c r="K15" s="175">
        <f t="shared" si="1"/>
        <v>1.6666666666666666E-4</v>
      </c>
      <c r="L15" s="256">
        <f t="shared" si="3"/>
        <v>5555.5555555555557</v>
      </c>
      <c r="M15" s="257">
        <f t="shared" si="5"/>
        <v>12254.689310283971</v>
      </c>
      <c r="N15" s="277">
        <f>'2a Comp Bal int prepay'!N15</f>
        <v>12254.689310277692</v>
      </c>
      <c r="O15" s="6"/>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87">
        <f>((F16-F15)/F15)*SUM(J7:J16)</f>
        <v>-9642.8682363169937</v>
      </c>
      <c r="H16" s="133">
        <f t="shared" si="0"/>
        <v>6.8333333333333332E-5</v>
      </c>
      <c r="I16" s="152">
        <f t="shared" si="2"/>
        <v>1.032686049897924E-3</v>
      </c>
      <c r="J16" s="288">
        <f t="shared" si="4"/>
        <v>19681.760228018597</v>
      </c>
      <c r="K16" s="175">
        <f t="shared" si="1"/>
        <v>5.5555555555555558E-5</v>
      </c>
      <c r="L16" s="256">
        <f t="shared" si="3"/>
        <v>16666.666666666668</v>
      </c>
      <c r="M16" s="257">
        <f t="shared" si="5"/>
        <v>36348.426894685268</v>
      </c>
      <c r="N16" s="277">
        <f>'2a Comp Bal int prepay'!N16</f>
        <v>36348.426894686585</v>
      </c>
      <c r="O16" s="6"/>
    </row>
    <row r="17" spans="1:15"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152">
        <f t="shared" si="2"/>
        <v>1.1013680147462512E-3</v>
      </c>
      <c r="J17" s="288">
        <f t="shared" si="4"/>
        <v>6155.9303639602267</v>
      </c>
      <c r="K17" s="175">
        <f t="shared" si="1"/>
        <v>5.5555555555555558E-5</v>
      </c>
      <c r="L17" s="256">
        <f t="shared" si="3"/>
        <v>5000</v>
      </c>
      <c r="M17" s="257">
        <f t="shared" si="5"/>
        <v>11155.930363960226</v>
      </c>
      <c r="N17" s="277">
        <f>'2a Comp Bal int prepay'!N17</f>
        <v>11155.930363965337</v>
      </c>
      <c r="O17" s="6"/>
    </row>
    <row r="18" spans="1:15"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152">
        <f t="shared" si="2"/>
        <v>1.1700546919404253E-3</v>
      </c>
      <c r="J18" s="288">
        <f t="shared" si="4"/>
        <v>6181.3768363494501</v>
      </c>
      <c r="K18" s="175">
        <f t="shared" si="1"/>
        <v>5.5555555555555558E-5</v>
      </c>
      <c r="L18" s="256">
        <f t="shared" si="3"/>
        <v>5000</v>
      </c>
      <c r="M18" s="257">
        <f t="shared" si="5"/>
        <v>11181.376836349449</v>
      </c>
      <c r="N18" s="277">
        <f>'2a Comp Bal int prepay'!N18</f>
        <v>11181.376836358122</v>
      </c>
      <c r="O18" s="6"/>
    </row>
    <row r="19" spans="1:15"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152">
        <f t="shared" si="2"/>
        <v>1.2384679790109487E-3</v>
      </c>
      <c r="J19" s="288">
        <f t="shared" si="4"/>
        <v>6181.8009474756682</v>
      </c>
      <c r="K19" s="175">
        <f t="shared" si="1"/>
        <v>5.5555555555555558E-5</v>
      </c>
      <c r="L19" s="256">
        <f t="shared" si="3"/>
        <v>5000</v>
      </c>
      <c r="M19" s="257">
        <f t="shared" si="5"/>
        <v>11181.800947475669</v>
      </c>
      <c r="N19" s="277">
        <f>'2a Comp Bal int prepay'!N19</f>
        <v>11181.800947491061</v>
      </c>
      <c r="O19" s="6"/>
    </row>
    <row r="20" spans="1:15"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152">
        <f t="shared" si="2"/>
        <v>1.4395500379968951E-3</v>
      </c>
      <c r="J20" s="288">
        <f t="shared" si="4"/>
        <v>6157.1958363471067</v>
      </c>
      <c r="K20" s="175">
        <f t="shared" si="1"/>
        <v>1.6666666666666666E-4</v>
      </c>
      <c r="L20" s="256">
        <f t="shared" si="3"/>
        <v>5000</v>
      </c>
      <c r="M20" s="257">
        <f t="shared" si="5"/>
        <v>11157.195836347106</v>
      </c>
      <c r="N20" s="277">
        <f>'2a Comp Bal int prepay'!N20</f>
        <v>11157.195836355437</v>
      </c>
      <c r="O20" s="6"/>
    </row>
    <row r="21" spans="1:15"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152">
        <f t="shared" si="2"/>
        <v>1.5063126746661659E-3</v>
      </c>
      <c r="J21" s="288">
        <f t="shared" si="4"/>
        <v>18097.385308735171</v>
      </c>
      <c r="K21" s="175">
        <f t="shared" si="1"/>
        <v>5.5555555555555558E-5</v>
      </c>
      <c r="L21" s="256">
        <f t="shared" si="3"/>
        <v>15000</v>
      </c>
      <c r="M21" s="257">
        <f t="shared" si="5"/>
        <v>33097.385308735174</v>
      </c>
      <c r="N21" s="277">
        <f>'2a Comp Bal int prepay'!N21</f>
        <v>33097.385308720637</v>
      </c>
      <c r="O21" s="6"/>
    </row>
    <row r="22" spans="1:15"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152">
        <f t="shared" si="2"/>
        <v>1.5730797621777981E-3</v>
      </c>
      <c r="J22" s="288">
        <f t="shared" si="4"/>
        <v>6008.6373002343762</v>
      </c>
      <c r="K22" s="175">
        <f t="shared" si="1"/>
        <v>5.5555555555555558E-5</v>
      </c>
      <c r="L22" s="256">
        <f t="shared" si="3"/>
        <v>5000</v>
      </c>
      <c r="M22" s="257">
        <f t="shared" si="5"/>
        <v>11008.637300234375</v>
      </c>
      <c r="N22" s="277">
        <f>'2a Comp Bal int prepay'!N22</f>
        <v>11008.637300227985</v>
      </c>
      <c r="O22" s="6"/>
    </row>
    <row r="23" spans="1:15"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152">
        <f t="shared" si="2"/>
        <v>1.6401295155730189E-3</v>
      </c>
      <c r="J23" s="288">
        <f t="shared" si="4"/>
        <v>6009.0378760468966</v>
      </c>
      <c r="K23" s="175">
        <f t="shared" si="1"/>
        <v>5.5555555555555558E-5</v>
      </c>
      <c r="L23" s="256">
        <f t="shared" si="3"/>
        <v>5000</v>
      </c>
      <c r="M23" s="257">
        <f t="shared" si="5"/>
        <v>11009.037876046896</v>
      </c>
      <c r="N23" s="277">
        <f>'2a Comp Bal int prepay'!N23</f>
        <v>11009.037876048</v>
      </c>
      <c r="O23" s="6"/>
    </row>
    <row r="24" spans="1:15"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152">
        <f t="shared" si="2"/>
        <v>1.7074619909460687E-3</v>
      </c>
      <c r="J24" s="288">
        <f t="shared" si="4"/>
        <v>6034.4778055698707</v>
      </c>
      <c r="K24" s="175">
        <f t="shared" si="1"/>
        <v>5.5555555555555558E-5</v>
      </c>
      <c r="L24" s="256">
        <f t="shared" si="3"/>
        <v>5000</v>
      </c>
      <c r="M24" s="257">
        <f t="shared" si="5"/>
        <v>11034.47780556987</v>
      </c>
      <c r="N24" s="277">
        <f>'2a Comp Bal int prepay'!N24</f>
        <v>11034.477805567125</v>
      </c>
      <c r="O24" s="6"/>
    </row>
    <row r="25" spans="1:15"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152">
        <f t="shared" si="2"/>
        <v>1.9086382395627766E-3</v>
      </c>
      <c r="J25" s="288">
        <f t="shared" si="4"/>
        <v>6059.9227835744787</v>
      </c>
      <c r="K25" s="175">
        <f t="shared" si="1"/>
        <v>1.6666666666666666E-4</v>
      </c>
      <c r="L25" s="256">
        <f t="shared" si="3"/>
        <v>5000</v>
      </c>
      <c r="M25" s="257">
        <f t="shared" si="5"/>
        <v>11059.922783574479</v>
      </c>
      <c r="N25" s="277">
        <f>'2a Comp Bal int prepay'!N25</f>
        <v>11059.92278356922</v>
      </c>
      <c r="O25" s="6"/>
    </row>
    <row r="26" spans="1:15"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152">
        <f t="shared" si="2"/>
        <v>1.9754321487788218E-3</v>
      </c>
      <c r="J26" s="288">
        <f t="shared" si="4"/>
        <v>18105.862375503712</v>
      </c>
      <c r="K26" s="175">
        <f t="shared" si="1"/>
        <v>5.5555555555555558E-5</v>
      </c>
      <c r="L26" s="256">
        <f t="shared" si="3"/>
        <v>15000</v>
      </c>
      <c r="M26" s="257">
        <f t="shared" si="5"/>
        <v>33105.862375503712</v>
      </c>
      <c r="N26" s="277">
        <f>'2a Comp Bal int prepay'!N26</f>
        <v>33105.862375486358</v>
      </c>
      <c r="O26" s="6"/>
    </row>
    <row r="27" spans="1:15"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152">
        <f t="shared" si="2"/>
        <v>2.041952184413276E-3</v>
      </c>
      <c r="J27" s="288">
        <f t="shared" si="4"/>
        <v>6011.4518294440695</v>
      </c>
      <c r="K27" s="175">
        <f t="shared" si="1"/>
        <v>5.5555555555555558E-5</v>
      </c>
      <c r="L27" s="256">
        <f t="shared" si="3"/>
        <v>5000</v>
      </c>
      <c r="M27" s="257">
        <f t="shared" si="5"/>
        <v>11011.45182944407</v>
      </c>
      <c r="N27" s="277">
        <f>'2a Comp Bal int prepay'!N27</f>
        <v>11011.451829437377</v>
      </c>
      <c r="O27" s="6"/>
    </row>
    <row r="28" spans="1:15"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152">
        <f t="shared" si="2"/>
        <v>2.1129301560263158E-3</v>
      </c>
      <c r="J28" s="288">
        <f t="shared" si="4"/>
        <v>5986.8032071008765</v>
      </c>
      <c r="K28" s="175">
        <f t="shared" si="1"/>
        <v>5.5555555555555558E-5</v>
      </c>
      <c r="L28" s="256">
        <f t="shared" si="3"/>
        <v>5000</v>
      </c>
      <c r="M28" s="257">
        <f t="shared" si="5"/>
        <v>10986.803207100877</v>
      </c>
      <c r="N28" s="277">
        <f>'2a Comp Bal int prepay'!N28</f>
        <v>10986.803207088953</v>
      </c>
      <c r="O28" s="6"/>
    </row>
    <row r="29" spans="1:15" ht="15.75" thickBot="1" x14ac:dyDescent="0.3">
      <c r="A29" s="67">
        <f>A28+1</f>
        <v>43678</v>
      </c>
      <c r="B29" s="100" t="s">
        <v>54</v>
      </c>
      <c r="C29" s="100" t="s">
        <v>54</v>
      </c>
      <c r="D29" s="100" t="s">
        <v>54</v>
      </c>
      <c r="E29" s="100" t="s">
        <v>54</v>
      </c>
      <c r="F29" s="93">
        <f>'Loan Details'!L28</f>
        <v>0</v>
      </c>
      <c r="G29" s="70">
        <f>'Loan Details'!N28</f>
        <v>0</v>
      </c>
      <c r="H29" s="100" t="s">
        <v>54</v>
      </c>
      <c r="I29" s="157" t="s">
        <v>54</v>
      </c>
      <c r="J29" s="288">
        <f t="shared" si="4"/>
        <v>6388.0174451735884</v>
      </c>
      <c r="K29" s="171" t="s">
        <v>54</v>
      </c>
      <c r="L29" s="259">
        <f t="shared" si="3"/>
        <v>5000</v>
      </c>
      <c r="M29" s="257">
        <f t="shared" si="5"/>
        <v>11388.017445173587</v>
      </c>
      <c r="N29" s="281">
        <f>'2a Comp Bal int prepay'!N29</f>
        <v>11388.017445175634</v>
      </c>
    </row>
    <row r="30" spans="1:15" ht="15.75" customHeight="1" x14ac:dyDescent="0.25">
      <c r="F30" s="101"/>
      <c r="H30" s="191"/>
      <c r="I30" s="192"/>
      <c r="J30" s="193"/>
      <c r="K30" s="375" t="s">
        <v>95</v>
      </c>
      <c r="L30" s="376"/>
      <c r="M30" s="379">
        <f>SUM(M7:M29)</f>
        <v>362584.36005646334</v>
      </c>
      <c r="N30" s="385">
        <f>'2a Comp Bal int prepay'!N30</f>
        <v>362584.36005646788</v>
      </c>
      <c r="O30" s="71">
        <f>SUM(O7:O29)</f>
        <v>0</v>
      </c>
    </row>
    <row r="31" spans="1:15" ht="30" customHeight="1" thickBot="1" x14ac:dyDescent="0.3">
      <c r="G31" s="29"/>
      <c r="H31" s="188"/>
      <c r="I31" s="189"/>
      <c r="J31" s="190"/>
      <c r="K31" s="377"/>
      <c r="L31" s="378"/>
      <c r="M31" s="380"/>
      <c r="N31" s="386"/>
    </row>
    <row r="32" spans="1:15" x14ac:dyDescent="0.25">
      <c r="G32" s="29"/>
      <c r="J32" s="6"/>
    </row>
    <row r="33" spans="7:7" x14ac:dyDescent="0.25">
      <c r="G33" s="29"/>
    </row>
    <row r="34" spans="7:7" x14ac:dyDescent="0.25">
      <c r="G34" s="29"/>
    </row>
  </sheetData>
  <sheetProtection algorithmName="SHA-512" hashValue="vZDEZu8w097r/IhxiYZ7S0qCb8hVA/5X/ps64xQpZ//9y6qnoNDtbOiR41IRyIx9W2vOzsu0GpNOpEVQkwU2tQ==" saltValue="pLfZbGlg96b9u0PHJpWIFg==" spinCount="100000" sheet="1" objects="1" scenarios="1"/>
  <mergeCells count="12">
    <mergeCell ref="A1:H1"/>
    <mergeCell ref="K1:L1"/>
    <mergeCell ref="I1:J1"/>
    <mergeCell ref="N3:N4"/>
    <mergeCell ref="B3:B4"/>
    <mergeCell ref="E3:E4"/>
    <mergeCell ref="G3:G4"/>
    <mergeCell ref="P1:Z4"/>
    <mergeCell ref="N30:N31"/>
    <mergeCell ref="M3:M4"/>
    <mergeCell ref="K30:L31"/>
    <mergeCell ref="M30:M3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34"/>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30" bestFit="1" customWidth="1"/>
    <col min="9" max="9" width="23.7109375" style="19" customWidth="1"/>
    <col min="10" max="10" width="22.7109375" customWidth="1"/>
    <col min="11" max="11" width="14.42578125" customWidth="1"/>
    <col min="12" max="12" width="12.42578125" customWidth="1"/>
    <col min="13" max="13" width="12.28515625" bestFit="1" customWidth="1"/>
    <col min="14" max="14" width="13.5703125" style="197" customWidth="1"/>
  </cols>
  <sheetData>
    <row r="1" spans="1:26" s="176" customFormat="1" ht="19.5" thickTop="1" x14ac:dyDescent="0.3">
      <c r="A1" s="371" t="s">
        <v>72</v>
      </c>
      <c r="B1" s="372"/>
      <c r="C1" s="372"/>
      <c r="D1" s="372"/>
      <c r="E1" s="372"/>
      <c r="F1" s="372"/>
      <c r="G1" s="372"/>
      <c r="H1" s="372"/>
      <c r="I1" s="397" t="s">
        <v>73</v>
      </c>
      <c r="J1" s="398"/>
      <c r="K1" s="374" t="s">
        <v>77</v>
      </c>
      <c r="L1" s="374"/>
      <c r="M1" s="180"/>
      <c r="N1" s="194"/>
      <c r="P1" s="323" t="s">
        <v>97</v>
      </c>
      <c r="Q1" s="324"/>
      <c r="R1" s="324"/>
      <c r="S1" s="324"/>
      <c r="T1" s="324"/>
      <c r="U1" s="324"/>
      <c r="V1" s="324"/>
      <c r="W1" s="324"/>
      <c r="X1" s="324"/>
      <c r="Y1" s="324"/>
      <c r="Z1" s="325"/>
    </row>
    <row r="2" spans="1:26" ht="5.0999999999999996" customHeight="1" x14ac:dyDescent="0.25">
      <c r="A2" s="59"/>
      <c r="B2" s="95"/>
      <c r="C2" s="80"/>
      <c r="D2" s="80"/>
      <c r="E2" s="138"/>
      <c r="F2" s="80"/>
      <c r="G2" s="82"/>
      <c r="H2" s="106"/>
      <c r="I2" s="108"/>
      <c r="J2" s="78"/>
      <c r="K2" s="177"/>
      <c r="L2" s="178"/>
      <c r="M2" s="179"/>
      <c r="N2" s="195"/>
      <c r="P2" s="326"/>
      <c r="Q2" s="327"/>
      <c r="R2" s="327"/>
      <c r="S2" s="327"/>
      <c r="T2" s="327"/>
      <c r="U2" s="327"/>
      <c r="V2" s="327"/>
      <c r="W2" s="327"/>
      <c r="X2" s="327"/>
      <c r="Y2" s="327"/>
      <c r="Z2" s="328"/>
    </row>
    <row r="3" spans="1:26" ht="51.95" customHeight="1" x14ac:dyDescent="0.35">
      <c r="A3" s="59"/>
      <c r="B3" s="381" t="s">
        <v>96</v>
      </c>
      <c r="C3" s="80"/>
      <c r="D3" s="80"/>
      <c r="E3" s="382" t="s">
        <v>59</v>
      </c>
      <c r="F3" s="80"/>
      <c r="G3" s="383" t="s">
        <v>69</v>
      </c>
      <c r="H3" s="106" t="s">
        <v>57</v>
      </c>
      <c r="I3" s="108" t="s">
        <v>68</v>
      </c>
      <c r="J3" s="78" t="s">
        <v>70</v>
      </c>
      <c r="K3" s="164" t="s">
        <v>74</v>
      </c>
      <c r="L3" s="165" t="s">
        <v>75</v>
      </c>
      <c r="M3" s="370" t="s">
        <v>76</v>
      </c>
      <c r="N3" s="384" t="s">
        <v>82</v>
      </c>
      <c r="P3" s="326"/>
      <c r="Q3" s="327"/>
      <c r="R3" s="327"/>
      <c r="S3" s="327"/>
      <c r="T3" s="327"/>
      <c r="U3" s="327"/>
      <c r="V3" s="327"/>
      <c r="W3" s="327"/>
      <c r="X3" s="327"/>
      <c r="Y3" s="327"/>
      <c r="Z3" s="328"/>
    </row>
    <row r="4" spans="1:26" ht="32.1" customHeight="1" thickBot="1" x14ac:dyDescent="0.4">
      <c r="A4" s="204" t="s">
        <v>94</v>
      </c>
      <c r="B4" s="381"/>
      <c r="C4" s="80" t="s">
        <v>60</v>
      </c>
      <c r="D4" s="80" t="s">
        <v>78</v>
      </c>
      <c r="E4" s="382"/>
      <c r="F4" s="80" t="s">
        <v>71</v>
      </c>
      <c r="G4" s="383"/>
      <c r="H4" s="139"/>
      <c r="I4" s="108"/>
      <c r="J4" s="78"/>
      <c r="K4" s="166"/>
      <c r="L4" s="167"/>
      <c r="M4" s="370"/>
      <c r="N4" s="384"/>
      <c r="P4" s="329"/>
      <c r="Q4" s="330"/>
      <c r="R4" s="330"/>
      <c r="S4" s="330"/>
      <c r="T4" s="330"/>
      <c r="U4" s="330"/>
      <c r="V4" s="330"/>
      <c r="W4" s="330"/>
      <c r="X4" s="330"/>
      <c r="Y4" s="330"/>
      <c r="Z4" s="331"/>
    </row>
    <row r="5" spans="1:26" ht="5.0999999999999996" customHeight="1" thickTop="1" thickBot="1" x14ac:dyDescent="0.3">
      <c r="A5" s="92"/>
      <c r="B5" s="96"/>
      <c r="C5" s="81"/>
      <c r="D5" s="81"/>
      <c r="E5" s="137"/>
      <c r="F5" s="81"/>
      <c r="G5" s="83"/>
      <c r="H5" s="107"/>
      <c r="I5" s="109"/>
      <c r="J5" s="79"/>
      <c r="K5" s="168"/>
      <c r="L5" s="169"/>
      <c r="M5" s="172"/>
      <c r="N5" s="196"/>
    </row>
    <row r="6" spans="1:26"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52">
        <f>(1+H6)-1</f>
        <v>6.722222222221852E-5</v>
      </c>
      <c r="J6" s="158"/>
      <c r="K6" s="174">
        <f t="shared" ref="K6:K28" si="1">D6*(E6/360)</f>
        <v>5.5555555555555558E-5</v>
      </c>
      <c r="L6" s="170"/>
      <c r="M6" s="173"/>
      <c r="N6" s="195"/>
    </row>
    <row r="7" spans="1:26" ht="15" customHeight="1"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152">
        <f t="shared" ref="I7:I28" si="2">(1+H7)*(1+I6)-1</f>
        <v>1.3694913132700215E-4</v>
      </c>
      <c r="J7" s="288">
        <f>(I6-0)*F6</f>
        <v>6722.2222222218516</v>
      </c>
      <c r="K7" s="175">
        <f t="shared" si="1"/>
        <v>5.5555555555555558E-5</v>
      </c>
      <c r="L7" s="256">
        <f t="shared" ref="L7:L29" si="3">K6*F6</f>
        <v>5555.5555555555557</v>
      </c>
      <c r="M7" s="257">
        <f>J7+L7</f>
        <v>12277.777777777406</v>
      </c>
      <c r="N7" s="277">
        <f>'2b Comp Bal NO int prepay'!N7</f>
        <v>12277.777777777777</v>
      </c>
    </row>
    <row r="8" spans="1:26"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152">
        <f t="shared" si="2"/>
        <v>2.7919083075911288E-4</v>
      </c>
      <c r="J8" s="288">
        <f t="shared" ref="J8:J29" si="4">(I7-I6)*F7</f>
        <v>6972.6909104783626</v>
      </c>
      <c r="K8" s="175">
        <f t="shared" si="1"/>
        <v>1.1111111111111112E-4</v>
      </c>
      <c r="L8" s="256">
        <f t="shared" si="3"/>
        <v>5555.5555555555557</v>
      </c>
      <c r="M8" s="257">
        <f t="shared" ref="M8:M29" si="5">J8+L8</f>
        <v>12528.246466033917</v>
      </c>
      <c r="N8" s="277">
        <f>'2b Comp Bal NO int prepay'!N8</f>
        <v>12528.246466049382</v>
      </c>
    </row>
    <row r="9" spans="1:26" s="2" customFormat="1" x14ac:dyDescent="0.25">
      <c r="A9" s="55">
        <f>'Loan Details'!G8</f>
        <v>43650</v>
      </c>
      <c r="B9" s="99" t="s">
        <v>54</v>
      </c>
      <c r="C9" s="127"/>
      <c r="D9" s="127"/>
      <c r="E9" s="89"/>
      <c r="F9" s="261">
        <f>'Loan Details'!L8</f>
        <v>100000000</v>
      </c>
      <c r="G9" s="56"/>
      <c r="H9" s="134">
        <f t="shared" si="0"/>
        <v>0</v>
      </c>
      <c r="I9" s="154">
        <f t="shared" si="2"/>
        <v>2.7919083075911288E-4</v>
      </c>
      <c r="J9" s="288">
        <f t="shared" si="4"/>
        <v>14224.169943211073</v>
      </c>
      <c r="K9" s="175">
        <f t="shared" si="1"/>
        <v>0</v>
      </c>
      <c r="L9" s="256">
        <f t="shared" si="3"/>
        <v>11111.111111111111</v>
      </c>
      <c r="M9" s="257">
        <f t="shared" si="5"/>
        <v>25335.281054322186</v>
      </c>
      <c r="N9" s="277">
        <f>'2b Comp Bal NO int prepay'!N9</f>
        <v>25335.28105431221</v>
      </c>
    </row>
    <row r="10" spans="1:26"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152">
        <f t="shared" si="2"/>
        <v>4.9508442278001219E-4</v>
      </c>
      <c r="J10" s="288">
        <f t="shared" si="4"/>
        <v>0</v>
      </c>
      <c r="K10" s="175">
        <f t="shared" si="1"/>
        <v>1.6666666666666666E-4</v>
      </c>
      <c r="L10" s="256">
        <f t="shared" si="3"/>
        <v>0</v>
      </c>
      <c r="M10" s="257">
        <f t="shared" si="5"/>
        <v>0</v>
      </c>
      <c r="N10" s="278">
        <f>'2b Comp Bal NO int prepay'!N10</f>
        <v>0</v>
      </c>
    </row>
    <row r="11" spans="1:26"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152">
        <f t="shared" si="2"/>
        <v>5.6400741748463545E-4</v>
      </c>
      <c r="J11" s="288">
        <f t="shared" si="4"/>
        <v>21589.35920208993</v>
      </c>
      <c r="K11" s="175">
        <f t="shared" si="1"/>
        <v>5.5555555555555558E-5</v>
      </c>
      <c r="L11" s="256">
        <f t="shared" si="3"/>
        <v>16666.666666666668</v>
      </c>
      <c r="M11" s="257">
        <f t="shared" si="5"/>
        <v>38256.025868756595</v>
      </c>
      <c r="N11" s="277">
        <f>'2b Comp Bal NO int prepay'!N11</f>
        <v>38256.025868763885</v>
      </c>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152">
        <f t="shared" si="2"/>
        <v>6.3210135687818969E-4</v>
      </c>
      <c r="J12" s="288">
        <f t="shared" si="4"/>
        <v>6892.2994704623261</v>
      </c>
      <c r="K12" s="175">
        <f t="shared" si="1"/>
        <v>5.5555555555555558E-5</v>
      </c>
      <c r="L12" s="256">
        <f t="shared" si="3"/>
        <v>5555.5555555555557</v>
      </c>
      <c r="M12" s="257">
        <f t="shared" si="5"/>
        <v>12447.855026017882</v>
      </c>
      <c r="N12" s="277">
        <f>'2b Comp Bal NO int prepay'!N12</f>
        <v>12447.855026023597</v>
      </c>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152">
        <f t="shared" si="2"/>
        <v>7.0047788380422915E-4</v>
      </c>
      <c r="J13" s="288">
        <f t="shared" si="4"/>
        <v>6809.3939393554238</v>
      </c>
      <c r="K13" s="175">
        <f t="shared" si="1"/>
        <v>5.5555555555555558E-5</v>
      </c>
      <c r="L13" s="256">
        <f t="shared" si="3"/>
        <v>5555.5555555555557</v>
      </c>
      <c r="M13" s="257">
        <f t="shared" si="5"/>
        <v>12364.949494910979</v>
      </c>
      <c r="N13" s="277">
        <f>'2b Comp Bal NO int prepay'!N13</f>
        <v>12364.949494924549</v>
      </c>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152">
        <f t="shared" si="2"/>
        <v>7.674692213515133E-4</v>
      </c>
      <c r="J14" s="288">
        <f t="shared" si="4"/>
        <v>6837.652692603946</v>
      </c>
      <c r="K14" s="175">
        <f t="shared" si="1"/>
        <v>5.5555555555555558E-5</v>
      </c>
      <c r="L14" s="256">
        <f t="shared" si="3"/>
        <v>5555.5555555555557</v>
      </c>
      <c r="M14" s="257">
        <f t="shared" si="5"/>
        <v>12393.208248159503</v>
      </c>
      <c r="N14" s="277">
        <f>'2b Comp Bal NO int prepay'!N14</f>
        <v>12393.208248160892</v>
      </c>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152">
        <f t="shared" si="2"/>
        <v>9.6428682363169926E-4</v>
      </c>
      <c r="J15" s="288">
        <f t="shared" si="4"/>
        <v>6699.1337547284147</v>
      </c>
      <c r="K15" s="175">
        <f t="shared" si="1"/>
        <v>1.6666666666666666E-4</v>
      </c>
      <c r="L15" s="256">
        <f t="shared" si="3"/>
        <v>5555.5555555555557</v>
      </c>
      <c r="M15" s="257">
        <f t="shared" si="5"/>
        <v>12254.689310283971</v>
      </c>
      <c r="N15" s="277">
        <f>'2b Comp Bal NO int prepay'!N15</f>
        <v>12254.689310277692</v>
      </c>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4"/>
      <c r="H16" s="133">
        <f t="shared" si="0"/>
        <v>6.8333333333333332E-5</v>
      </c>
      <c r="I16" s="152">
        <f t="shared" si="2"/>
        <v>1.032686049897924E-3</v>
      </c>
      <c r="J16" s="288">
        <f t="shared" si="4"/>
        <v>19681.760228018597</v>
      </c>
      <c r="K16" s="175">
        <f t="shared" si="1"/>
        <v>5.5555555555555558E-5</v>
      </c>
      <c r="L16" s="256">
        <f t="shared" si="3"/>
        <v>16666.666666666668</v>
      </c>
      <c r="M16" s="257">
        <f t="shared" si="5"/>
        <v>36348.426894685268</v>
      </c>
      <c r="N16" s="277">
        <f>'2b Comp Bal NO int prepay'!N16</f>
        <v>36348.426894686585</v>
      </c>
    </row>
    <row r="17" spans="1:14"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152">
        <f t="shared" si="2"/>
        <v>1.1013680147462512E-3</v>
      </c>
      <c r="J17" s="288">
        <f t="shared" si="4"/>
        <v>6155.9303639602267</v>
      </c>
      <c r="K17" s="175">
        <f t="shared" si="1"/>
        <v>5.5555555555555558E-5</v>
      </c>
      <c r="L17" s="256">
        <f t="shared" si="3"/>
        <v>5000</v>
      </c>
      <c r="M17" s="279">
        <f t="shared" si="5"/>
        <v>11155.930363960226</v>
      </c>
      <c r="N17" s="290">
        <f>'2b Comp Bal NO int prepay'!N17</f>
        <v>11156.589293294819</v>
      </c>
    </row>
    <row r="18" spans="1:14"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152">
        <f t="shared" si="2"/>
        <v>1.1700546919404253E-3</v>
      </c>
      <c r="J18" s="288">
        <f t="shared" si="4"/>
        <v>6181.3768363494501</v>
      </c>
      <c r="K18" s="175">
        <f t="shared" si="1"/>
        <v>5.5555555555555558E-5</v>
      </c>
      <c r="L18" s="256">
        <f t="shared" si="3"/>
        <v>5000</v>
      </c>
      <c r="M18" s="279">
        <f t="shared" si="5"/>
        <v>11181.376836349449</v>
      </c>
      <c r="N18" s="290">
        <f>'2b Comp Bal NO int prepay'!N18</f>
        <v>11182.03848947199</v>
      </c>
    </row>
    <row r="19" spans="1:14"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152">
        <f t="shared" si="2"/>
        <v>1.2384679790109487E-3</v>
      </c>
      <c r="J19" s="288">
        <f t="shared" si="4"/>
        <v>6181.8009474756682</v>
      </c>
      <c r="K19" s="175">
        <f t="shared" si="1"/>
        <v>5.5555555555555558E-5</v>
      </c>
      <c r="L19" s="256">
        <f t="shared" si="3"/>
        <v>5000</v>
      </c>
      <c r="M19" s="279">
        <f t="shared" si="5"/>
        <v>11181.800947475669</v>
      </c>
      <c r="N19" s="290">
        <f>'2b Comp Bal NO int prepay'!N19</f>
        <v>11182.462646001683</v>
      </c>
    </row>
    <row r="20" spans="1:14"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152">
        <f t="shared" si="2"/>
        <v>1.4395500379968951E-3</v>
      </c>
      <c r="J20" s="288">
        <f t="shared" si="4"/>
        <v>6157.1958363471067</v>
      </c>
      <c r="K20" s="175">
        <f t="shared" si="1"/>
        <v>1.6666666666666666E-4</v>
      </c>
      <c r="L20" s="256">
        <f t="shared" si="3"/>
        <v>5000</v>
      </c>
      <c r="M20" s="279">
        <f t="shared" si="5"/>
        <v>11157.195836347106</v>
      </c>
      <c r="N20" s="290">
        <f>'2b Comp Bal NO int prepay'!N20</f>
        <v>11157.854901140785</v>
      </c>
    </row>
    <row r="21" spans="1:14"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152">
        <f t="shared" si="2"/>
        <v>1.5063126746661659E-3</v>
      </c>
      <c r="J21" s="288">
        <f t="shared" si="4"/>
        <v>18097.385308735171</v>
      </c>
      <c r="K21" s="175">
        <f t="shared" si="1"/>
        <v>5.5555555555555558E-5</v>
      </c>
      <c r="L21" s="256">
        <f t="shared" si="3"/>
        <v>15000</v>
      </c>
      <c r="M21" s="279">
        <f t="shared" si="5"/>
        <v>33097.385308735174</v>
      </c>
      <c r="N21" s="290">
        <f>'2b Comp Bal NO int prepay'!N21</f>
        <v>33099.322448561696</v>
      </c>
    </row>
    <row r="22" spans="1:14"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152">
        <f t="shared" si="2"/>
        <v>1.5730797621777981E-3</v>
      </c>
      <c r="J22" s="288">
        <f t="shared" si="4"/>
        <v>6008.6373002343762</v>
      </c>
      <c r="K22" s="175">
        <f t="shared" si="1"/>
        <v>5.5555555555555558E-5</v>
      </c>
      <c r="L22" s="256">
        <f t="shared" si="3"/>
        <v>5000</v>
      </c>
      <c r="M22" s="279">
        <f t="shared" si="5"/>
        <v>11008.637300234375</v>
      </c>
      <c r="N22" s="290">
        <f>'2b Comp Bal NO int prepay'!N22</f>
        <v>11009.280463342779</v>
      </c>
    </row>
    <row r="23" spans="1:14"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152">
        <f t="shared" si="2"/>
        <v>1.6401295155730189E-3</v>
      </c>
      <c r="J23" s="288">
        <f t="shared" si="4"/>
        <v>6009.0378760468966</v>
      </c>
      <c r="K23" s="175">
        <f t="shared" si="1"/>
        <v>5.5555555555555558E-5</v>
      </c>
      <c r="L23" s="256">
        <f t="shared" si="3"/>
        <v>5000</v>
      </c>
      <c r="M23" s="279">
        <f t="shared" si="5"/>
        <v>11009.037876046896</v>
      </c>
      <c r="N23" s="290">
        <f>'2b Comp Bal NO int prepay'!N23</f>
        <v>11009.681082040333</v>
      </c>
    </row>
    <row r="24" spans="1:14"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152">
        <f t="shared" si="2"/>
        <v>1.7074619909460687E-3</v>
      </c>
      <c r="J24" s="288">
        <f t="shared" si="4"/>
        <v>6034.4778055698707</v>
      </c>
      <c r="K24" s="175">
        <f t="shared" si="1"/>
        <v>5.5555555555555558E-5</v>
      </c>
      <c r="L24" s="256">
        <f t="shared" si="3"/>
        <v>5000</v>
      </c>
      <c r="M24" s="279">
        <f t="shared" si="5"/>
        <v>11034.47780556987</v>
      </c>
      <c r="N24" s="290">
        <f>'2b Comp Bal NO int prepay'!N24</f>
        <v>11035.123734643494</v>
      </c>
    </row>
    <row r="25" spans="1:14"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152">
        <f t="shared" si="2"/>
        <v>1.9086382395627766E-3</v>
      </c>
      <c r="J25" s="288">
        <f t="shared" si="4"/>
        <v>6059.9227835744787</v>
      </c>
      <c r="K25" s="175">
        <f t="shared" si="1"/>
        <v>1.6666666666666666E-4</v>
      </c>
      <c r="L25" s="256">
        <f t="shared" si="3"/>
        <v>5000</v>
      </c>
      <c r="M25" s="279">
        <f t="shared" si="5"/>
        <v>11059.922783574479</v>
      </c>
      <c r="N25" s="290">
        <f>'2b Comp Bal NO int prepay'!N25</f>
        <v>11060.571436270013</v>
      </c>
    </row>
    <row r="26" spans="1:14"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152">
        <f t="shared" si="2"/>
        <v>1.9754321487788218E-3</v>
      </c>
      <c r="J26" s="288">
        <f t="shared" si="4"/>
        <v>18105.862375503712</v>
      </c>
      <c r="K26" s="175">
        <f t="shared" si="1"/>
        <v>5.5555555555555558E-5</v>
      </c>
      <c r="L26" s="256">
        <f t="shared" si="3"/>
        <v>15000</v>
      </c>
      <c r="M26" s="279">
        <f t="shared" si="5"/>
        <v>33105.862375503712</v>
      </c>
      <c r="N26" s="290">
        <f>'2b Comp Bal NO int prepay'!N26</f>
        <v>33107.800422710643</v>
      </c>
    </row>
    <row r="27" spans="1:14"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152">
        <f t="shared" si="2"/>
        <v>2.041952184413276E-3</v>
      </c>
      <c r="J27" s="288">
        <f t="shared" si="4"/>
        <v>6011.4518294440695</v>
      </c>
      <c r="K27" s="175">
        <f t="shared" si="1"/>
        <v>5.5555555555555558E-5</v>
      </c>
      <c r="L27" s="256">
        <f t="shared" si="3"/>
        <v>5000</v>
      </c>
      <c r="M27" s="279">
        <f t="shared" si="5"/>
        <v>11011.45182944407</v>
      </c>
      <c r="N27" s="290">
        <f>'2b Comp Bal NO int prepay'!N27</f>
        <v>11012.095293818713</v>
      </c>
    </row>
    <row r="28" spans="1:14"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152">
        <f t="shared" si="2"/>
        <v>2.1129301560263158E-3</v>
      </c>
      <c r="J28" s="288">
        <f t="shared" si="4"/>
        <v>5986.8032071008765</v>
      </c>
      <c r="K28" s="175">
        <f t="shared" si="1"/>
        <v>5.5555555555555558E-5</v>
      </c>
      <c r="L28" s="256">
        <f t="shared" si="3"/>
        <v>5000</v>
      </c>
      <c r="M28" s="279">
        <f t="shared" si="5"/>
        <v>10986.803207100877</v>
      </c>
      <c r="N28" s="290">
        <f>'2b Comp Bal NO int prepay'!N28</f>
        <v>10987.444033087584</v>
      </c>
    </row>
    <row r="29" spans="1:14" ht="15.75" thickBot="1" x14ac:dyDescent="0.3">
      <c r="A29" s="67">
        <f>A28+1</f>
        <v>43678</v>
      </c>
      <c r="B29" s="100" t="s">
        <v>54</v>
      </c>
      <c r="C29" s="100" t="s">
        <v>54</v>
      </c>
      <c r="D29" s="100" t="s">
        <v>54</v>
      </c>
      <c r="E29" s="100" t="s">
        <v>54</v>
      </c>
      <c r="F29" s="93">
        <f>'Loan Details'!L28</f>
        <v>0</v>
      </c>
      <c r="G29" s="70">
        <f>'Loan Details'!N28</f>
        <v>0</v>
      </c>
      <c r="H29" s="131" t="s">
        <v>54</v>
      </c>
      <c r="I29" s="159"/>
      <c r="J29" s="289">
        <f t="shared" si="4"/>
        <v>6388.0174451735884</v>
      </c>
      <c r="K29" s="171" t="s">
        <v>54</v>
      </c>
      <c r="L29" s="259">
        <f t="shared" si="3"/>
        <v>5000</v>
      </c>
      <c r="M29" s="279">
        <f t="shared" si="5"/>
        <v>11388.017445173587</v>
      </c>
      <c r="N29" s="290">
        <f>'2b Comp Bal NO int prepay'!N29</f>
        <v>11388.70121705137</v>
      </c>
    </row>
    <row r="30" spans="1:14" x14ac:dyDescent="0.25">
      <c r="F30" s="101"/>
      <c r="H30" s="191"/>
      <c r="I30" s="192"/>
      <c r="J30" s="193"/>
      <c r="K30" s="388" t="s">
        <v>95</v>
      </c>
      <c r="L30" s="389"/>
      <c r="M30" s="392">
        <f>SUM(M7:M29)</f>
        <v>362584.36005646334</v>
      </c>
      <c r="N30" s="387">
        <f>'2b Comp Bal NO int prepay'!N30</f>
        <v>362595.42560241255</v>
      </c>
    </row>
    <row r="31" spans="1:14" ht="27" customHeight="1" x14ac:dyDescent="0.25">
      <c r="E31" s="136"/>
      <c r="G31" s="29"/>
      <c r="H31" s="188"/>
      <c r="I31" s="189"/>
      <c r="J31" s="190"/>
      <c r="K31" s="390"/>
      <c r="L31" s="391"/>
      <c r="M31" s="393"/>
      <c r="N31" s="387"/>
    </row>
    <row r="32" spans="1:14" x14ac:dyDescent="0.25">
      <c r="J32" s="6"/>
      <c r="K32" s="198" t="s">
        <v>86</v>
      </c>
      <c r="L32" s="203"/>
      <c r="M32" s="282"/>
      <c r="N32" s="283"/>
    </row>
    <row r="33" spans="11:14" x14ac:dyDescent="0.25">
      <c r="K33" s="198" t="s">
        <v>83</v>
      </c>
      <c r="L33" s="199"/>
      <c r="M33" s="284">
        <f>N30-M30</f>
        <v>11.06554594921181</v>
      </c>
      <c r="N33" s="283"/>
    </row>
    <row r="34" spans="11:14" ht="15.75" thickBot="1" x14ac:dyDescent="0.3">
      <c r="K34" s="200" t="s">
        <v>85</v>
      </c>
      <c r="L34" s="201"/>
      <c r="M34" s="285">
        <f>M33</f>
        <v>11.06554594921181</v>
      </c>
      <c r="N34" s="286"/>
    </row>
  </sheetData>
  <sheetProtection algorithmName="SHA-512" hashValue="d9gLo9Is9bxmq5mgAqcBDp6OlzVV7wtlbbXCQi6a1vTXXeOWaHCZ7I1/Awmqd8oRzFW2MFxcJuf7RcnfjzKQ2A==" saltValue="Mk+YPaJj7q3JDMx36M5/QA==" spinCount="100000" sheet="1" objects="1" scenarios="1"/>
  <mergeCells count="12">
    <mergeCell ref="P1:Z4"/>
    <mergeCell ref="A1:H1"/>
    <mergeCell ref="K1:L1"/>
    <mergeCell ref="I1:J1"/>
    <mergeCell ref="N30:N31"/>
    <mergeCell ref="M3:M4"/>
    <mergeCell ref="K30:L31"/>
    <mergeCell ref="M30:M31"/>
    <mergeCell ref="G3:G4"/>
    <mergeCell ref="N3:N4"/>
    <mergeCell ref="B3:B4"/>
    <mergeCell ref="E3: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Q32"/>
  <sheetViews>
    <sheetView zoomScale="80" zoomScaleNormal="80" workbookViewId="0">
      <pane ySplit="4" topLeftCell="A5" activePane="bottomLeft" state="frozen"/>
      <selection pane="bottomLeft" activeCell="J7" sqref="J7"/>
    </sheetView>
  </sheetViews>
  <sheetFormatPr defaultRowHeight="15" x14ac:dyDescent="0.25"/>
  <cols>
    <col min="1" max="1" width="25.42578125" customWidth="1"/>
    <col min="2" max="2" width="22.7109375" bestFit="1" customWidth="1"/>
    <col min="3" max="3" width="17.42578125" customWidth="1"/>
    <col min="4" max="5" width="14.85546875" customWidth="1"/>
    <col min="6" max="6" width="16.28515625" customWidth="1"/>
    <col min="7" max="8" width="14.85546875" customWidth="1"/>
    <col min="9" max="12" width="15.7109375" style="33" customWidth="1"/>
    <col min="13" max="13" width="15.7109375" style="101" customWidth="1"/>
    <col min="14" max="16" width="15.7109375" style="7" customWidth="1"/>
  </cols>
  <sheetData>
    <row r="1" spans="1:17" s="7" customFormat="1" ht="41.1" customHeight="1" thickBot="1" x14ac:dyDescent="0.3">
      <c r="A1" s="412"/>
      <c r="B1" s="412"/>
      <c r="C1" s="412"/>
      <c r="D1" s="412"/>
      <c r="E1" s="412"/>
      <c r="F1" s="412"/>
      <c r="G1" s="412"/>
      <c r="H1" s="412"/>
      <c r="I1" s="101"/>
      <c r="J1" s="101"/>
      <c r="K1" s="403" t="s">
        <v>32</v>
      </c>
      <c r="L1" s="404"/>
      <c r="M1" s="405"/>
      <c r="N1" s="403" t="s">
        <v>33</v>
      </c>
      <c r="O1" s="404"/>
      <c r="P1" s="405"/>
    </row>
    <row r="2" spans="1:17" ht="15" customHeight="1" x14ac:dyDescent="0.25">
      <c r="A2" s="57"/>
      <c r="B2" s="58"/>
      <c r="C2" s="413" t="s">
        <v>24</v>
      </c>
      <c r="D2" s="416" t="s">
        <v>58</v>
      </c>
      <c r="E2" s="58"/>
      <c r="F2" s="58"/>
      <c r="G2" s="58"/>
      <c r="H2" s="58"/>
      <c r="I2" s="399" t="s">
        <v>35</v>
      </c>
      <c r="J2" s="399" t="s">
        <v>36</v>
      </c>
      <c r="K2" s="406" t="s">
        <v>25</v>
      </c>
      <c r="L2" s="406" t="s">
        <v>26</v>
      </c>
      <c r="M2" s="409" t="s">
        <v>27</v>
      </c>
      <c r="N2" s="406" t="s">
        <v>28</v>
      </c>
      <c r="O2" s="406" t="s">
        <v>29</v>
      </c>
      <c r="P2" s="409" t="s">
        <v>30</v>
      </c>
    </row>
    <row r="3" spans="1:17" ht="15" customHeight="1" x14ac:dyDescent="0.25">
      <c r="A3" s="59"/>
      <c r="B3" s="60"/>
      <c r="C3" s="414"/>
      <c r="D3" s="383"/>
      <c r="E3" s="60"/>
      <c r="F3" s="402" t="s">
        <v>7</v>
      </c>
      <c r="G3" s="402"/>
      <c r="H3" s="402"/>
      <c r="I3" s="400"/>
      <c r="J3" s="400"/>
      <c r="K3" s="407"/>
      <c r="L3" s="407"/>
      <c r="M3" s="410"/>
      <c r="N3" s="407"/>
      <c r="O3" s="407"/>
      <c r="P3" s="410"/>
    </row>
    <row r="4" spans="1:17" ht="18.75" customHeight="1" thickBot="1" x14ac:dyDescent="0.3">
      <c r="A4" s="61" t="s">
        <v>1</v>
      </c>
      <c r="B4" s="62" t="s">
        <v>61</v>
      </c>
      <c r="C4" s="415"/>
      <c r="D4" s="417"/>
      <c r="E4" s="62" t="s">
        <v>3</v>
      </c>
      <c r="F4" s="62" t="s">
        <v>4</v>
      </c>
      <c r="G4" s="62" t="s">
        <v>5</v>
      </c>
      <c r="H4" s="62" t="s">
        <v>6</v>
      </c>
      <c r="I4" s="401"/>
      <c r="J4" s="401"/>
      <c r="K4" s="408"/>
      <c r="L4" s="408"/>
      <c r="M4" s="411"/>
      <c r="N4" s="408"/>
      <c r="O4" s="408"/>
      <c r="P4" s="411"/>
    </row>
    <row r="5" spans="1:17" x14ac:dyDescent="0.25">
      <c r="A5" s="20">
        <f>'Loan Details'!G5</f>
        <v>43647</v>
      </c>
      <c r="B5" s="291">
        <f>'Loan Details'!L5</f>
        <v>100000000</v>
      </c>
      <c r="C5" s="21">
        <f>'Loan Details'!M5</f>
        <v>0</v>
      </c>
      <c r="D5" s="22"/>
      <c r="E5" s="161" t="s">
        <v>54</v>
      </c>
      <c r="F5" s="217">
        <f>'Loan Details'!O5</f>
        <v>50000000</v>
      </c>
      <c r="G5" s="217">
        <f>'Loan Details'!P5</f>
        <v>25000000</v>
      </c>
      <c r="H5" s="217">
        <f>'Loan Details'!Q5</f>
        <v>25000000</v>
      </c>
      <c r="I5" s="208"/>
      <c r="J5" s="160"/>
      <c r="K5" s="209"/>
      <c r="L5" s="72"/>
      <c r="M5" s="73"/>
      <c r="N5" s="66"/>
      <c r="O5" s="72"/>
      <c r="P5" s="73"/>
      <c r="Q5" s="28"/>
    </row>
    <row r="6" spans="1:17" x14ac:dyDescent="0.25">
      <c r="A6" s="14">
        <f>'Loan Details'!G6</f>
        <v>43648</v>
      </c>
      <c r="B6" s="292">
        <f>'Loan Details'!L6</f>
        <v>100000000</v>
      </c>
      <c r="C6" s="10">
        <f>'Loan Details'!M6</f>
        <v>0</v>
      </c>
      <c r="D6" s="18"/>
      <c r="E6" s="162" t="s">
        <v>54</v>
      </c>
      <c r="F6" s="220">
        <f>'Loan Details'!O6</f>
        <v>50000000</v>
      </c>
      <c r="G6" s="220">
        <f>'Loan Details'!P6</f>
        <v>25000000</v>
      </c>
      <c r="H6" s="220">
        <f>'Loan Details'!Q6</f>
        <v>25000000</v>
      </c>
      <c r="I6" s="313">
        <f>'2a Comp Bal int prepay'!N7</f>
        <v>12277.777777777777</v>
      </c>
      <c r="J6" s="314">
        <f>'4a Comp Rate NCCR int prepay'!N7</f>
        <v>12277.777777777777</v>
      </c>
      <c r="K6" s="303">
        <f t="shared" ref="K6:K28" si="0">F5/B5</f>
        <v>0.5</v>
      </c>
      <c r="L6" s="304">
        <f t="shared" ref="L6:L28" si="1">G5/B5</f>
        <v>0.25</v>
      </c>
      <c r="M6" s="305">
        <f t="shared" ref="M6:M28" si="2">H5/B5</f>
        <v>0.25</v>
      </c>
      <c r="N6" s="298">
        <f>K6*J6</f>
        <v>6138.8888888888887</v>
      </c>
      <c r="O6" s="299">
        <f>L6*J6</f>
        <v>3069.4444444444443</v>
      </c>
      <c r="P6" s="300">
        <f>M6*J6</f>
        <v>3069.4444444444443</v>
      </c>
      <c r="Q6" s="28"/>
    </row>
    <row r="7" spans="1:17" x14ac:dyDescent="0.25">
      <c r="A7" s="14">
        <f>'Loan Details'!G7</f>
        <v>43649</v>
      </c>
      <c r="B7" s="292">
        <f>'Loan Details'!L7</f>
        <v>100000000</v>
      </c>
      <c r="C7" s="10">
        <f>'Loan Details'!M7</f>
        <v>0</v>
      </c>
      <c r="D7" s="18"/>
      <c r="E7" s="162" t="s">
        <v>54</v>
      </c>
      <c r="F7" s="220">
        <f>'Loan Details'!O7</f>
        <v>50000000</v>
      </c>
      <c r="G7" s="220">
        <f>'Loan Details'!P7</f>
        <v>25000000</v>
      </c>
      <c r="H7" s="220">
        <f>'Loan Details'!Q7</f>
        <v>25000000</v>
      </c>
      <c r="I7" s="313">
        <f>'2a Comp Bal int prepay'!N8</f>
        <v>12528.246466049382</v>
      </c>
      <c r="J7" s="314">
        <f>'4a Comp Rate NCCR int prepay'!N8</f>
        <v>12528.246466049382</v>
      </c>
      <c r="K7" s="303">
        <f t="shared" si="0"/>
        <v>0.5</v>
      </c>
      <c r="L7" s="304">
        <f t="shared" si="1"/>
        <v>0.25</v>
      </c>
      <c r="M7" s="305">
        <f t="shared" si="2"/>
        <v>0.25</v>
      </c>
      <c r="N7" s="298">
        <f>K6*J7</f>
        <v>6264.1232330246912</v>
      </c>
      <c r="O7" s="299">
        <f>L6*J7</f>
        <v>3132.0616165123456</v>
      </c>
      <c r="P7" s="300">
        <f>M6*J7</f>
        <v>3132.0616165123456</v>
      </c>
      <c r="Q7" s="28"/>
    </row>
    <row r="8" spans="1:17" s="2" customFormat="1" x14ac:dyDescent="0.25">
      <c r="A8" s="15">
        <f>'Loan Details'!G8</f>
        <v>43650</v>
      </c>
      <c r="B8" s="293">
        <f>'Loan Details'!L8</f>
        <v>100000000</v>
      </c>
      <c r="C8" s="11">
        <f>'Loan Details'!M8</f>
        <v>0</v>
      </c>
      <c r="D8" s="23"/>
      <c r="E8" s="162" t="s">
        <v>54</v>
      </c>
      <c r="F8" s="294">
        <f>'Loan Details'!O8</f>
        <v>50000000</v>
      </c>
      <c r="G8" s="294">
        <f>'Loan Details'!P8</f>
        <v>25000000</v>
      </c>
      <c r="H8" s="294">
        <f>'Loan Details'!Q8</f>
        <v>25000000</v>
      </c>
      <c r="I8" s="313">
        <f>'2a Comp Bal int prepay'!N9</f>
        <v>25335.28105431221</v>
      </c>
      <c r="J8" s="314">
        <f>'4a Comp Rate NCCR int prepay'!N9</f>
        <v>25335.28105431221</v>
      </c>
      <c r="K8" s="303">
        <f t="shared" si="0"/>
        <v>0.5</v>
      </c>
      <c r="L8" s="304">
        <f t="shared" si="1"/>
        <v>0.25</v>
      </c>
      <c r="M8" s="305">
        <f t="shared" si="2"/>
        <v>0.25</v>
      </c>
      <c r="N8" s="298">
        <f t="shared" ref="N8:N27" si="3">K7*J8</f>
        <v>12667.640527156105</v>
      </c>
      <c r="O8" s="299">
        <f t="shared" ref="O8:O27" si="4">L7*J8</f>
        <v>6333.8202635780526</v>
      </c>
      <c r="P8" s="300">
        <f t="shared" ref="P8:P27" si="5">M7*J8</f>
        <v>6333.8202635780526</v>
      </c>
      <c r="Q8" s="28"/>
    </row>
    <row r="9" spans="1:17" x14ac:dyDescent="0.25">
      <c r="A9" s="14">
        <f>'Loan Details'!G9</f>
        <v>43651</v>
      </c>
      <c r="B9" s="292">
        <f>'Loan Details'!L9</f>
        <v>100000000</v>
      </c>
      <c r="C9" s="10">
        <f>'Loan Details'!M9</f>
        <v>0</v>
      </c>
      <c r="D9" s="18"/>
      <c r="E9" s="162" t="s">
        <v>54</v>
      </c>
      <c r="F9" s="220">
        <f>'Loan Details'!O9</f>
        <v>50000000</v>
      </c>
      <c r="G9" s="220">
        <f>'Loan Details'!P9</f>
        <v>25000000</v>
      </c>
      <c r="H9" s="220">
        <f>'Loan Details'!Q9</f>
        <v>25000000</v>
      </c>
      <c r="I9" s="313">
        <f>'2a Comp Bal int prepay'!N10</f>
        <v>0</v>
      </c>
      <c r="J9" s="314">
        <f>'4a Comp Rate NCCR int prepay'!N10</f>
        <v>0</v>
      </c>
      <c r="K9" s="303">
        <f t="shared" si="0"/>
        <v>0.5</v>
      </c>
      <c r="L9" s="304">
        <f t="shared" si="1"/>
        <v>0.25</v>
      </c>
      <c r="M9" s="305">
        <f t="shared" si="2"/>
        <v>0.25</v>
      </c>
      <c r="N9" s="298">
        <f t="shared" si="3"/>
        <v>0</v>
      </c>
      <c r="O9" s="299">
        <f t="shared" si="4"/>
        <v>0</v>
      </c>
      <c r="P9" s="300">
        <f t="shared" si="5"/>
        <v>0</v>
      </c>
      <c r="Q9" s="28"/>
    </row>
    <row r="10" spans="1:17" x14ac:dyDescent="0.25">
      <c r="A10" s="14">
        <f>'Loan Details'!G10</f>
        <v>43654</v>
      </c>
      <c r="B10" s="292">
        <f>'Loan Details'!L10</f>
        <v>100000000</v>
      </c>
      <c r="C10" s="10">
        <f>'Loan Details'!M10</f>
        <v>0</v>
      </c>
      <c r="D10" s="18"/>
      <c r="E10" s="162" t="s">
        <v>54</v>
      </c>
      <c r="F10" s="220">
        <f>'Loan Details'!O10</f>
        <v>50000000</v>
      </c>
      <c r="G10" s="220">
        <f>'Loan Details'!P10</f>
        <v>25000000</v>
      </c>
      <c r="H10" s="220">
        <f>'Loan Details'!Q10</f>
        <v>25000000</v>
      </c>
      <c r="I10" s="313">
        <f>'2a Comp Bal int prepay'!N11</f>
        <v>38256.025868763885</v>
      </c>
      <c r="J10" s="314">
        <f>'4a Comp Rate NCCR int prepay'!N11</f>
        <v>38256.025868763885</v>
      </c>
      <c r="K10" s="303">
        <f t="shared" si="0"/>
        <v>0.5</v>
      </c>
      <c r="L10" s="304">
        <f t="shared" si="1"/>
        <v>0.25</v>
      </c>
      <c r="M10" s="305">
        <f t="shared" si="2"/>
        <v>0.25</v>
      </c>
      <c r="N10" s="298">
        <f t="shared" si="3"/>
        <v>19128.012934381943</v>
      </c>
      <c r="O10" s="299">
        <f t="shared" si="4"/>
        <v>9564.0064671909713</v>
      </c>
      <c r="P10" s="300">
        <f t="shared" si="5"/>
        <v>9564.0064671909713</v>
      </c>
      <c r="Q10" s="28"/>
    </row>
    <row r="11" spans="1:17" x14ac:dyDescent="0.25">
      <c r="A11" s="14">
        <f>'Loan Details'!G11</f>
        <v>43655</v>
      </c>
      <c r="B11" s="292">
        <f>'Loan Details'!L11</f>
        <v>100000000</v>
      </c>
      <c r="C11" s="10">
        <f>'Loan Details'!M11</f>
        <v>0</v>
      </c>
      <c r="D11" s="18"/>
      <c r="E11" s="162" t="s">
        <v>54</v>
      </c>
      <c r="F11" s="220">
        <f>'Loan Details'!O11</f>
        <v>50000000</v>
      </c>
      <c r="G11" s="220">
        <f>'Loan Details'!P11</f>
        <v>25000000</v>
      </c>
      <c r="H11" s="220">
        <f>'Loan Details'!Q11</f>
        <v>25000000</v>
      </c>
      <c r="I11" s="313">
        <f>'2a Comp Bal int prepay'!N12</f>
        <v>12447.855026023597</v>
      </c>
      <c r="J11" s="314">
        <f>'4a Comp Rate NCCR int prepay'!N12</f>
        <v>12447.855026023597</v>
      </c>
      <c r="K11" s="303">
        <f t="shared" si="0"/>
        <v>0.5</v>
      </c>
      <c r="L11" s="304">
        <f t="shared" si="1"/>
        <v>0.25</v>
      </c>
      <c r="M11" s="305">
        <f t="shared" si="2"/>
        <v>0.25</v>
      </c>
      <c r="N11" s="298">
        <f t="shared" si="3"/>
        <v>6223.9275130117985</v>
      </c>
      <c r="O11" s="299">
        <f t="shared" si="4"/>
        <v>3111.9637565058993</v>
      </c>
      <c r="P11" s="300">
        <f t="shared" si="5"/>
        <v>3111.9637565058993</v>
      </c>
      <c r="Q11" s="28"/>
    </row>
    <row r="12" spans="1:17" x14ac:dyDescent="0.25">
      <c r="A12" s="14">
        <f>'Loan Details'!G12</f>
        <v>43656</v>
      </c>
      <c r="B12" s="292">
        <f>'Loan Details'!L12</f>
        <v>100000000</v>
      </c>
      <c r="C12" s="10">
        <f>'Loan Details'!M12</f>
        <v>0</v>
      </c>
      <c r="D12" s="18"/>
      <c r="E12" s="162" t="s">
        <v>54</v>
      </c>
      <c r="F12" s="220">
        <f>'Loan Details'!O12</f>
        <v>50000000</v>
      </c>
      <c r="G12" s="220">
        <f>'Loan Details'!P12</f>
        <v>25000000</v>
      </c>
      <c r="H12" s="220">
        <f>'Loan Details'!Q12</f>
        <v>25000000</v>
      </c>
      <c r="I12" s="313">
        <f>'2a Comp Bal int prepay'!N13</f>
        <v>12364.949494924549</v>
      </c>
      <c r="J12" s="314">
        <f>'4a Comp Rate NCCR int prepay'!N13</f>
        <v>12364.949494924549</v>
      </c>
      <c r="K12" s="303">
        <f t="shared" si="0"/>
        <v>0.5</v>
      </c>
      <c r="L12" s="304">
        <f t="shared" si="1"/>
        <v>0.25</v>
      </c>
      <c r="M12" s="305">
        <f t="shared" si="2"/>
        <v>0.25</v>
      </c>
      <c r="N12" s="298">
        <f t="shared" si="3"/>
        <v>6182.4747474622745</v>
      </c>
      <c r="O12" s="299">
        <f t="shared" si="4"/>
        <v>3091.2373737311373</v>
      </c>
      <c r="P12" s="300">
        <f t="shared" si="5"/>
        <v>3091.2373737311373</v>
      </c>
      <c r="Q12" s="28"/>
    </row>
    <row r="13" spans="1:17" x14ac:dyDescent="0.25">
      <c r="A13" s="14">
        <f>'Loan Details'!G13</f>
        <v>43657</v>
      </c>
      <c r="B13" s="292">
        <f>'Loan Details'!L13</f>
        <v>100000000</v>
      </c>
      <c r="C13" s="10">
        <f>'Loan Details'!M13</f>
        <v>0</v>
      </c>
      <c r="D13" s="18"/>
      <c r="E13" s="162" t="s">
        <v>54</v>
      </c>
      <c r="F13" s="220">
        <f>'Loan Details'!O13</f>
        <v>50000000</v>
      </c>
      <c r="G13" s="220">
        <f>'Loan Details'!P13</f>
        <v>25000000</v>
      </c>
      <c r="H13" s="220">
        <f>'Loan Details'!Q13</f>
        <v>25000000</v>
      </c>
      <c r="I13" s="313">
        <f>'2a Comp Bal int prepay'!N14</f>
        <v>12393.208248160892</v>
      </c>
      <c r="J13" s="314">
        <f>'4a Comp Rate NCCR int prepay'!N14</f>
        <v>12393.208248160892</v>
      </c>
      <c r="K13" s="303">
        <f t="shared" si="0"/>
        <v>0.5</v>
      </c>
      <c r="L13" s="304">
        <f t="shared" si="1"/>
        <v>0.25</v>
      </c>
      <c r="M13" s="305">
        <f t="shared" si="2"/>
        <v>0.25</v>
      </c>
      <c r="N13" s="298">
        <f t="shared" si="3"/>
        <v>6196.6041240804461</v>
      </c>
      <c r="O13" s="299">
        <f t="shared" si="4"/>
        <v>3098.3020620402231</v>
      </c>
      <c r="P13" s="300">
        <f t="shared" si="5"/>
        <v>3098.3020620402231</v>
      </c>
      <c r="Q13" s="28"/>
    </row>
    <row r="14" spans="1:17" s="3" customFormat="1" ht="15.75" thickBot="1" x14ac:dyDescent="0.3">
      <c r="A14" s="14">
        <f>'Loan Details'!G14</f>
        <v>43658</v>
      </c>
      <c r="B14" s="292">
        <f>'Loan Details'!L14</f>
        <v>100000000</v>
      </c>
      <c r="C14" s="10">
        <f>'Loan Details'!M14</f>
        <v>0</v>
      </c>
      <c r="D14" s="18"/>
      <c r="E14" s="162" t="s">
        <v>54</v>
      </c>
      <c r="F14" s="220">
        <f>'Loan Details'!O14</f>
        <v>50000000</v>
      </c>
      <c r="G14" s="220">
        <f>'Loan Details'!P14</f>
        <v>25000000</v>
      </c>
      <c r="H14" s="220">
        <f>'Loan Details'!Q14</f>
        <v>25000000</v>
      </c>
      <c r="I14" s="313">
        <f>'2a Comp Bal int prepay'!N15</f>
        <v>12254.689310277692</v>
      </c>
      <c r="J14" s="314">
        <f>'4a Comp Rate NCCR int prepay'!N15</f>
        <v>12254.689310277692</v>
      </c>
      <c r="K14" s="303">
        <f t="shared" si="0"/>
        <v>0.5</v>
      </c>
      <c r="L14" s="304">
        <f t="shared" si="1"/>
        <v>0.25</v>
      </c>
      <c r="M14" s="305">
        <f t="shared" si="2"/>
        <v>0.25</v>
      </c>
      <c r="N14" s="298">
        <f t="shared" si="3"/>
        <v>6127.3446551388461</v>
      </c>
      <c r="O14" s="299">
        <f t="shared" si="4"/>
        <v>3063.672327569423</v>
      </c>
      <c r="P14" s="300">
        <f t="shared" si="5"/>
        <v>3063.672327569423</v>
      </c>
      <c r="Q14" s="28"/>
    </row>
    <row r="15" spans="1:17" ht="15.75" thickBot="1" x14ac:dyDescent="0.3">
      <c r="A15" s="14">
        <f>'Loan Details'!G15</f>
        <v>43661</v>
      </c>
      <c r="B15" s="292">
        <f>'Loan Details'!L15</f>
        <v>90000000</v>
      </c>
      <c r="C15" s="143">
        <f>'Loan Details'!M15</f>
        <v>-10000000</v>
      </c>
      <c r="D15" s="318">
        <f>'2a Comp Bal int prepay'!G16</f>
        <v>-9642.8682363198786</v>
      </c>
      <c r="E15" s="162" t="s">
        <v>54</v>
      </c>
      <c r="F15" s="220">
        <f>'Loan Details'!O15</f>
        <v>45000000</v>
      </c>
      <c r="G15" s="220">
        <f>'Loan Details'!P15</f>
        <v>22500000</v>
      </c>
      <c r="H15" s="220">
        <f>'Loan Details'!Q15</f>
        <v>22500000</v>
      </c>
      <c r="I15" s="313">
        <f>'2a Comp Bal int prepay'!N16</f>
        <v>36348.426894686585</v>
      </c>
      <c r="J15" s="314">
        <f>'4a Comp Rate NCCR int prepay'!N16</f>
        <v>36348.426894686585</v>
      </c>
      <c r="K15" s="303">
        <f t="shared" si="0"/>
        <v>0.5</v>
      </c>
      <c r="L15" s="304">
        <f t="shared" si="1"/>
        <v>0.25</v>
      </c>
      <c r="M15" s="305">
        <f t="shared" si="2"/>
        <v>0.25</v>
      </c>
      <c r="N15" s="298">
        <f t="shared" si="3"/>
        <v>18174.213447343293</v>
      </c>
      <c r="O15" s="299">
        <f t="shared" si="4"/>
        <v>9087.1067236716463</v>
      </c>
      <c r="P15" s="300">
        <f t="shared" si="5"/>
        <v>9087.1067236716463</v>
      </c>
      <c r="Q15" s="28"/>
    </row>
    <row r="16" spans="1:17" x14ac:dyDescent="0.25">
      <c r="A16" s="14">
        <f>'Loan Details'!G16</f>
        <v>43662</v>
      </c>
      <c r="B16" s="292">
        <f>'Loan Details'!L16</f>
        <v>90000000</v>
      </c>
      <c r="C16" s="10">
        <f>'Loan Details'!M16</f>
        <v>0</v>
      </c>
      <c r="D16" s="18"/>
      <c r="E16" s="162" t="s">
        <v>54</v>
      </c>
      <c r="F16" s="220">
        <f>'Loan Details'!O16</f>
        <v>45000000</v>
      </c>
      <c r="G16" s="220">
        <f>'Loan Details'!P16</f>
        <v>22500000</v>
      </c>
      <c r="H16" s="220">
        <f>'Loan Details'!Q16</f>
        <v>22500000</v>
      </c>
      <c r="I16" s="313">
        <f>'2a Comp Bal int prepay'!N17</f>
        <v>11155.930363965337</v>
      </c>
      <c r="J16" s="314">
        <f>'4a Comp Rate NCCR int prepay'!N17</f>
        <v>11155.930363965337</v>
      </c>
      <c r="K16" s="303">
        <f t="shared" si="0"/>
        <v>0.5</v>
      </c>
      <c r="L16" s="304">
        <f t="shared" si="1"/>
        <v>0.25</v>
      </c>
      <c r="M16" s="305">
        <f t="shared" si="2"/>
        <v>0.25</v>
      </c>
      <c r="N16" s="298">
        <f t="shared" si="3"/>
        <v>5577.9651819826686</v>
      </c>
      <c r="O16" s="299">
        <f t="shared" si="4"/>
        <v>2788.9825909913343</v>
      </c>
      <c r="P16" s="300">
        <f t="shared" si="5"/>
        <v>2788.9825909913343</v>
      </c>
      <c r="Q16" s="28"/>
    </row>
    <row r="17" spans="1:17" x14ac:dyDescent="0.25">
      <c r="A17" s="14">
        <f>'Loan Details'!G17</f>
        <v>43663</v>
      </c>
      <c r="B17" s="292">
        <f>'Loan Details'!L17</f>
        <v>90000000</v>
      </c>
      <c r="C17" s="10">
        <f>'Loan Details'!M17</f>
        <v>0</v>
      </c>
      <c r="D17" s="18"/>
      <c r="E17" s="162" t="s">
        <v>54</v>
      </c>
      <c r="F17" s="220">
        <f>'Loan Details'!O17</f>
        <v>45000000</v>
      </c>
      <c r="G17" s="220">
        <f>'Loan Details'!P17</f>
        <v>22500000</v>
      </c>
      <c r="H17" s="220">
        <f>'Loan Details'!Q17</f>
        <v>22500000</v>
      </c>
      <c r="I17" s="313">
        <f>'2a Comp Bal int prepay'!N18</f>
        <v>11181.376836358122</v>
      </c>
      <c r="J17" s="314">
        <f>'4a Comp Rate NCCR int prepay'!N18</f>
        <v>11181.376836358122</v>
      </c>
      <c r="K17" s="303">
        <f t="shared" si="0"/>
        <v>0.5</v>
      </c>
      <c r="L17" s="304">
        <f t="shared" si="1"/>
        <v>0.25</v>
      </c>
      <c r="M17" s="305">
        <f t="shared" si="2"/>
        <v>0.25</v>
      </c>
      <c r="N17" s="298">
        <f t="shared" si="3"/>
        <v>5590.688418179061</v>
      </c>
      <c r="O17" s="299">
        <f t="shared" si="4"/>
        <v>2795.3442090895305</v>
      </c>
      <c r="P17" s="300">
        <f t="shared" si="5"/>
        <v>2795.3442090895305</v>
      </c>
      <c r="Q17" s="28"/>
    </row>
    <row r="18" spans="1:17" x14ac:dyDescent="0.25">
      <c r="A18" s="14">
        <f>'Loan Details'!G18</f>
        <v>43664</v>
      </c>
      <c r="B18" s="292">
        <f>'Loan Details'!L18</f>
        <v>90000000</v>
      </c>
      <c r="C18" s="10">
        <f>'Loan Details'!M18</f>
        <v>0</v>
      </c>
      <c r="D18" s="18"/>
      <c r="E18" s="162" t="s">
        <v>54</v>
      </c>
      <c r="F18" s="220">
        <f>'Loan Details'!O18</f>
        <v>45000000</v>
      </c>
      <c r="G18" s="220">
        <f>'Loan Details'!P18</f>
        <v>22500000</v>
      </c>
      <c r="H18" s="220">
        <f>'Loan Details'!Q18</f>
        <v>22500000</v>
      </c>
      <c r="I18" s="313">
        <f>'2a Comp Bal int prepay'!N19</f>
        <v>11181.800947491061</v>
      </c>
      <c r="J18" s="314">
        <f>'4a Comp Rate NCCR int prepay'!N19</f>
        <v>11181.800947491061</v>
      </c>
      <c r="K18" s="303">
        <f t="shared" si="0"/>
        <v>0.5</v>
      </c>
      <c r="L18" s="304">
        <f t="shared" si="1"/>
        <v>0.25</v>
      </c>
      <c r="M18" s="305">
        <f t="shared" si="2"/>
        <v>0.25</v>
      </c>
      <c r="N18" s="298">
        <f t="shared" si="3"/>
        <v>5590.9004737455307</v>
      </c>
      <c r="O18" s="299">
        <f t="shared" si="4"/>
        <v>2795.4502368727653</v>
      </c>
      <c r="P18" s="300">
        <f t="shared" si="5"/>
        <v>2795.4502368727653</v>
      </c>
      <c r="Q18" s="28"/>
    </row>
    <row r="19" spans="1:17" x14ac:dyDescent="0.25">
      <c r="A19" s="14">
        <f>'Loan Details'!G19</f>
        <v>43665</v>
      </c>
      <c r="B19" s="292">
        <f>'Loan Details'!L19</f>
        <v>90000000</v>
      </c>
      <c r="C19" s="10">
        <f>'Loan Details'!M19</f>
        <v>0</v>
      </c>
      <c r="D19" s="18"/>
      <c r="E19" s="319">
        <f>'Loan Details'!N19</f>
        <v>22500000</v>
      </c>
      <c r="F19" s="220">
        <f>'Loan Details'!O19</f>
        <v>45000000</v>
      </c>
      <c r="G19" s="220">
        <f>'Loan Details'!P19</f>
        <v>0</v>
      </c>
      <c r="H19" s="220">
        <f>'Loan Details'!Q19</f>
        <v>45000000</v>
      </c>
      <c r="I19" s="313">
        <f>'2a Comp Bal int prepay'!N20</f>
        <v>11157.195836355437</v>
      </c>
      <c r="J19" s="314">
        <f>'4a Comp Rate NCCR int prepay'!N20</f>
        <v>11157.195836355437</v>
      </c>
      <c r="K19" s="303">
        <f t="shared" si="0"/>
        <v>0.5</v>
      </c>
      <c r="L19" s="304">
        <f t="shared" si="1"/>
        <v>0.25</v>
      </c>
      <c r="M19" s="305">
        <f t="shared" si="2"/>
        <v>0.25</v>
      </c>
      <c r="N19" s="298">
        <f t="shared" si="3"/>
        <v>5578.5979181777184</v>
      </c>
      <c r="O19" s="299">
        <f t="shared" si="4"/>
        <v>2789.2989590888592</v>
      </c>
      <c r="P19" s="300">
        <f t="shared" si="5"/>
        <v>2789.2989590888592</v>
      </c>
      <c r="Q19" s="28"/>
    </row>
    <row r="20" spans="1:17" x14ac:dyDescent="0.25">
      <c r="A20" s="14">
        <f>'Loan Details'!G20</f>
        <v>43668</v>
      </c>
      <c r="B20" s="292">
        <f>'Loan Details'!L20</f>
        <v>90000000</v>
      </c>
      <c r="C20" s="10">
        <f>'Loan Details'!M20</f>
        <v>0</v>
      </c>
      <c r="D20" s="18"/>
      <c r="E20" s="162" t="s">
        <v>54</v>
      </c>
      <c r="F20" s="220">
        <f>'Loan Details'!O20</f>
        <v>45000000</v>
      </c>
      <c r="G20" s="220">
        <f>'Loan Details'!P20</f>
        <v>0</v>
      </c>
      <c r="H20" s="220">
        <f>'Loan Details'!Q20</f>
        <v>45000000</v>
      </c>
      <c r="I20" s="313">
        <f>'2a Comp Bal int prepay'!N21</f>
        <v>33097.385308720637</v>
      </c>
      <c r="J20" s="314">
        <f>'4a Comp Rate NCCR int prepay'!N21</f>
        <v>33097.385308720637</v>
      </c>
      <c r="K20" s="303">
        <f t="shared" si="0"/>
        <v>0.5</v>
      </c>
      <c r="L20" s="304">
        <f t="shared" si="1"/>
        <v>0</v>
      </c>
      <c r="M20" s="305">
        <f t="shared" si="2"/>
        <v>0.5</v>
      </c>
      <c r="N20" s="298">
        <f t="shared" si="3"/>
        <v>16548.692654360319</v>
      </c>
      <c r="O20" s="299">
        <f t="shared" si="4"/>
        <v>8274.3463271801593</v>
      </c>
      <c r="P20" s="300">
        <f t="shared" si="5"/>
        <v>8274.3463271801593</v>
      </c>
      <c r="Q20" s="28"/>
    </row>
    <row r="21" spans="1:17" x14ac:dyDescent="0.25">
      <c r="A21" s="14">
        <f>'Loan Details'!G21</f>
        <v>43669</v>
      </c>
      <c r="B21" s="292">
        <f>'Loan Details'!L21</f>
        <v>90000000</v>
      </c>
      <c r="C21" s="10">
        <f>'Loan Details'!M21</f>
        <v>0</v>
      </c>
      <c r="D21" s="18"/>
      <c r="E21" s="162" t="s">
        <v>54</v>
      </c>
      <c r="F21" s="220">
        <f>'Loan Details'!O21</f>
        <v>45000000</v>
      </c>
      <c r="G21" s="220">
        <f>'Loan Details'!P21</f>
        <v>0</v>
      </c>
      <c r="H21" s="220">
        <f>'Loan Details'!Q21</f>
        <v>45000000</v>
      </c>
      <c r="I21" s="313">
        <f>'2a Comp Bal int prepay'!N22</f>
        <v>11008.637300227985</v>
      </c>
      <c r="J21" s="314">
        <f>'4a Comp Rate NCCR int prepay'!N22</f>
        <v>11008.637300227985</v>
      </c>
      <c r="K21" s="303">
        <f t="shared" si="0"/>
        <v>0.5</v>
      </c>
      <c r="L21" s="304">
        <f t="shared" si="1"/>
        <v>0</v>
      </c>
      <c r="M21" s="305">
        <f t="shared" si="2"/>
        <v>0.5</v>
      </c>
      <c r="N21" s="298">
        <f t="shared" si="3"/>
        <v>5504.3186501139926</v>
      </c>
      <c r="O21" s="299">
        <f t="shared" si="4"/>
        <v>0</v>
      </c>
      <c r="P21" s="300">
        <f t="shared" si="5"/>
        <v>5504.3186501139926</v>
      </c>
      <c r="Q21" s="28"/>
    </row>
    <row r="22" spans="1:17" x14ac:dyDescent="0.25">
      <c r="A22" s="14">
        <f>'Loan Details'!G22</f>
        <v>43670</v>
      </c>
      <c r="B22" s="292">
        <f>'Loan Details'!L22</f>
        <v>90000000</v>
      </c>
      <c r="C22" s="10">
        <f>'Loan Details'!M22</f>
        <v>0</v>
      </c>
      <c r="D22" s="18"/>
      <c r="E22" s="162" t="s">
        <v>54</v>
      </c>
      <c r="F22" s="220">
        <f>'Loan Details'!O22</f>
        <v>45000000</v>
      </c>
      <c r="G22" s="220">
        <f>'Loan Details'!P22</f>
        <v>0</v>
      </c>
      <c r="H22" s="220">
        <f>'Loan Details'!Q22</f>
        <v>45000000</v>
      </c>
      <c r="I22" s="313">
        <f>'2a Comp Bal int prepay'!N23</f>
        <v>11009.037876048</v>
      </c>
      <c r="J22" s="314">
        <f>'4a Comp Rate NCCR int prepay'!N23</f>
        <v>11009.037876048</v>
      </c>
      <c r="K22" s="303">
        <f t="shared" si="0"/>
        <v>0.5</v>
      </c>
      <c r="L22" s="304">
        <f t="shared" si="1"/>
        <v>0</v>
      </c>
      <c r="M22" s="305">
        <f t="shared" si="2"/>
        <v>0.5</v>
      </c>
      <c r="N22" s="298">
        <f t="shared" si="3"/>
        <v>5504.5189380239999</v>
      </c>
      <c r="O22" s="299">
        <f t="shared" si="4"/>
        <v>0</v>
      </c>
      <c r="P22" s="300">
        <f t="shared" si="5"/>
        <v>5504.5189380239999</v>
      </c>
      <c r="Q22" s="28"/>
    </row>
    <row r="23" spans="1:17" x14ac:dyDescent="0.25">
      <c r="A23" s="14">
        <f>'Loan Details'!G23</f>
        <v>43671</v>
      </c>
      <c r="B23" s="292">
        <f>'Loan Details'!L23</f>
        <v>90000000</v>
      </c>
      <c r="C23" s="10">
        <f>'Loan Details'!M23</f>
        <v>0</v>
      </c>
      <c r="D23" s="18"/>
      <c r="E23" s="162" t="s">
        <v>54</v>
      </c>
      <c r="F23" s="220">
        <f>'Loan Details'!O23</f>
        <v>45000000</v>
      </c>
      <c r="G23" s="220">
        <f>'Loan Details'!P23</f>
        <v>0</v>
      </c>
      <c r="H23" s="220">
        <f>'Loan Details'!Q23</f>
        <v>45000000</v>
      </c>
      <c r="I23" s="313">
        <f>'2a Comp Bal int prepay'!N24</f>
        <v>11034.477805567125</v>
      </c>
      <c r="J23" s="314">
        <f>'4a Comp Rate NCCR int prepay'!N24</f>
        <v>11034.477805567125</v>
      </c>
      <c r="K23" s="303">
        <f t="shared" si="0"/>
        <v>0.5</v>
      </c>
      <c r="L23" s="304">
        <f t="shared" si="1"/>
        <v>0</v>
      </c>
      <c r="M23" s="305">
        <f t="shared" si="2"/>
        <v>0.5</v>
      </c>
      <c r="N23" s="298">
        <f t="shared" si="3"/>
        <v>5517.2389027835625</v>
      </c>
      <c r="O23" s="299">
        <f t="shared" si="4"/>
        <v>0</v>
      </c>
      <c r="P23" s="300">
        <f t="shared" si="5"/>
        <v>5517.2389027835625</v>
      </c>
      <c r="Q23" s="28"/>
    </row>
    <row r="24" spans="1:17" x14ac:dyDescent="0.25">
      <c r="A24" s="14">
        <f>'Loan Details'!G24</f>
        <v>43672</v>
      </c>
      <c r="B24" s="292">
        <f>'Loan Details'!L24</f>
        <v>90000000</v>
      </c>
      <c r="C24" s="10">
        <f>'Loan Details'!M24</f>
        <v>0</v>
      </c>
      <c r="D24" s="18"/>
      <c r="E24" s="162" t="s">
        <v>54</v>
      </c>
      <c r="F24" s="220">
        <f>'Loan Details'!O24</f>
        <v>45000000</v>
      </c>
      <c r="G24" s="220">
        <f>'Loan Details'!P24</f>
        <v>0</v>
      </c>
      <c r="H24" s="220">
        <f>'Loan Details'!Q24</f>
        <v>45000000</v>
      </c>
      <c r="I24" s="313">
        <f>'2a Comp Bal int prepay'!N25</f>
        <v>11059.92278356922</v>
      </c>
      <c r="J24" s="314">
        <f>'4a Comp Rate NCCR int prepay'!N25</f>
        <v>11059.92278356922</v>
      </c>
      <c r="K24" s="303">
        <f t="shared" si="0"/>
        <v>0.5</v>
      </c>
      <c r="L24" s="304">
        <f t="shared" si="1"/>
        <v>0</v>
      </c>
      <c r="M24" s="305">
        <f t="shared" si="2"/>
        <v>0.5</v>
      </c>
      <c r="N24" s="298">
        <f t="shared" si="3"/>
        <v>5529.96139178461</v>
      </c>
      <c r="O24" s="299">
        <f t="shared" si="4"/>
        <v>0</v>
      </c>
      <c r="P24" s="300">
        <f t="shared" si="5"/>
        <v>5529.96139178461</v>
      </c>
      <c r="Q24" s="28"/>
    </row>
    <row r="25" spans="1:17" x14ac:dyDescent="0.25">
      <c r="A25" s="14">
        <f>'Loan Details'!G25</f>
        <v>43675</v>
      </c>
      <c r="B25" s="292">
        <f>'Loan Details'!L25</f>
        <v>90000000</v>
      </c>
      <c r="C25" s="10">
        <f>'Loan Details'!M25</f>
        <v>0</v>
      </c>
      <c r="D25" s="18"/>
      <c r="E25" s="162" t="s">
        <v>54</v>
      </c>
      <c r="F25" s="220">
        <f>'Loan Details'!O25</f>
        <v>45000000</v>
      </c>
      <c r="G25" s="220">
        <f>'Loan Details'!P25</f>
        <v>0</v>
      </c>
      <c r="H25" s="220">
        <f>'Loan Details'!Q25</f>
        <v>45000000</v>
      </c>
      <c r="I25" s="313">
        <f>'2a Comp Bal int prepay'!N26</f>
        <v>33105.862375486358</v>
      </c>
      <c r="J25" s="314">
        <f>'4a Comp Rate NCCR int prepay'!N26</f>
        <v>33105.862375486358</v>
      </c>
      <c r="K25" s="303">
        <f t="shared" si="0"/>
        <v>0.5</v>
      </c>
      <c r="L25" s="304">
        <f t="shared" si="1"/>
        <v>0</v>
      </c>
      <c r="M25" s="305">
        <f t="shared" si="2"/>
        <v>0.5</v>
      </c>
      <c r="N25" s="298">
        <f t="shared" si="3"/>
        <v>16552.931187743179</v>
      </c>
      <c r="O25" s="299">
        <f t="shared" si="4"/>
        <v>0</v>
      </c>
      <c r="P25" s="300">
        <f t="shared" si="5"/>
        <v>16552.931187743179</v>
      </c>
      <c r="Q25" s="28"/>
    </row>
    <row r="26" spans="1:17" x14ac:dyDescent="0.25">
      <c r="A26" s="14">
        <f>'Loan Details'!G26</f>
        <v>43676</v>
      </c>
      <c r="B26" s="292">
        <f>'Loan Details'!L26</f>
        <v>90000000</v>
      </c>
      <c r="C26" s="10">
        <f>'Loan Details'!M26</f>
        <v>0</v>
      </c>
      <c r="D26" s="18"/>
      <c r="E26" s="162" t="s">
        <v>54</v>
      </c>
      <c r="F26" s="220">
        <f>'Loan Details'!O26</f>
        <v>45000000</v>
      </c>
      <c r="G26" s="220">
        <f>'Loan Details'!P26</f>
        <v>0</v>
      </c>
      <c r="H26" s="220">
        <f>'Loan Details'!Q26</f>
        <v>45000000</v>
      </c>
      <c r="I26" s="313">
        <f>'2a Comp Bal int prepay'!N27</f>
        <v>11011.451829437377</v>
      </c>
      <c r="J26" s="314">
        <f>'4a Comp Rate NCCR int prepay'!N27</f>
        <v>11011.451829437377</v>
      </c>
      <c r="K26" s="303">
        <f t="shared" si="0"/>
        <v>0.5</v>
      </c>
      <c r="L26" s="304">
        <f t="shared" si="1"/>
        <v>0</v>
      </c>
      <c r="M26" s="305">
        <f t="shared" si="2"/>
        <v>0.5</v>
      </c>
      <c r="N26" s="298">
        <f t="shared" si="3"/>
        <v>5505.7259147186887</v>
      </c>
      <c r="O26" s="299">
        <f t="shared" si="4"/>
        <v>0</v>
      </c>
      <c r="P26" s="300">
        <f t="shared" si="5"/>
        <v>5505.7259147186887</v>
      </c>
      <c r="Q26" s="28"/>
    </row>
    <row r="27" spans="1:17" s="3" customFormat="1" x14ac:dyDescent="0.25">
      <c r="A27" s="14">
        <f>'Loan Details'!G27</f>
        <v>43677</v>
      </c>
      <c r="B27" s="292">
        <f>'Loan Details'!L27</f>
        <v>90000000</v>
      </c>
      <c r="C27" s="10">
        <f>'Loan Details'!M27</f>
        <v>0</v>
      </c>
      <c r="D27" s="18"/>
      <c r="E27" s="162" t="s">
        <v>54</v>
      </c>
      <c r="F27" s="220">
        <f>'Loan Details'!O27</f>
        <v>45000000</v>
      </c>
      <c r="G27" s="220">
        <f>'Loan Details'!P27</f>
        <v>0</v>
      </c>
      <c r="H27" s="220">
        <f>'Loan Details'!Q27</f>
        <v>45000000</v>
      </c>
      <c r="I27" s="313">
        <f>'2a Comp Bal int prepay'!N28</f>
        <v>10986.803207088953</v>
      </c>
      <c r="J27" s="314">
        <f>'4a Comp Rate NCCR int prepay'!N28</f>
        <v>10986.803207088953</v>
      </c>
      <c r="K27" s="303">
        <f t="shared" si="0"/>
        <v>0.5</v>
      </c>
      <c r="L27" s="304">
        <f t="shared" si="1"/>
        <v>0</v>
      </c>
      <c r="M27" s="305">
        <f t="shared" si="2"/>
        <v>0.5</v>
      </c>
      <c r="N27" s="298">
        <f t="shared" si="3"/>
        <v>5493.4016035444765</v>
      </c>
      <c r="O27" s="299">
        <f t="shared" si="4"/>
        <v>0</v>
      </c>
      <c r="P27" s="300">
        <f t="shared" si="5"/>
        <v>5493.4016035444765</v>
      </c>
      <c r="Q27" s="35"/>
    </row>
    <row r="28" spans="1:17" ht="15.75" thickBot="1" x14ac:dyDescent="0.3">
      <c r="A28" s="69">
        <f>A27+1</f>
        <v>43678</v>
      </c>
      <c r="B28" s="70">
        <f>'Loan Details'!L28</f>
        <v>0</v>
      </c>
      <c r="C28" s="70">
        <f>'Loan Details'!M28</f>
        <v>0</v>
      </c>
      <c r="D28" s="70">
        <f>'Loan Details'!N28</f>
        <v>0</v>
      </c>
      <c r="E28" s="163">
        <f>'Loan Details'!O28</f>
        <v>0</v>
      </c>
      <c r="F28" s="70">
        <f>'Loan Details'!P28</f>
        <v>0</v>
      </c>
      <c r="G28" s="70">
        <f>'Loan Details'!Q28</f>
        <v>0</v>
      </c>
      <c r="H28" s="70">
        <f>'Loan Details'!I28</f>
        <v>0</v>
      </c>
      <c r="I28" s="315">
        <f>'2a Comp Bal int prepay'!N29</f>
        <v>11388.017445175634</v>
      </c>
      <c r="J28" s="316">
        <f>'4a Comp Rate NCCR int prepay'!N29</f>
        <v>11388.017445175634</v>
      </c>
      <c r="K28" s="306">
        <f t="shared" si="0"/>
        <v>0.5</v>
      </c>
      <c r="L28" s="307">
        <f t="shared" si="1"/>
        <v>0</v>
      </c>
      <c r="M28" s="308">
        <f t="shared" si="2"/>
        <v>0.5</v>
      </c>
      <c r="N28" s="298">
        <f t="shared" ref="N28" si="6">K27*J28</f>
        <v>5694.0087225878169</v>
      </c>
      <c r="O28" s="299">
        <f t="shared" ref="O28" si="7">L27*J28</f>
        <v>0</v>
      </c>
      <c r="P28" s="300">
        <f t="shared" ref="P28" si="8">M27*J28</f>
        <v>5694.0087225878169</v>
      </c>
      <c r="Q28" s="28"/>
    </row>
    <row r="29" spans="1:17" ht="15.75" thickBot="1" x14ac:dyDescent="0.3">
      <c r="B29" s="7"/>
      <c r="F29" s="6"/>
      <c r="I29" s="317"/>
      <c r="J29" s="317"/>
      <c r="K29" s="26"/>
      <c r="L29" s="26"/>
      <c r="M29" s="27"/>
      <c r="N29" s="295">
        <f>SUM(N6:N28)</f>
        <v>181292.18002823394</v>
      </c>
      <c r="O29" s="296">
        <f>SUM(O6:O28)</f>
        <v>62995.037358466798</v>
      </c>
      <c r="P29" s="297">
        <f>SUM(P6:P28)</f>
        <v>118297.14266976713</v>
      </c>
    </row>
    <row r="30" spans="1:17" x14ac:dyDescent="0.25">
      <c r="F30" s="6"/>
      <c r="K30" s="309"/>
      <c r="L30" s="309"/>
      <c r="M30" s="310"/>
      <c r="N30" s="301"/>
      <c r="O30" s="301"/>
      <c r="P30" s="302">
        <f>SUM(N29:P29)</f>
        <v>362584.36005646788</v>
      </c>
    </row>
    <row r="31" spans="1:17" x14ac:dyDescent="0.25">
      <c r="K31" s="311"/>
      <c r="L31" s="311"/>
      <c r="M31" s="312"/>
      <c r="N31" s="25"/>
      <c r="O31" s="25"/>
      <c r="P31" s="25"/>
    </row>
    <row r="32" spans="1:17" x14ac:dyDescent="0.25">
      <c r="K32" s="311"/>
      <c r="L32" s="311"/>
      <c r="M32" s="312"/>
      <c r="N32" s="25"/>
      <c r="O32" s="25"/>
      <c r="P32" s="25"/>
    </row>
  </sheetData>
  <sheetProtection algorithmName="SHA-512" hashValue="7bYxmwRill98NP+DUAWXPRlYaspBFRYlerjLRMp/KtA+4RtUta+ktH5UvSCyImZc20Bnn8QnyV7eElsY3flDxw==" saltValue="d4hqylAAL66HzN81FU6gtA==" spinCount="100000" sheet="1" objects="1" scenarios="1"/>
  <mergeCells count="14">
    <mergeCell ref="I2:I4"/>
    <mergeCell ref="F3:H3"/>
    <mergeCell ref="N1:P1"/>
    <mergeCell ref="N2:N4"/>
    <mergeCell ref="O2:O4"/>
    <mergeCell ref="P2:P4"/>
    <mergeCell ref="K2:K4"/>
    <mergeCell ref="L2:L4"/>
    <mergeCell ref="M2:M4"/>
    <mergeCell ref="A1:H1"/>
    <mergeCell ref="K1:M1"/>
    <mergeCell ref="C2:C4"/>
    <mergeCell ref="D2:D4"/>
    <mergeCell ref="J2:J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6"/>
  <sheetViews>
    <sheetView workbookViewId="0">
      <selection activeCell="L10" sqref="L10"/>
    </sheetView>
  </sheetViews>
  <sheetFormatPr defaultRowHeight="15" x14ac:dyDescent="0.25"/>
  <sheetData>
    <row r="1" spans="1:8" x14ac:dyDescent="0.25">
      <c r="A1" s="348" t="s">
        <v>8</v>
      </c>
      <c r="B1" s="348" t="s">
        <v>8</v>
      </c>
      <c r="C1" s="348" t="s">
        <v>8</v>
      </c>
      <c r="D1" s="348" t="s">
        <v>8</v>
      </c>
      <c r="E1" s="348" t="s">
        <v>8</v>
      </c>
      <c r="F1" s="348" t="s">
        <v>8</v>
      </c>
      <c r="G1" s="348" t="s">
        <v>8</v>
      </c>
      <c r="H1" s="349"/>
    </row>
    <row r="3" spans="1:8" x14ac:dyDescent="0.25">
      <c r="A3" s="350" t="s">
        <v>9</v>
      </c>
      <c r="B3" s="350" t="s">
        <v>10</v>
      </c>
      <c r="C3" s="350" t="s">
        <v>11</v>
      </c>
      <c r="D3" s="350" t="s">
        <v>12</v>
      </c>
      <c r="E3" s="350" t="s">
        <v>13</v>
      </c>
      <c r="F3" s="350" t="s">
        <v>13</v>
      </c>
      <c r="G3" s="350" t="s">
        <v>13</v>
      </c>
      <c r="H3" s="350" t="s">
        <v>14</v>
      </c>
    </row>
    <row r="4" spans="1:8" ht="26.25" x14ac:dyDescent="0.25">
      <c r="A4" s="350" t="s">
        <v>9</v>
      </c>
      <c r="B4" s="350" t="s">
        <v>10</v>
      </c>
      <c r="C4" s="350" t="s">
        <v>11</v>
      </c>
      <c r="D4" s="5" t="s">
        <v>15</v>
      </c>
      <c r="E4" s="5" t="s">
        <v>16</v>
      </c>
      <c r="F4" s="5" t="s">
        <v>17</v>
      </c>
      <c r="G4" s="5" t="s">
        <v>18</v>
      </c>
      <c r="H4" s="350" t="s">
        <v>14</v>
      </c>
    </row>
    <row r="5" spans="1:8" x14ac:dyDescent="0.25">
      <c r="A5" s="91">
        <v>43682</v>
      </c>
      <c r="B5" s="4" t="s">
        <v>19</v>
      </c>
      <c r="C5" s="205">
        <v>2.13</v>
      </c>
      <c r="D5" s="205">
        <v>2.1</v>
      </c>
      <c r="E5" s="205">
        <v>2.12</v>
      </c>
      <c r="F5" s="205">
        <v>2.2000000000000002</v>
      </c>
      <c r="G5" s="205">
        <v>2.2799999999999998</v>
      </c>
      <c r="H5" s="206">
        <v>1253</v>
      </c>
    </row>
    <row r="6" spans="1:8" x14ac:dyDescent="0.25">
      <c r="A6" s="91">
        <v>43679</v>
      </c>
      <c r="B6" s="4" t="s">
        <v>19</v>
      </c>
      <c r="C6" s="205">
        <v>2.19</v>
      </c>
      <c r="D6" s="205">
        <v>2.1</v>
      </c>
      <c r="E6" s="205">
        <v>2.1800000000000002</v>
      </c>
      <c r="F6" s="205">
        <v>2.25</v>
      </c>
      <c r="G6" s="205">
        <v>2.33</v>
      </c>
      <c r="H6" s="206">
        <v>1185</v>
      </c>
    </row>
    <row r="7" spans="1:8" x14ac:dyDescent="0.25">
      <c r="A7" s="91">
        <v>43678</v>
      </c>
      <c r="B7" s="4" t="s">
        <v>19</v>
      </c>
      <c r="C7" s="205">
        <v>2.19</v>
      </c>
      <c r="D7" s="205">
        <v>2.11</v>
      </c>
      <c r="E7" s="205">
        <v>2.19</v>
      </c>
      <c r="F7" s="205">
        <v>2.27</v>
      </c>
      <c r="G7" s="205">
        <v>2.33</v>
      </c>
      <c r="H7" s="206">
        <v>1183</v>
      </c>
    </row>
    <row r="8" spans="1:8" x14ac:dyDescent="0.25">
      <c r="A8" s="91">
        <v>43677</v>
      </c>
      <c r="B8" s="4" t="s">
        <v>19</v>
      </c>
      <c r="C8" s="205">
        <v>2.5499999999999998</v>
      </c>
      <c r="D8" s="205">
        <v>2.35</v>
      </c>
      <c r="E8" s="205">
        <v>2.5299999999999998</v>
      </c>
      <c r="F8" s="205">
        <v>2.63</v>
      </c>
      <c r="G8" s="205">
        <v>2.78</v>
      </c>
      <c r="H8" s="206">
        <v>1217</v>
      </c>
    </row>
    <row r="9" spans="1:8" x14ac:dyDescent="0.25">
      <c r="A9" s="91">
        <v>43676</v>
      </c>
      <c r="B9" s="4" t="s">
        <v>19</v>
      </c>
      <c r="C9" s="205">
        <v>2.39</v>
      </c>
      <c r="D9" s="205">
        <v>2.35</v>
      </c>
      <c r="E9" s="205">
        <v>2.38</v>
      </c>
      <c r="F9" s="205">
        <v>2.46</v>
      </c>
      <c r="G9" s="205">
        <v>2.5299999999999998</v>
      </c>
      <c r="H9" s="206">
        <v>1158</v>
      </c>
    </row>
    <row r="10" spans="1:8" x14ac:dyDescent="0.25">
      <c r="A10" s="91">
        <v>43675</v>
      </c>
      <c r="B10" s="4" t="s">
        <v>19</v>
      </c>
      <c r="C10" s="205">
        <v>2.4</v>
      </c>
      <c r="D10" s="205">
        <v>2.2999999999999998</v>
      </c>
      <c r="E10" s="205">
        <v>2.39</v>
      </c>
      <c r="F10" s="205">
        <v>2.4700000000000002</v>
      </c>
      <c r="G10" s="205">
        <v>2.54</v>
      </c>
      <c r="H10" s="206">
        <v>1153</v>
      </c>
    </row>
    <row r="11" spans="1:8" x14ac:dyDescent="0.25">
      <c r="A11" s="91">
        <v>43672</v>
      </c>
      <c r="B11" s="4" t="s">
        <v>19</v>
      </c>
      <c r="C11" s="205">
        <v>2.41</v>
      </c>
      <c r="D11" s="205">
        <v>2.35</v>
      </c>
      <c r="E11" s="205">
        <v>2.4</v>
      </c>
      <c r="F11" s="205">
        <v>2.48</v>
      </c>
      <c r="G11" s="205">
        <v>2.56</v>
      </c>
      <c r="H11" s="206">
        <v>1142</v>
      </c>
    </row>
    <row r="12" spans="1:8" x14ac:dyDescent="0.25">
      <c r="A12" s="91">
        <v>43671</v>
      </c>
      <c r="B12" s="4" t="s">
        <v>19</v>
      </c>
      <c r="C12" s="205">
        <v>2.42</v>
      </c>
      <c r="D12" s="205">
        <v>2.38</v>
      </c>
      <c r="E12" s="205">
        <v>2.41</v>
      </c>
      <c r="F12" s="205">
        <v>2.5</v>
      </c>
      <c r="G12" s="205">
        <v>2.57</v>
      </c>
      <c r="H12" s="206">
        <v>1153</v>
      </c>
    </row>
    <row r="13" spans="1:8" x14ac:dyDescent="0.25">
      <c r="A13" s="91">
        <v>43670</v>
      </c>
      <c r="B13" s="4" t="s">
        <v>19</v>
      </c>
      <c r="C13" s="205">
        <v>2.41</v>
      </c>
      <c r="D13" s="205">
        <v>2.35</v>
      </c>
      <c r="E13" s="205">
        <v>2.4</v>
      </c>
      <c r="F13" s="205">
        <v>2.48</v>
      </c>
      <c r="G13" s="205">
        <v>2.56</v>
      </c>
      <c r="H13" s="206">
        <v>1139</v>
      </c>
    </row>
    <row r="14" spans="1:8" x14ac:dyDescent="0.25">
      <c r="A14" s="91">
        <v>43669</v>
      </c>
      <c r="B14" s="4" t="s">
        <v>19</v>
      </c>
      <c r="C14" s="205">
        <v>2.4</v>
      </c>
      <c r="D14" s="205">
        <v>2.36</v>
      </c>
      <c r="E14" s="205">
        <v>2.39</v>
      </c>
      <c r="F14" s="205">
        <v>2.4700000000000002</v>
      </c>
      <c r="G14" s="205">
        <v>2.5299999999999998</v>
      </c>
      <c r="H14" s="206">
        <v>1091</v>
      </c>
    </row>
    <row r="15" spans="1:8" x14ac:dyDescent="0.25">
      <c r="A15" s="91">
        <v>43668</v>
      </c>
      <c r="B15" s="4" t="s">
        <v>19</v>
      </c>
      <c r="C15" s="205">
        <v>2.4</v>
      </c>
      <c r="D15" s="205">
        <v>2.36</v>
      </c>
      <c r="E15" s="205">
        <v>2.38</v>
      </c>
      <c r="F15" s="205">
        <v>2.4700000000000002</v>
      </c>
      <c r="G15" s="205">
        <v>2.5299999999999998</v>
      </c>
      <c r="H15" s="206">
        <v>1123</v>
      </c>
    </row>
    <row r="16" spans="1:8" x14ac:dyDescent="0.25">
      <c r="A16" s="91">
        <v>43665</v>
      </c>
      <c r="B16" s="4" t="s">
        <v>19</v>
      </c>
      <c r="C16" s="205">
        <v>2.41</v>
      </c>
      <c r="D16" s="205">
        <v>2.35</v>
      </c>
      <c r="E16" s="205">
        <v>2.4</v>
      </c>
      <c r="F16" s="205">
        <v>2.48</v>
      </c>
      <c r="G16" s="205">
        <v>2.5499999999999998</v>
      </c>
      <c r="H16" s="206">
        <v>1140</v>
      </c>
    </row>
    <row r="17" spans="1:8" x14ac:dyDescent="0.25">
      <c r="A17" s="91">
        <v>43664</v>
      </c>
      <c r="B17" s="4" t="s">
        <v>19</v>
      </c>
      <c r="C17" s="205">
        <v>2.46</v>
      </c>
      <c r="D17" s="205">
        <v>2.2999999999999998</v>
      </c>
      <c r="E17" s="205">
        <v>2.44</v>
      </c>
      <c r="F17" s="205">
        <v>2.52</v>
      </c>
      <c r="G17" s="205">
        <v>2.62</v>
      </c>
      <c r="H17" s="206">
        <v>1114</v>
      </c>
    </row>
    <row r="18" spans="1:8" x14ac:dyDescent="0.25">
      <c r="A18" s="91">
        <v>43663</v>
      </c>
      <c r="B18" s="4" t="s">
        <v>19</v>
      </c>
      <c r="C18" s="205">
        <v>2.4700000000000002</v>
      </c>
      <c r="D18" s="205">
        <v>2.4</v>
      </c>
      <c r="E18" s="205">
        <v>2.4500000000000002</v>
      </c>
      <c r="F18" s="205">
        <v>2.54</v>
      </c>
      <c r="G18" s="205">
        <v>2.62</v>
      </c>
      <c r="H18" s="206">
        <v>1104</v>
      </c>
    </row>
    <row r="19" spans="1:8" x14ac:dyDescent="0.25">
      <c r="A19" s="91">
        <v>43662</v>
      </c>
      <c r="B19" s="4" t="s">
        <v>19</v>
      </c>
      <c r="C19" s="205">
        <v>2.4700000000000002</v>
      </c>
      <c r="D19" s="205">
        <v>2.42</v>
      </c>
      <c r="E19" s="205">
        <v>2.44</v>
      </c>
      <c r="F19" s="205">
        <v>2.5299999999999998</v>
      </c>
      <c r="G19" s="205">
        <v>2.6</v>
      </c>
      <c r="H19" s="206">
        <v>1102</v>
      </c>
    </row>
    <row r="20" spans="1:8" x14ac:dyDescent="0.25">
      <c r="A20" s="91">
        <v>43661</v>
      </c>
      <c r="B20" s="4" t="s">
        <v>19</v>
      </c>
      <c r="C20" s="205">
        <v>2.46</v>
      </c>
      <c r="D20" s="205">
        <v>2.42</v>
      </c>
      <c r="E20" s="205">
        <v>2.44</v>
      </c>
      <c r="F20" s="205">
        <v>2.52</v>
      </c>
      <c r="G20" s="205">
        <v>2.6</v>
      </c>
      <c r="H20" s="206">
        <v>1199</v>
      </c>
    </row>
    <row r="21" spans="1:8" x14ac:dyDescent="0.25">
      <c r="A21" s="91">
        <v>43658</v>
      </c>
      <c r="B21" s="4" t="s">
        <v>19</v>
      </c>
      <c r="C21" s="205">
        <v>2.36</v>
      </c>
      <c r="D21" s="205">
        <v>2.33</v>
      </c>
      <c r="E21" s="205">
        <v>2.34</v>
      </c>
      <c r="F21" s="205">
        <v>2.42</v>
      </c>
      <c r="G21" s="205">
        <v>2.5299999999999998</v>
      </c>
      <c r="H21" s="206">
        <v>1138</v>
      </c>
    </row>
    <row r="22" spans="1:8" x14ac:dyDescent="0.25">
      <c r="A22" s="91">
        <v>43657</v>
      </c>
      <c r="B22" s="4" t="s">
        <v>19</v>
      </c>
      <c r="C22" s="205">
        <v>2.41</v>
      </c>
      <c r="D22" s="205">
        <v>2.34</v>
      </c>
      <c r="E22" s="205">
        <v>2.4</v>
      </c>
      <c r="F22" s="205">
        <v>2.4700000000000002</v>
      </c>
      <c r="G22" s="205">
        <v>2.5499999999999998</v>
      </c>
      <c r="H22" s="206">
        <v>1147</v>
      </c>
    </row>
    <row r="23" spans="1:8" x14ac:dyDescent="0.25">
      <c r="A23" s="91">
        <v>43656</v>
      </c>
      <c r="B23" s="4" t="s">
        <v>19</v>
      </c>
      <c r="C23" s="205">
        <v>2.46</v>
      </c>
      <c r="D23" s="205">
        <v>2.2999999999999998</v>
      </c>
      <c r="E23" s="205">
        <v>2.4500000000000002</v>
      </c>
      <c r="F23" s="205">
        <v>2.52</v>
      </c>
      <c r="G23" s="205">
        <v>2.59</v>
      </c>
      <c r="H23" s="206">
        <v>1139</v>
      </c>
    </row>
    <row r="24" spans="1:8" x14ac:dyDescent="0.25">
      <c r="A24" s="91">
        <v>43655</v>
      </c>
      <c r="B24" s="4" t="s">
        <v>19</v>
      </c>
      <c r="C24" s="205">
        <v>2.4500000000000002</v>
      </c>
      <c r="D24" s="205">
        <v>2.42</v>
      </c>
      <c r="E24" s="205">
        <v>2.4500000000000002</v>
      </c>
      <c r="F24" s="205">
        <v>2.5299999999999998</v>
      </c>
      <c r="G24" s="205">
        <v>2.6</v>
      </c>
      <c r="H24" s="206">
        <v>1178</v>
      </c>
    </row>
    <row r="25" spans="1:8" x14ac:dyDescent="0.25">
      <c r="A25" s="91">
        <v>43654</v>
      </c>
      <c r="B25" s="4" t="s">
        <v>19</v>
      </c>
      <c r="C25" s="205">
        <v>2.48</v>
      </c>
      <c r="D25" s="205">
        <v>2.42</v>
      </c>
      <c r="E25" s="205">
        <v>2.46</v>
      </c>
      <c r="F25" s="205">
        <v>2.54</v>
      </c>
      <c r="G25" s="205">
        <v>2.6</v>
      </c>
      <c r="H25" s="206">
        <v>1211</v>
      </c>
    </row>
    <row r="26" spans="1:8" x14ac:dyDescent="0.25">
      <c r="A26" s="91">
        <v>43651</v>
      </c>
      <c r="B26" s="4" t="s">
        <v>19</v>
      </c>
      <c r="C26" s="205">
        <v>2.59</v>
      </c>
      <c r="D26" s="205">
        <v>2.44</v>
      </c>
      <c r="E26" s="205">
        <v>2.58</v>
      </c>
      <c r="F26" s="205">
        <v>2.68</v>
      </c>
      <c r="G26" s="205">
        <v>2.76</v>
      </c>
      <c r="H26" s="206">
        <v>1193</v>
      </c>
    </row>
    <row r="27" spans="1:8" x14ac:dyDescent="0.25">
      <c r="A27" s="91">
        <v>43649</v>
      </c>
      <c r="B27" s="4" t="s">
        <v>19</v>
      </c>
      <c r="C27" s="205">
        <v>2.56</v>
      </c>
      <c r="D27" s="205">
        <v>2.48</v>
      </c>
      <c r="E27" s="205">
        <v>2.5499999999999998</v>
      </c>
      <c r="F27" s="205">
        <v>2.65</v>
      </c>
      <c r="G27" s="205">
        <v>2.75</v>
      </c>
      <c r="H27" s="206">
        <v>1213</v>
      </c>
    </row>
    <row r="28" spans="1:8" x14ac:dyDescent="0.25">
      <c r="A28" s="91">
        <v>43648</v>
      </c>
      <c r="B28" s="4" t="s">
        <v>19</v>
      </c>
      <c r="C28" s="205">
        <v>2.5099999999999998</v>
      </c>
      <c r="D28" s="205">
        <v>2.4500000000000002</v>
      </c>
      <c r="E28" s="205">
        <v>2.4900000000000002</v>
      </c>
      <c r="F28" s="205">
        <v>2.58</v>
      </c>
      <c r="G28" s="205">
        <v>3.1</v>
      </c>
      <c r="H28" s="206">
        <v>1224</v>
      </c>
    </row>
    <row r="29" spans="1:8" x14ac:dyDescent="0.25">
      <c r="A29" s="91">
        <v>43647</v>
      </c>
      <c r="B29" s="4" t="s">
        <v>19</v>
      </c>
      <c r="C29" s="205">
        <v>2.42</v>
      </c>
      <c r="D29" s="205">
        <v>2.36</v>
      </c>
      <c r="E29" s="205">
        <v>2.38</v>
      </c>
      <c r="F29" s="205">
        <v>2.4700000000000002</v>
      </c>
      <c r="G29" s="205">
        <v>3.85</v>
      </c>
      <c r="H29" s="206">
        <v>1181</v>
      </c>
    </row>
    <row r="30" spans="1:8" x14ac:dyDescent="0.25">
      <c r="A30" s="91">
        <v>43644</v>
      </c>
      <c r="B30" s="4" t="s">
        <v>19</v>
      </c>
      <c r="C30" s="205">
        <v>2.5</v>
      </c>
      <c r="D30" s="205">
        <v>2.33</v>
      </c>
      <c r="E30" s="205">
        <v>2.5</v>
      </c>
      <c r="F30" s="205">
        <v>2.65</v>
      </c>
      <c r="G30" s="205">
        <v>3.03</v>
      </c>
      <c r="H30" s="206">
        <v>1113</v>
      </c>
    </row>
    <row r="31" spans="1:8" x14ac:dyDescent="0.25">
      <c r="A31" s="91">
        <v>43643</v>
      </c>
      <c r="B31" s="4" t="s">
        <v>19</v>
      </c>
      <c r="C31" s="205">
        <v>2.42</v>
      </c>
      <c r="D31" s="205">
        <v>2.3199999999999998</v>
      </c>
      <c r="E31" s="205">
        <v>2.4</v>
      </c>
      <c r="F31" s="205">
        <v>2.48</v>
      </c>
      <c r="G31" s="205">
        <v>2.57</v>
      </c>
      <c r="H31" s="206">
        <v>1117</v>
      </c>
    </row>
    <row r="32" spans="1:8" x14ac:dyDescent="0.25">
      <c r="A32" s="91">
        <v>43642</v>
      </c>
      <c r="B32" s="4" t="s">
        <v>19</v>
      </c>
      <c r="C32" s="205">
        <v>2.4300000000000002</v>
      </c>
      <c r="D32" s="205">
        <v>2.2999999999999998</v>
      </c>
      <c r="E32" s="205">
        <v>2.4300000000000002</v>
      </c>
      <c r="F32" s="205">
        <v>2.5</v>
      </c>
      <c r="G32" s="205">
        <v>2.57</v>
      </c>
      <c r="H32" s="206">
        <v>1099</v>
      </c>
    </row>
    <row r="33" spans="1:8" x14ac:dyDescent="0.25">
      <c r="A33" s="91">
        <v>43641</v>
      </c>
      <c r="B33" s="4" t="s">
        <v>19</v>
      </c>
      <c r="C33" s="205">
        <v>2.41</v>
      </c>
      <c r="D33" s="205">
        <v>2.35</v>
      </c>
      <c r="E33" s="205">
        <v>2.4</v>
      </c>
      <c r="F33" s="205">
        <v>2.48</v>
      </c>
      <c r="G33" s="205">
        <v>2.54</v>
      </c>
      <c r="H33" s="206">
        <v>1101</v>
      </c>
    </row>
    <row r="34" spans="1:8" x14ac:dyDescent="0.25">
      <c r="A34" s="91">
        <v>43640</v>
      </c>
      <c r="B34" s="4" t="s">
        <v>19</v>
      </c>
      <c r="C34" s="207">
        <v>2.39</v>
      </c>
      <c r="D34" s="205">
        <v>2.35</v>
      </c>
      <c r="E34" s="205">
        <v>2.38</v>
      </c>
      <c r="F34" s="205">
        <v>2.46</v>
      </c>
      <c r="G34" s="205">
        <v>2.52</v>
      </c>
      <c r="H34" s="206">
        <v>1092</v>
      </c>
    </row>
    <row r="35" spans="1:8" x14ac:dyDescent="0.25">
      <c r="A35" s="91">
        <v>43637</v>
      </c>
      <c r="B35" s="4" t="s">
        <v>19</v>
      </c>
      <c r="C35" s="205">
        <v>2.37</v>
      </c>
      <c r="D35" s="205">
        <v>2.33</v>
      </c>
      <c r="E35" s="205">
        <v>2.35</v>
      </c>
      <c r="F35" s="205">
        <v>2.4300000000000002</v>
      </c>
      <c r="G35" s="205">
        <v>2.5</v>
      </c>
      <c r="H35" s="206">
        <v>1103</v>
      </c>
    </row>
    <row r="36" spans="1:8" x14ac:dyDescent="0.25">
      <c r="A36" s="91">
        <v>43636</v>
      </c>
      <c r="B36" s="4" t="s">
        <v>19</v>
      </c>
      <c r="C36" s="205">
        <v>2.36</v>
      </c>
      <c r="D36" s="205">
        <v>2.31</v>
      </c>
      <c r="E36" s="205">
        <v>2.33</v>
      </c>
      <c r="F36" s="205">
        <v>2.41</v>
      </c>
      <c r="G36" s="205">
        <v>2.48</v>
      </c>
      <c r="H36" s="206">
        <v>1067</v>
      </c>
    </row>
    <row r="37" spans="1:8" x14ac:dyDescent="0.25">
      <c r="A37" s="91">
        <v>43635</v>
      </c>
      <c r="B37" s="4" t="s">
        <v>19</v>
      </c>
      <c r="C37" s="205">
        <v>2.36</v>
      </c>
      <c r="D37" s="205">
        <v>2.31</v>
      </c>
      <c r="E37" s="205">
        <v>2.34</v>
      </c>
      <c r="F37" s="205">
        <v>2.42</v>
      </c>
      <c r="G37" s="205">
        <v>2.4900000000000002</v>
      </c>
      <c r="H37" s="206">
        <v>1059</v>
      </c>
    </row>
    <row r="38" spans="1:8" x14ac:dyDescent="0.25">
      <c r="A38" s="91">
        <v>43634</v>
      </c>
      <c r="B38" s="4" t="s">
        <v>19</v>
      </c>
      <c r="C38" s="205">
        <v>2.39</v>
      </c>
      <c r="D38" s="205">
        <v>2.33</v>
      </c>
      <c r="E38" s="205">
        <v>2.36</v>
      </c>
      <c r="F38" s="205">
        <v>2.44</v>
      </c>
      <c r="G38" s="205">
        <v>2.5099999999999998</v>
      </c>
      <c r="H38" s="206">
        <v>1059</v>
      </c>
    </row>
    <row r="39" spans="1:8" x14ac:dyDescent="0.25">
      <c r="A39" s="91">
        <v>43633</v>
      </c>
      <c r="B39" s="4" t="s">
        <v>19</v>
      </c>
      <c r="C39" s="205">
        <v>2.41</v>
      </c>
      <c r="D39" s="205">
        <v>2.36</v>
      </c>
      <c r="E39" s="205">
        <v>2.38</v>
      </c>
      <c r="F39" s="205">
        <v>2.4700000000000002</v>
      </c>
      <c r="G39" s="205">
        <v>2.5299999999999998</v>
      </c>
      <c r="H39" s="206">
        <v>1098</v>
      </c>
    </row>
    <row r="42" spans="1:8" x14ac:dyDescent="0.25">
      <c r="A42" s="347" t="s">
        <v>20</v>
      </c>
      <c r="B42" s="347" t="s">
        <v>20</v>
      </c>
      <c r="C42" s="347" t="s">
        <v>20</v>
      </c>
      <c r="D42" s="347" t="s">
        <v>20</v>
      </c>
      <c r="E42" s="347" t="s">
        <v>20</v>
      </c>
      <c r="F42" s="347" t="s">
        <v>20</v>
      </c>
      <c r="G42" s="347" t="s">
        <v>20</v>
      </c>
      <c r="H42" s="347" t="s">
        <v>20</v>
      </c>
    </row>
    <row r="43" spans="1:8" x14ac:dyDescent="0.25">
      <c r="A43" s="347" t="s">
        <v>20</v>
      </c>
      <c r="B43" s="347" t="s">
        <v>20</v>
      </c>
      <c r="C43" s="347" t="s">
        <v>20</v>
      </c>
      <c r="D43" s="347" t="s">
        <v>20</v>
      </c>
      <c r="E43" s="347" t="s">
        <v>20</v>
      </c>
      <c r="F43" s="347" t="s">
        <v>20</v>
      </c>
      <c r="G43" s="347" t="s">
        <v>20</v>
      </c>
      <c r="H43" s="347" t="s">
        <v>20</v>
      </c>
    </row>
    <row r="44" spans="1:8" x14ac:dyDescent="0.25">
      <c r="A44" s="347" t="s">
        <v>20</v>
      </c>
      <c r="B44" s="347" t="s">
        <v>20</v>
      </c>
      <c r="C44" s="347" t="s">
        <v>20</v>
      </c>
      <c r="D44" s="347" t="s">
        <v>20</v>
      </c>
      <c r="E44" s="347" t="s">
        <v>20</v>
      </c>
      <c r="F44" s="347" t="s">
        <v>20</v>
      </c>
      <c r="G44" s="347" t="s">
        <v>20</v>
      </c>
      <c r="H44" s="347" t="s">
        <v>20</v>
      </c>
    </row>
    <row r="45" spans="1:8" x14ac:dyDescent="0.25">
      <c r="A45" s="347" t="s">
        <v>20</v>
      </c>
      <c r="B45" s="347" t="s">
        <v>20</v>
      </c>
      <c r="C45" s="347" t="s">
        <v>20</v>
      </c>
      <c r="D45" s="347" t="s">
        <v>20</v>
      </c>
      <c r="E45" s="347" t="s">
        <v>20</v>
      </c>
      <c r="F45" s="347" t="s">
        <v>20</v>
      </c>
      <c r="G45" s="347" t="s">
        <v>20</v>
      </c>
      <c r="H45" s="347" t="s">
        <v>20</v>
      </c>
    </row>
    <row r="46" spans="1:8" x14ac:dyDescent="0.25">
      <c r="A46" s="347" t="s">
        <v>21</v>
      </c>
      <c r="B46" s="347" t="s">
        <v>21</v>
      </c>
      <c r="C46" s="347" t="s">
        <v>21</v>
      </c>
      <c r="D46" s="347" t="s">
        <v>21</v>
      </c>
      <c r="E46" s="347" t="s">
        <v>21</v>
      </c>
      <c r="F46" s="347" t="s">
        <v>21</v>
      </c>
      <c r="G46" s="347" t="s">
        <v>21</v>
      </c>
      <c r="H46" s="347" t="s">
        <v>21</v>
      </c>
    </row>
  </sheetData>
  <sheetProtection algorithmName="SHA-512" hashValue="rSg3wVxAsZ+aFL1H93UNws1CLku8WcDAfA8AqYN19nCYUKjmB2u6yTzDrZJ08Q1y+GhXQpnVz8CsrJKrdrPtJQ==" saltValue="IaV+wKePGmYlfMarW6ENwg==" spinCount="100000" sheet="1" objects="1" scenarios="1"/>
  <mergeCells count="7">
    <mergeCell ref="A42:H46"/>
    <mergeCell ref="A1:H1"/>
    <mergeCell ref="D3:G3"/>
    <mergeCell ref="A3:A4"/>
    <mergeCell ref="B3:B4"/>
    <mergeCell ref="C3:C4"/>
    <mergeCell ref="H3:H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36"/>
  <sheetViews>
    <sheetView zoomScale="90" zoomScaleNormal="90" workbookViewId="0">
      <selection activeCell="C32" sqref="C32"/>
    </sheetView>
  </sheetViews>
  <sheetFormatPr defaultRowHeight="15" x14ac:dyDescent="0.25"/>
  <cols>
    <col min="1" max="7" width="20.7109375" customWidth="1"/>
    <col min="8" max="8" width="19.85546875" customWidth="1"/>
    <col min="9" max="9" width="16" customWidth="1"/>
  </cols>
  <sheetData>
    <row r="1" spans="1:9" s="117" customFormat="1" ht="22.5" customHeight="1" thickBot="1" x14ac:dyDescent="0.3">
      <c r="A1" s="351" t="s">
        <v>88</v>
      </c>
      <c r="B1" s="352"/>
      <c r="C1" s="352"/>
      <c r="D1" s="352"/>
      <c r="E1" s="352"/>
      <c r="F1" s="352"/>
      <c r="G1" s="352"/>
      <c r="H1" s="353"/>
    </row>
    <row r="2" spans="1:9" ht="18" customHeight="1" x14ac:dyDescent="0.25">
      <c r="A2" s="354" t="s">
        <v>42</v>
      </c>
      <c r="B2" s="357" t="s">
        <v>45</v>
      </c>
      <c r="C2" s="354" t="s">
        <v>43</v>
      </c>
      <c r="D2" s="367" t="s">
        <v>44</v>
      </c>
      <c r="E2" s="367" t="s">
        <v>49</v>
      </c>
      <c r="F2" s="357" t="s">
        <v>46</v>
      </c>
      <c r="G2" s="364" t="s">
        <v>47</v>
      </c>
      <c r="H2" s="364" t="s">
        <v>48</v>
      </c>
    </row>
    <row r="3" spans="1:9" ht="15" customHeight="1" x14ac:dyDescent="0.25">
      <c r="A3" s="355"/>
      <c r="B3" s="358"/>
      <c r="C3" s="355"/>
      <c r="D3" s="368"/>
      <c r="E3" s="368"/>
      <c r="F3" s="358"/>
      <c r="G3" s="365"/>
      <c r="H3" s="365"/>
    </row>
    <row r="4" spans="1:9" ht="15.75" customHeight="1" thickBot="1" x14ac:dyDescent="0.3">
      <c r="A4" s="356"/>
      <c r="B4" s="359"/>
      <c r="C4" s="356"/>
      <c r="D4" s="369"/>
      <c r="E4" s="369"/>
      <c r="F4" s="359"/>
      <c r="G4" s="366"/>
      <c r="H4" s="366"/>
    </row>
    <row r="5" spans="1:9" ht="14.45" customHeight="1" x14ac:dyDescent="0.25">
      <c r="A5" s="231">
        <f>'1a Simple Int with int prepay'!N7</f>
        <v>12277.777777777777</v>
      </c>
      <c r="B5" s="232">
        <f>'1b Simple Int NO int prepay'!N7</f>
        <v>12277.777777777777</v>
      </c>
      <c r="C5" s="233">
        <f>'2a Comp Bal int prepay'!N7</f>
        <v>12277.777777777777</v>
      </c>
      <c r="D5" s="234">
        <f>'3a Comp Rate int prepay'!N7</f>
        <v>12277.777777777406</v>
      </c>
      <c r="E5" s="234">
        <f>'4a Comp Rate NCCR int prepay'!M7</f>
        <v>12277.777777777406</v>
      </c>
      <c r="F5" s="235">
        <f>'2b Comp Bal NO int prepay'!N7</f>
        <v>12277.777777777777</v>
      </c>
      <c r="G5" s="236">
        <f>'3b Comp Rate NO int prepay'!N7</f>
        <v>12277.777777777406</v>
      </c>
      <c r="H5" s="236">
        <f>'4b Comp Rate NCCR NO int prepay'!M7</f>
        <v>12277.777777777406</v>
      </c>
    </row>
    <row r="6" spans="1:9" x14ac:dyDescent="0.25">
      <c r="A6" s="237">
        <f>'1a Simple Int with int prepay'!N8</f>
        <v>12527.777777777777</v>
      </c>
      <c r="B6" s="235">
        <f>'1b Simple Int NO int prepay'!N8</f>
        <v>12527.777777777777</v>
      </c>
      <c r="C6" s="233">
        <f>'2a Comp Bal int prepay'!N8</f>
        <v>12528.246466049382</v>
      </c>
      <c r="D6" s="234">
        <f>'3a Comp Rate int prepay'!N8</f>
        <v>12528.246466033917</v>
      </c>
      <c r="E6" s="234">
        <f>'4a Comp Rate NCCR int prepay'!M8</f>
        <v>12528.246466033917</v>
      </c>
      <c r="F6" s="235">
        <f>'2b Comp Bal NO int prepay'!N8</f>
        <v>12528.246466049382</v>
      </c>
      <c r="G6" s="236">
        <f>'3b Comp Rate NO int prepay'!N8</f>
        <v>12528.246466033917</v>
      </c>
      <c r="H6" s="236">
        <f>'4b Comp Rate NCCR NO int prepay'!M8</f>
        <v>12528.246466033917</v>
      </c>
    </row>
    <row r="7" spans="1:9" x14ac:dyDescent="0.25">
      <c r="A7" s="237">
        <f>'1a Simple Int with int prepay'!N9</f>
        <v>25333.333333333336</v>
      </c>
      <c r="B7" s="235">
        <f>'1b Simple Int NO int prepay'!N9</f>
        <v>25333.333333333336</v>
      </c>
      <c r="C7" s="233">
        <f>'2a Comp Bal int prepay'!N9</f>
        <v>25335.28105431221</v>
      </c>
      <c r="D7" s="234">
        <f>'3a Comp Rate int prepay'!N9</f>
        <v>25335.281054322186</v>
      </c>
      <c r="E7" s="234">
        <f>'4a Comp Rate NCCR int prepay'!M9</f>
        <v>25335.281054322186</v>
      </c>
      <c r="F7" s="235">
        <f>'2b Comp Bal NO int prepay'!N9</f>
        <v>25335.28105431221</v>
      </c>
      <c r="G7" s="236">
        <f>'3b Comp Rate NO int prepay'!N9</f>
        <v>25335.281054322186</v>
      </c>
      <c r="H7" s="236">
        <f>'4b Comp Rate NCCR NO int prepay'!M9</f>
        <v>25335.281054322186</v>
      </c>
    </row>
    <row r="8" spans="1:9" x14ac:dyDescent="0.25">
      <c r="A8" s="237">
        <f>'1a Simple Int with int prepay'!N10</f>
        <v>0</v>
      </c>
      <c r="B8" s="235">
        <f>'1b Simple Int NO int prepay'!N10</f>
        <v>0</v>
      </c>
      <c r="C8" s="233">
        <f>'2a Comp Bal int prepay'!N10</f>
        <v>0</v>
      </c>
      <c r="D8" s="234">
        <f>'3a Comp Rate int prepay'!N10</f>
        <v>0</v>
      </c>
      <c r="E8" s="234">
        <f>'4a Comp Rate NCCR int prepay'!M10</f>
        <v>0</v>
      </c>
      <c r="F8" s="235">
        <f>'2b Comp Bal NO int prepay'!N10</f>
        <v>0</v>
      </c>
      <c r="G8" s="236">
        <f>'3b Comp Rate NO int prepay'!N10</f>
        <v>0</v>
      </c>
      <c r="H8" s="236">
        <f>'4b Comp Rate NCCR NO int prepay'!M10</f>
        <v>0</v>
      </c>
    </row>
    <row r="9" spans="1:9" x14ac:dyDescent="0.25">
      <c r="A9" s="237">
        <f>'1a Simple Int with int prepay'!N11</f>
        <v>38250</v>
      </c>
      <c r="B9" s="235">
        <f>'1b Simple Int NO int prepay'!N11</f>
        <v>38250</v>
      </c>
      <c r="C9" s="233">
        <f>'2a Comp Bal int prepay'!N11</f>
        <v>38256.025868763885</v>
      </c>
      <c r="D9" s="234">
        <f>'3a Comp Rate int prepay'!N11</f>
        <v>38256.025868756595</v>
      </c>
      <c r="E9" s="234">
        <f>'4a Comp Rate NCCR int prepay'!M11</f>
        <v>38256.025868756595</v>
      </c>
      <c r="F9" s="235">
        <f>'2b Comp Bal NO int prepay'!N11</f>
        <v>38256.025868763885</v>
      </c>
      <c r="G9" s="236">
        <f>'3b Comp Rate NO int prepay'!N11</f>
        <v>38256.025868756595</v>
      </c>
      <c r="H9" s="236">
        <f>'4b Comp Rate NCCR NO int prepay'!M11</f>
        <v>38256.025868756595</v>
      </c>
    </row>
    <row r="10" spans="1:9" x14ac:dyDescent="0.25">
      <c r="A10" s="237">
        <f>'1a Simple Int with int prepay'!N12</f>
        <v>12444.444444444445</v>
      </c>
      <c r="B10" s="235">
        <f>'1b Simple Int NO int prepay'!N12</f>
        <v>12444.444444444445</v>
      </c>
      <c r="C10" s="233">
        <f>'2a Comp Bal int prepay'!N12</f>
        <v>12447.855026023597</v>
      </c>
      <c r="D10" s="234">
        <f>'3a Comp Rate int prepay'!N12</f>
        <v>12447.855026017882</v>
      </c>
      <c r="E10" s="234">
        <f>'4a Comp Rate NCCR int prepay'!M12</f>
        <v>12447.855026017882</v>
      </c>
      <c r="F10" s="235">
        <f>'2b Comp Bal NO int prepay'!N12</f>
        <v>12447.855026023597</v>
      </c>
      <c r="G10" s="236">
        <f>'3b Comp Rate NO int prepay'!N12</f>
        <v>12447.855026017882</v>
      </c>
      <c r="H10" s="236">
        <f>'4b Comp Rate NCCR NO int prepay'!M12</f>
        <v>12447.855026017882</v>
      </c>
    </row>
    <row r="11" spans="1:9" x14ac:dyDescent="0.25">
      <c r="A11" s="237">
        <f>'1a Simple Int with int prepay'!N13</f>
        <v>12361.111111111113</v>
      </c>
      <c r="B11" s="235">
        <f>'1b Simple Int NO int prepay'!N13</f>
        <v>12361.111111111113</v>
      </c>
      <c r="C11" s="233">
        <f>'2a Comp Bal int prepay'!N13</f>
        <v>12364.949494924549</v>
      </c>
      <c r="D11" s="234">
        <f>'3a Comp Rate int prepay'!N13</f>
        <v>12364.949494910979</v>
      </c>
      <c r="E11" s="234">
        <f>'4a Comp Rate NCCR int prepay'!M13</f>
        <v>12364.949494910979</v>
      </c>
      <c r="F11" s="235">
        <f>'2b Comp Bal NO int prepay'!N13</f>
        <v>12364.949494924549</v>
      </c>
      <c r="G11" s="236">
        <f>'3b Comp Rate NO int prepay'!N13</f>
        <v>12364.949494910979</v>
      </c>
      <c r="H11" s="236">
        <f>'4b Comp Rate NCCR NO int prepay'!M13</f>
        <v>12364.949494910979</v>
      </c>
    </row>
    <row r="12" spans="1:9" x14ac:dyDescent="0.25">
      <c r="A12" s="237">
        <f>'1a Simple Int with int prepay'!N14</f>
        <v>12388.888888888889</v>
      </c>
      <c r="B12" s="235">
        <f>'1b Simple Int NO int prepay'!N14</f>
        <v>12388.888888888889</v>
      </c>
      <c r="C12" s="233">
        <f>'2a Comp Bal int prepay'!N14</f>
        <v>12393.208248160892</v>
      </c>
      <c r="D12" s="234">
        <f>'3a Comp Rate int prepay'!N14</f>
        <v>12393.208248159506</v>
      </c>
      <c r="E12" s="234">
        <f>'4a Comp Rate NCCR int prepay'!M14</f>
        <v>12393.208248159503</v>
      </c>
      <c r="F12" s="235">
        <f>'2b Comp Bal NO int prepay'!N14</f>
        <v>12393.208248160892</v>
      </c>
      <c r="G12" s="236">
        <f>'3b Comp Rate NO int prepay'!N14</f>
        <v>12393.208248159506</v>
      </c>
      <c r="H12" s="236">
        <f>'4b Comp Rate NCCR NO int prepay'!M14</f>
        <v>12393.208248159503</v>
      </c>
    </row>
    <row r="13" spans="1:9" x14ac:dyDescent="0.25">
      <c r="A13" s="237">
        <f>'1a Simple Int with int prepay'!N15</f>
        <v>12250</v>
      </c>
      <c r="B13" s="235">
        <f>'1b Simple Int NO int prepay'!N15</f>
        <v>12250</v>
      </c>
      <c r="C13" s="233">
        <f>'2a Comp Bal int prepay'!N15</f>
        <v>12254.689310277692</v>
      </c>
      <c r="D13" s="234">
        <f>'3a Comp Rate int prepay'!N15</f>
        <v>12254.68931028396</v>
      </c>
      <c r="E13" s="234">
        <f>'4a Comp Rate NCCR int prepay'!M15</f>
        <v>12254.689310283971</v>
      </c>
      <c r="F13" s="235">
        <f>'2b Comp Bal NO int prepay'!N15</f>
        <v>12254.689310277692</v>
      </c>
      <c r="G13" s="236">
        <f>'3b Comp Rate NO int prepay'!N15</f>
        <v>12254.68931028396</v>
      </c>
      <c r="H13" s="236">
        <f>'4b Comp Rate NCCR NO int prepay'!M15</f>
        <v>12254.689310283971</v>
      </c>
    </row>
    <row r="14" spans="1:9" x14ac:dyDescent="0.25">
      <c r="A14" s="237">
        <f>'1a Simple Int with int prepay'!N16</f>
        <v>36333.333333333328</v>
      </c>
      <c r="B14" s="235">
        <f>'1b Simple Int NO int prepay'!N16</f>
        <v>36333.333333333328</v>
      </c>
      <c r="C14" s="233">
        <f>'2a Comp Bal int prepay'!N16</f>
        <v>36348.426894686585</v>
      </c>
      <c r="D14" s="234">
        <f>'3a Comp Rate int prepay'!N16</f>
        <v>36348.426894685268</v>
      </c>
      <c r="E14" s="234">
        <f>'4a Comp Rate NCCR int prepay'!M16</f>
        <v>36348.426894685268</v>
      </c>
      <c r="F14" s="235">
        <f>'2b Comp Bal NO int prepay'!N16</f>
        <v>36348.426894686585</v>
      </c>
      <c r="G14" s="236">
        <f>'3b Comp Rate NO int prepay'!N16</f>
        <v>36348.426894685268</v>
      </c>
      <c r="H14" s="236">
        <f>'4b Comp Rate NCCR NO int prepay'!M16</f>
        <v>36348.426894685268</v>
      </c>
    </row>
    <row r="15" spans="1:9" x14ac:dyDescent="0.25">
      <c r="A15" s="237">
        <f>'1a Simple Int with int prepay'!N17</f>
        <v>11150</v>
      </c>
      <c r="B15" s="235">
        <f>'1b Simple Int NO int prepay'!N17</f>
        <v>11150</v>
      </c>
      <c r="C15" s="233">
        <f>'2a Comp Bal int prepay'!N17</f>
        <v>11155.930363965337</v>
      </c>
      <c r="D15" s="234">
        <f>'3a Comp Rate int prepay'!N17</f>
        <v>11155.930363960228</v>
      </c>
      <c r="E15" s="234">
        <f>'4a Comp Rate NCCR int prepay'!M17</f>
        <v>11155.930363960226</v>
      </c>
      <c r="F15" s="235">
        <f>'2b Comp Bal NO int prepay'!N17</f>
        <v>11156.589293294819</v>
      </c>
      <c r="G15" s="236">
        <f>'3b Comp Rate NO int prepay'!N17</f>
        <v>1513.0621276432357</v>
      </c>
      <c r="H15" s="236">
        <f>'4b Comp Rate NCCR NO int prepay'!M17</f>
        <v>11155.930363960226</v>
      </c>
      <c r="I15" s="6"/>
    </row>
    <row r="16" spans="1:9" x14ac:dyDescent="0.25">
      <c r="A16" s="237">
        <f>'1a Simple Int with int prepay'!N18</f>
        <v>11175.000000000002</v>
      </c>
      <c r="B16" s="235">
        <f>'1b Simple Int NO int prepay'!N18</f>
        <v>11175.000000000002</v>
      </c>
      <c r="C16" s="233">
        <f>'2a Comp Bal int prepay'!N18</f>
        <v>11181.376836358122</v>
      </c>
      <c r="D16" s="234">
        <f>'3a Comp Rate int prepay'!N18</f>
        <v>11181.376836349446</v>
      </c>
      <c r="E16" s="234">
        <f>'4a Comp Rate NCCR int prepay'!M18</f>
        <v>11181.376836349449</v>
      </c>
      <c r="F16" s="235">
        <f>'2b Comp Bal NO int prepay'!N18</f>
        <v>11182.03848947199</v>
      </c>
      <c r="G16" s="236">
        <f>'3b Comp Rate NO int prepay'!N18</f>
        <v>11181.376836349446</v>
      </c>
      <c r="H16" s="236">
        <f>'4b Comp Rate NCCR NO int prepay'!M18</f>
        <v>11181.376836349449</v>
      </c>
      <c r="I16" s="6"/>
    </row>
    <row r="17" spans="1:9" x14ac:dyDescent="0.25">
      <c r="A17" s="237">
        <f>'1a Simple Int with int prepay'!N19</f>
        <v>11175.000000000002</v>
      </c>
      <c r="B17" s="235">
        <f>'1b Simple Int NO int prepay'!N19</f>
        <v>11175.000000000002</v>
      </c>
      <c r="C17" s="233">
        <f>'2a Comp Bal int prepay'!N19</f>
        <v>11181.800947491061</v>
      </c>
      <c r="D17" s="234">
        <f>'3a Comp Rate int prepay'!N19</f>
        <v>11181.800947475669</v>
      </c>
      <c r="E17" s="234">
        <f>'4a Comp Rate NCCR int prepay'!M19</f>
        <v>11181.800947475669</v>
      </c>
      <c r="F17" s="235">
        <f>'2b Comp Bal NO int prepay'!N19</f>
        <v>11182.462646001683</v>
      </c>
      <c r="G17" s="236">
        <f>'3b Comp Rate NO int prepay'!N19</f>
        <v>11181.800947475669</v>
      </c>
      <c r="H17" s="236">
        <f>'4b Comp Rate NCCR NO int prepay'!M19</f>
        <v>11181.800947475669</v>
      </c>
      <c r="I17" s="363"/>
    </row>
    <row r="18" spans="1:9" x14ac:dyDescent="0.25">
      <c r="A18" s="237">
        <f>'1a Simple Int with int prepay'!N20</f>
        <v>11150</v>
      </c>
      <c r="B18" s="235">
        <f>'1b Simple Int NO int prepay'!N20</f>
        <v>11150</v>
      </c>
      <c r="C18" s="233">
        <f>'2a Comp Bal int prepay'!N20</f>
        <v>11157.195836355437</v>
      </c>
      <c r="D18" s="234">
        <f>'3a Comp Rate int prepay'!N20</f>
        <v>11157.19583634712</v>
      </c>
      <c r="E18" s="234">
        <f>'4a Comp Rate NCCR int prepay'!M20</f>
        <v>11157.195836347106</v>
      </c>
      <c r="F18" s="235">
        <f>'2b Comp Bal NO int prepay'!N20</f>
        <v>11157.854901140785</v>
      </c>
      <c r="G18" s="236">
        <f>'3b Comp Rate NO int prepay'!N20</f>
        <v>11157.19583634712</v>
      </c>
      <c r="H18" s="236">
        <f>'4b Comp Rate NCCR NO int prepay'!M20</f>
        <v>11157.195836347106</v>
      </c>
      <c r="I18" s="363"/>
    </row>
    <row r="19" spans="1:9" x14ac:dyDescent="0.25">
      <c r="A19" s="237">
        <f>'1a Simple Int with int prepay'!N21</f>
        <v>33075</v>
      </c>
      <c r="B19" s="235">
        <f>'1b Simple Int NO int prepay'!N21</f>
        <v>33075</v>
      </c>
      <c r="C19" s="233">
        <f>'2a Comp Bal int prepay'!N21</f>
        <v>33097.385308720637</v>
      </c>
      <c r="D19" s="234">
        <f>'3a Comp Rate int prepay'!N21</f>
        <v>33097.38530873516</v>
      </c>
      <c r="E19" s="234">
        <f>'4a Comp Rate NCCR int prepay'!M21</f>
        <v>33097.385308735174</v>
      </c>
      <c r="F19" s="235">
        <f>'2b Comp Bal NO int prepay'!N21</f>
        <v>33099.322448561696</v>
      </c>
      <c r="G19" s="236">
        <f>'3b Comp Rate NO int prepay'!N21</f>
        <v>33097.38530873516</v>
      </c>
      <c r="H19" s="236">
        <f>'4b Comp Rate NCCR NO int prepay'!M21</f>
        <v>33097.385308735174</v>
      </c>
      <c r="I19" s="363"/>
    </row>
    <row r="20" spans="1:9" x14ac:dyDescent="0.25">
      <c r="A20" s="237">
        <f>'1a Simple Int with int prepay'!N22</f>
        <v>11000</v>
      </c>
      <c r="B20" s="235">
        <f>'1b Simple Int NO int prepay'!N22</f>
        <v>11000</v>
      </c>
      <c r="C20" s="233">
        <f>'2a Comp Bal int prepay'!N22</f>
        <v>11008.637300227985</v>
      </c>
      <c r="D20" s="234">
        <f>'3a Comp Rate int prepay'!N22</f>
        <v>11008.63730023439</v>
      </c>
      <c r="E20" s="234">
        <f>'4a Comp Rate NCCR int prepay'!M22</f>
        <v>11008.637300234375</v>
      </c>
      <c r="F20" s="235">
        <f>'2b Comp Bal NO int prepay'!N22</f>
        <v>11009.280463342779</v>
      </c>
      <c r="G20" s="236">
        <f>'3b Comp Rate NO int prepay'!N22</f>
        <v>11008.63730023439</v>
      </c>
      <c r="H20" s="236">
        <f>'4b Comp Rate NCCR NO int prepay'!M22</f>
        <v>11008.637300234375</v>
      </c>
      <c r="I20" s="363"/>
    </row>
    <row r="21" spans="1:9" x14ac:dyDescent="0.25">
      <c r="A21" s="237">
        <f>'1a Simple Int with int prepay'!N23</f>
        <v>11000</v>
      </c>
      <c r="B21" s="235">
        <f>'1b Simple Int NO int prepay'!N23</f>
        <v>11000</v>
      </c>
      <c r="C21" s="233">
        <f>'2a Comp Bal int prepay'!N23</f>
        <v>11009.037876048</v>
      </c>
      <c r="D21" s="234">
        <f>'3a Comp Rate int prepay'!N23</f>
        <v>11009.037876046874</v>
      </c>
      <c r="E21" s="234">
        <f>'4a Comp Rate NCCR int prepay'!M23</f>
        <v>11009.037876046896</v>
      </c>
      <c r="F21" s="235">
        <f>'2b Comp Bal NO int prepay'!N23</f>
        <v>11009.681082040333</v>
      </c>
      <c r="G21" s="236">
        <f>'3b Comp Rate NO int prepay'!N23</f>
        <v>11009.037876046874</v>
      </c>
      <c r="H21" s="236">
        <f>'4b Comp Rate NCCR NO int prepay'!M23</f>
        <v>11009.037876046896</v>
      </c>
      <c r="I21" s="363"/>
    </row>
    <row r="22" spans="1:9" x14ac:dyDescent="0.25">
      <c r="A22" s="237">
        <f>'1a Simple Int with int prepay'!N24</f>
        <v>11025</v>
      </c>
      <c r="B22" s="235">
        <f>'1b Simple Int NO int prepay'!N24</f>
        <v>11025</v>
      </c>
      <c r="C22" s="233">
        <f>'2a Comp Bal int prepay'!N24</f>
        <v>11034.477805567125</v>
      </c>
      <c r="D22" s="234">
        <f>'3a Comp Rate int prepay'!N24</f>
        <v>11034.477805569884</v>
      </c>
      <c r="E22" s="234">
        <f>'4a Comp Rate NCCR int prepay'!M24</f>
        <v>11034.47780556987</v>
      </c>
      <c r="F22" s="235">
        <f>'2b Comp Bal NO int prepay'!N24</f>
        <v>11035.123734643494</v>
      </c>
      <c r="G22" s="236">
        <f>'3b Comp Rate NO int prepay'!N24</f>
        <v>11034.477805569884</v>
      </c>
      <c r="H22" s="236">
        <f>'4b Comp Rate NCCR NO int prepay'!M24</f>
        <v>11034.47780556987</v>
      </c>
      <c r="I22" s="363"/>
    </row>
    <row r="23" spans="1:9" x14ac:dyDescent="0.25">
      <c r="A23" s="237">
        <f>'1a Simple Int with int prepay'!N25</f>
        <v>11050</v>
      </c>
      <c r="B23" s="235">
        <f>'1b Simple Int NO int prepay'!N25</f>
        <v>11050</v>
      </c>
      <c r="C23" s="233">
        <f>'2a Comp Bal int prepay'!N25</f>
        <v>11059.92278356922</v>
      </c>
      <c r="D23" s="234">
        <f>'3a Comp Rate int prepay'!N25</f>
        <v>11059.922783574468</v>
      </c>
      <c r="E23" s="234">
        <f>'4a Comp Rate NCCR int prepay'!M25</f>
        <v>11059.922783574479</v>
      </c>
      <c r="F23" s="235">
        <f>'2b Comp Bal NO int prepay'!N25</f>
        <v>11060.571436270013</v>
      </c>
      <c r="G23" s="236">
        <f>'3b Comp Rate NO int prepay'!N25</f>
        <v>11059.922783574468</v>
      </c>
      <c r="H23" s="236">
        <f>'4b Comp Rate NCCR NO int prepay'!M25</f>
        <v>11059.922783574479</v>
      </c>
      <c r="I23" s="363"/>
    </row>
    <row r="24" spans="1:9" x14ac:dyDescent="0.25">
      <c r="A24" s="237">
        <f>'1a Simple Int with int prepay'!N26</f>
        <v>33075</v>
      </c>
      <c r="B24" s="235">
        <f>'1b Simple Int NO int prepay'!N26</f>
        <v>33075</v>
      </c>
      <c r="C24" s="233">
        <f>'2a Comp Bal int prepay'!N26</f>
        <v>33105.862375486358</v>
      </c>
      <c r="D24" s="234">
        <f>'3a Comp Rate int prepay'!N26</f>
        <v>33105.862375503726</v>
      </c>
      <c r="E24" s="234">
        <f>'4a Comp Rate NCCR int prepay'!M26</f>
        <v>33105.862375503712</v>
      </c>
      <c r="F24" s="235">
        <f>'2b Comp Bal NO int prepay'!N26</f>
        <v>33107.800422710643</v>
      </c>
      <c r="G24" s="236">
        <f>'3b Comp Rate NO int prepay'!N26</f>
        <v>33105.862375503726</v>
      </c>
      <c r="H24" s="236">
        <f>'4b Comp Rate NCCR NO int prepay'!M26</f>
        <v>33105.862375503712</v>
      </c>
      <c r="I24" s="363"/>
    </row>
    <row r="25" spans="1:9" x14ac:dyDescent="0.25">
      <c r="A25" s="237">
        <f>'1a Simple Int with int prepay'!N27</f>
        <v>11000</v>
      </c>
      <c r="B25" s="235">
        <f>'1b Simple Int NO int prepay'!N27</f>
        <v>11000</v>
      </c>
      <c r="C25" s="233">
        <f>'2a Comp Bal int prepay'!N27</f>
        <v>11011.451829437377</v>
      </c>
      <c r="D25" s="234">
        <f>'3a Comp Rate int prepay'!N27</f>
        <v>11011.451829444064</v>
      </c>
      <c r="E25" s="234">
        <f>'4a Comp Rate NCCR int prepay'!M27</f>
        <v>11011.45182944407</v>
      </c>
      <c r="F25" s="235">
        <f>'2b Comp Bal NO int prepay'!N27</f>
        <v>11012.095293818713</v>
      </c>
      <c r="G25" s="236">
        <f>'3b Comp Rate NO int prepay'!N27</f>
        <v>11011.451829444064</v>
      </c>
      <c r="H25" s="236">
        <f>'4b Comp Rate NCCR NO int prepay'!M27</f>
        <v>11011.45182944407</v>
      </c>
      <c r="I25" s="363"/>
    </row>
    <row r="26" spans="1:9" x14ac:dyDescent="0.25">
      <c r="A26" s="237">
        <f>'1a Simple Int with int prepay'!N28</f>
        <v>10975</v>
      </c>
      <c r="B26" s="235">
        <f>'1b Simple Int NO int prepay'!N28</f>
        <v>10975</v>
      </c>
      <c r="C26" s="233">
        <f>'2a Comp Bal int prepay'!N28</f>
        <v>10986.803207088953</v>
      </c>
      <c r="D26" s="234">
        <f>'3a Comp Rate int prepay'!N28</f>
        <v>10986.803207100864</v>
      </c>
      <c r="E26" s="234">
        <f>'4a Comp Rate NCCR int prepay'!M28</f>
        <v>10986.803207100877</v>
      </c>
      <c r="F26" s="235">
        <f>'2b Comp Bal NO int prepay'!N28</f>
        <v>10987.444033087584</v>
      </c>
      <c r="G26" s="236">
        <f>'3b Comp Rate NO int prepay'!N28</f>
        <v>10986.803207100864</v>
      </c>
      <c r="H26" s="236">
        <f>'4b Comp Rate NCCR NO int prepay'!M28</f>
        <v>10986.803207100877</v>
      </c>
      <c r="I26" s="363"/>
    </row>
    <row r="27" spans="1:9" ht="15.75" thickBot="1" x14ac:dyDescent="0.3">
      <c r="A27" s="237">
        <f>'1a Simple Int with int prepay'!N29</f>
        <v>11375</v>
      </c>
      <c r="B27" s="238">
        <f>'1b Simple Int NO int prepay'!N29</f>
        <v>11375</v>
      </c>
      <c r="C27" s="233">
        <f>'2a Comp Bal int prepay'!N29</f>
        <v>11388.017445175634</v>
      </c>
      <c r="D27" s="234">
        <f>'3a Comp Rate int prepay'!N29</f>
        <v>11388.017445173609</v>
      </c>
      <c r="E27" s="234">
        <f>'4a Comp Rate NCCR int prepay'!M29</f>
        <v>11388.017445173587</v>
      </c>
      <c r="F27" s="238">
        <f>'2b Comp Bal NO int prepay'!N29</f>
        <v>11388.70121705137</v>
      </c>
      <c r="G27" s="236">
        <f>'3b Comp Rate NO int prepay'!N29</f>
        <v>11388.017445173609</v>
      </c>
      <c r="H27" s="239">
        <f>'4b Comp Rate NCCR NO int prepay'!M29</f>
        <v>11388.017445173587</v>
      </c>
    </row>
    <row r="28" spans="1:9" x14ac:dyDescent="0.25">
      <c r="A28" s="240"/>
      <c r="B28" s="241"/>
      <c r="C28" s="242"/>
      <c r="D28" s="242"/>
      <c r="E28" s="243"/>
      <c r="F28" s="244"/>
      <c r="G28" s="242"/>
      <c r="H28" s="241"/>
    </row>
    <row r="29" spans="1:9" ht="15.75" thickBot="1" x14ac:dyDescent="0.3">
      <c r="A29" s="245">
        <f t="shared" ref="A29:H29" si="0">SUM(A5:A27)</f>
        <v>362391.66666666669</v>
      </c>
      <c r="B29" s="246">
        <f>SUM(B5:B27)</f>
        <v>362391.66666666669</v>
      </c>
      <c r="C29" s="247">
        <f t="shared" si="0"/>
        <v>362584.36005646788</v>
      </c>
      <c r="D29" s="247">
        <f t="shared" si="0"/>
        <v>362584.36005646305</v>
      </c>
      <c r="E29" s="246">
        <f t="shared" ref="E29" si="1">SUM(E5:E27)</f>
        <v>362584.36005646334</v>
      </c>
      <c r="F29" s="247">
        <f t="shared" si="0"/>
        <v>362595.42560241255</v>
      </c>
      <c r="G29" s="248">
        <f t="shared" si="0"/>
        <v>352941.4918201461</v>
      </c>
      <c r="H29" s="249">
        <f t="shared" si="0"/>
        <v>362584.36005646334</v>
      </c>
      <c r="I29" s="6"/>
    </row>
    <row r="30" spans="1:9" ht="15.75" thickBot="1" x14ac:dyDescent="0.3">
      <c r="A30" s="360" t="s">
        <v>50</v>
      </c>
      <c r="B30" s="362"/>
      <c r="C30" s="360" t="s">
        <v>51</v>
      </c>
      <c r="D30" s="361"/>
      <c r="E30" s="361"/>
      <c r="F30" s="360" t="s">
        <v>52</v>
      </c>
      <c r="G30" s="361"/>
      <c r="H30" s="362"/>
    </row>
    <row r="36" spans="2:2" x14ac:dyDescent="0.25">
      <c r="B36" s="6"/>
    </row>
  </sheetData>
  <sheetProtection algorithmName="SHA-512" hashValue="PvKGvGr2r4EnLvCFXwVYPLFyxSptMzUlBbqOh1CXAUVSE1mrdgNU1RRrOXnKmPrh5VTQ7OeVQLrkps9QCxnQdg==" saltValue="zpmwXWf9xAHWnPlLEhVu3g==" spinCount="100000" sheet="1" objects="1" scenarios="1"/>
  <mergeCells count="13">
    <mergeCell ref="I17:I26"/>
    <mergeCell ref="F2:F4"/>
    <mergeCell ref="C2:C4"/>
    <mergeCell ref="G2:G4"/>
    <mergeCell ref="H2:H4"/>
    <mergeCell ref="E2:E4"/>
    <mergeCell ref="D2:D4"/>
    <mergeCell ref="A1:H1"/>
    <mergeCell ref="A2:A4"/>
    <mergeCell ref="B2:B4"/>
    <mergeCell ref="C30:E30"/>
    <mergeCell ref="A30:B30"/>
    <mergeCell ref="F30:H3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7"/>
  <sheetViews>
    <sheetView tabSelected="1" topLeftCell="M1" zoomScale="80" zoomScaleNormal="80" workbookViewId="0">
      <pane ySplit="5" topLeftCell="A6" activePane="bottomLeft" state="frozen"/>
      <selection pane="bottomLeft" activeCell="P1" sqref="P1:Z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bestFit="1" customWidth="1"/>
    <col min="9" max="10" width="21.7109375" style="102" customWidth="1"/>
    <col min="11" max="11" width="15.5703125" customWidth="1"/>
    <col min="12" max="12" width="14.42578125" customWidth="1"/>
    <col min="13" max="13" width="12.42578125" customWidth="1"/>
    <col min="14" max="14" width="12.28515625" bestFit="1" customWidth="1"/>
    <col min="15" max="15" width="11" bestFit="1" customWidth="1"/>
  </cols>
  <sheetData>
    <row r="1" spans="1:26" s="176" customFormat="1" ht="18.600000000000001" customHeight="1" thickTop="1" x14ac:dyDescent="0.3">
      <c r="A1" s="371" t="s">
        <v>72</v>
      </c>
      <c r="B1" s="372"/>
      <c r="C1" s="372"/>
      <c r="D1" s="372"/>
      <c r="E1" s="372"/>
      <c r="F1" s="372"/>
      <c r="G1" s="372"/>
      <c r="H1" s="372"/>
      <c r="I1" s="373" t="s">
        <v>73</v>
      </c>
      <c r="J1" s="373"/>
      <c r="K1" s="373"/>
      <c r="L1" s="374" t="s">
        <v>77</v>
      </c>
      <c r="M1" s="374"/>
      <c r="N1" s="180"/>
      <c r="P1" s="323" t="s">
        <v>97</v>
      </c>
      <c r="Q1" s="324"/>
      <c r="R1" s="324"/>
      <c r="S1" s="324"/>
      <c r="T1" s="324"/>
      <c r="U1" s="324"/>
      <c r="V1" s="324"/>
      <c r="W1" s="324"/>
      <c r="X1" s="324"/>
      <c r="Y1" s="324"/>
      <c r="Z1" s="325"/>
    </row>
    <row r="2" spans="1:26" ht="5.0999999999999996" customHeight="1" x14ac:dyDescent="0.25">
      <c r="A2" s="59"/>
      <c r="B2" s="95"/>
      <c r="C2" s="80"/>
      <c r="D2" s="80"/>
      <c r="E2" s="138"/>
      <c r="F2" s="80"/>
      <c r="G2" s="82"/>
      <c r="H2" s="106"/>
      <c r="I2" s="104"/>
      <c r="J2" s="115"/>
      <c r="K2" s="78"/>
      <c r="L2" s="177"/>
      <c r="M2" s="178"/>
      <c r="N2" s="179"/>
      <c r="O2" s="6"/>
      <c r="P2" s="326"/>
      <c r="Q2" s="327"/>
      <c r="R2" s="327"/>
      <c r="S2" s="327"/>
      <c r="T2" s="327"/>
      <c r="U2" s="327"/>
      <c r="V2" s="327"/>
      <c r="W2" s="327"/>
      <c r="X2" s="327"/>
      <c r="Y2" s="327"/>
      <c r="Z2" s="328"/>
    </row>
    <row r="3" spans="1:26" ht="49.5" customHeight="1" x14ac:dyDescent="0.35">
      <c r="A3" s="59"/>
      <c r="B3" s="381" t="s">
        <v>96</v>
      </c>
      <c r="C3" s="80"/>
      <c r="D3" s="80"/>
      <c r="E3" s="382" t="s">
        <v>59</v>
      </c>
      <c r="F3" s="80"/>
      <c r="G3" s="383" t="s">
        <v>69</v>
      </c>
      <c r="H3" s="106" t="s">
        <v>57</v>
      </c>
      <c r="I3" s="104" t="s">
        <v>55</v>
      </c>
      <c r="J3" s="115" t="s">
        <v>56</v>
      </c>
      <c r="K3" s="78" t="s">
        <v>67</v>
      </c>
      <c r="L3" s="210" t="s">
        <v>74</v>
      </c>
      <c r="M3" s="165" t="s">
        <v>75</v>
      </c>
      <c r="N3" s="370" t="s">
        <v>76</v>
      </c>
      <c r="P3" s="326"/>
      <c r="Q3" s="327"/>
      <c r="R3" s="327"/>
      <c r="S3" s="327"/>
      <c r="T3" s="327"/>
      <c r="U3" s="327"/>
      <c r="V3" s="327"/>
      <c r="W3" s="327"/>
      <c r="X3" s="327"/>
      <c r="Y3" s="327"/>
      <c r="Z3" s="328"/>
    </row>
    <row r="4" spans="1:26" ht="36" customHeight="1" thickBot="1" x14ac:dyDescent="0.4">
      <c r="A4" s="204" t="s">
        <v>94</v>
      </c>
      <c r="B4" s="381"/>
      <c r="C4" s="80" t="s">
        <v>60</v>
      </c>
      <c r="D4" s="80" t="s">
        <v>78</v>
      </c>
      <c r="E4" s="382"/>
      <c r="F4" s="80" t="s">
        <v>71</v>
      </c>
      <c r="G4" s="383"/>
      <c r="H4" s="139"/>
      <c r="I4" s="104"/>
      <c r="J4" s="115"/>
      <c r="K4" s="78"/>
      <c r="L4" s="166"/>
      <c r="M4" s="167"/>
      <c r="N4" s="370"/>
      <c r="P4" s="329"/>
      <c r="Q4" s="330"/>
      <c r="R4" s="330"/>
      <c r="S4" s="330"/>
      <c r="T4" s="330"/>
      <c r="U4" s="330"/>
      <c r="V4" s="330"/>
      <c r="W4" s="330"/>
      <c r="X4" s="330"/>
      <c r="Y4" s="330"/>
      <c r="Z4" s="331"/>
    </row>
    <row r="5" spans="1:26" ht="5.25" customHeight="1" thickTop="1" thickBot="1" x14ac:dyDescent="0.3">
      <c r="A5" s="92"/>
      <c r="B5" s="96"/>
      <c r="C5" s="81"/>
      <c r="D5" s="81"/>
      <c r="E5" s="137"/>
      <c r="F5" s="81"/>
      <c r="G5" s="83"/>
      <c r="H5" s="107"/>
      <c r="I5" s="103"/>
      <c r="J5" s="116"/>
      <c r="K5" s="79"/>
      <c r="L5" s="168"/>
      <c r="M5" s="169"/>
      <c r="N5" s="172"/>
    </row>
    <row r="6" spans="1:26" x14ac:dyDescent="0.25">
      <c r="A6" s="20">
        <f>'Loan Details'!G5</f>
        <v>43647</v>
      </c>
      <c r="B6" s="97">
        <f>'Loan Details'!H5</f>
        <v>43647</v>
      </c>
      <c r="C6" s="126">
        <f>'Loan Details'!I5/100</f>
        <v>2.4199999999999999E-2</v>
      </c>
      <c r="D6" s="126">
        <f>'Loan Details'!J5/100</f>
        <v>0.02</v>
      </c>
      <c r="E6" s="88">
        <f>'Loan Details'!K5</f>
        <v>1</v>
      </c>
      <c r="F6" s="140">
        <f>'Loan Details'!L5</f>
        <v>100000000</v>
      </c>
      <c r="G6" s="22"/>
      <c r="H6" s="132">
        <f t="shared" ref="H6:H28" si="0">C6*(E6/360)</f>
        <v>6.7222222222222219E-5</v>
      </c>
      <c r="I6" s="104"/>
      <c r="J6" s="115"/>
      <c r="K6" s="64"/>
      <c r="L6" s="174">
        <f>D6*(E6/360)</f>
        <v>5.5555555555555558E-5</v>
      </c>
      <c r="M6" s="170"/>
      <c r="N6" s="173"/>
      <c r="O6" s="6"/>
    </row>
    <row r="7" spans="1:26" x14ac:dyDescent="0.25">
      <c r="A7" s="14">
        <f>'Loan Details'!G6</f>
        <v>43648</v>
      </c>
      <c r="B7" s="98">
        <f>'Loan Details'!H6</f>
        <v>43648</v>
      </c>
      <c r="C7" s="127">
        <f>'Loan Details'!I6/100</f>
        <v>2.5099999999999997E-2</v>
      </c>
      <c r="D7" s="127">
        <f>'Loan Details'!J6/100</f>
        <v>0.02</v>
      </c>
      <c r="E7" s="89">
        <f>'Loan Details'!K6</f>
        <v>1</v>
      </c>
      <c r="F7" s="141">
        <f>'Loan Details'!L6</f>
        <v>100000000</v>
      </c>
      <c r="G7" s="18"/>
      <c r="H7" s="133">
        <f t="shared" si="0"/>
        <v>6.9722222222222212E-5</v>
      </c>
      <c r="I7" s="250">
        <f t="shared" ref="I7:I29" si="1">I6+H6*F6+G6</f>
        <v>6722.2222222222217</v>
      </c>
      <c r="J7" s="251">
        <f t="shared" ref="J7:J29" si="2">I7+G7</f>
        <v>6722.2222222222217</v>
      </c>
      <c r="K7" s="252">
        <f t="shared" ref="K7:K29" si="3">H6*F6</f>
        <v>6722.2222222222217</v>
      </c>
      <c r="L7" s="175">
        <f t="shared" ref="L7:L28" si="4">D7*(E7/360)</f>
        <v>5.5555555555555558E-5</v>
      </c>
      <c r="M7" s="256">
        <f>L6*F6</f>
        <v>5555.5555555555557</v>
      </c>
      <c r="N7" s="257">
        <f>K7+M7</f>
        <v>12277.777777777777</v>
      </c>
      <c r="O7" s="6"/>
    </row>
    <row r="8" spans="1:26" x14ac:dyDescent="0.25">
      <c r="A8" s="14">
        <f>'Loan Details'!G7</f>
        <v>43649</v>
      </c>
      <c r="B8" s="98">
        <f>'Loan Details'!H7</f>
        <v>43649</v>
      </c>
      <c r="C8" s="127">
        <f>'Loan Details'!I7/100</f>
        <v>2.5600000000000001E-2</v>
      </c>
      <c r="D8" s="127">
        <f>'Loan Details'!J7/100</f>
        <v>0.02</v>
      </c>
      <c r="E8" s="89">
        <f>'Loan Details'!K7</f>
        <v>2</v>
      </c>
      <c r="F8" s="141">
        <f>'Loan Details'!L7</f>
        <v>100000000</v>
      </c>
      <c r="G8" s="18"/>
      <c r="H8" s="133">
        <f t="shared" si="0"/>
        <v>1.4222222222222224E-4</v>
      </c>
      <c r="I8" s="250">
        <f t="shared" si="1"/>
        <v>13694.444444444442</v>
      </c>
      <c r="J8" s="251">
        <f t="shared" si="2"/>
        <v>13694.444444444442</v>
      </c>
      <c r="K8" s="252">
        <f t="shared" si="3"/>
        <v>6972.2222222222208</v>
      </c>
      <c r="L8" s="175">
        <f t="shared" si="4"/>
        <v>1.1111111111111112E-4</v>
      </c>
      <c r="M8" s="256">
        <f t="shared" ref="M8:M28" si="5">L7*F7</f>
        <v>5555.5555555555557</v>
      </c>
      <c r="N8" s="257">
        <f t="shared" ref="N8:N28" si="6">K8+M8</f>
        <v>12527.777777777777</v>
      </c>
      <c r="O8" s="6"/>
    </row>
    <row r="9" spans="1:26" s="2" customFormat="1" x14ac:dyDescent="0.25">
      <c r="A9" s="55">
        <f>'Loan Details'!G8</f>
        <v>43650</v>
      </c>
      <c r="B9" s="99" t="s">
        <v>54</v>
      </c>
      <c r="C9" s="127"/>
      <c r="D9" s="127"/>
      <c r="E9" s="89"/>
      <c r="F9" s="142">
        <f>'Loan Details'!L8</f>
        <v>100000000</v>
      </c>
      <c r="G9" s="56"/>
      <c r="H9" s="134">
        <f t="shared" si="0"/>
        <v>0</v>
      </c>
      <c r="I9" s="253">
        <f t="shared" si="1"/>
        <v>27916.666666666664</v>
      </c>
      <c r="J9" s="251">
        <f t="shared" si="2"/>
        <v>27916.666666666664</v>
      </c>
      <c r="K9" s="252">
        <f t="shared" si="3"/>
        <v>14222.222222222224</v>
      </c>
      <c r="L9" s="175">
        <f t="shared" si="4"/>
        <v>0</v>
      </c>
      <c r="M9" s="256">
        <f t="shared" si="5"/>
        <v>11111.111111111111</v>
      </c>
      <c r="N9" s="257">
        <f t="shared" si="6"/>
        <v>25333.333333333336</v>
      </c>
      <c r="O9" s="6"/>
    </row>
    <row r="10" spans="1:26" x14ac:dyDescent="0.25">
      <c r="A10" s="14">
        <f>'Loan Details'!G9</f>
        <v>43651</v>
      </c>
      <c r="B10" s="98">
        <f>'Loan Details'!H9</f>
        <v>43651</v>
      </c>
      <c r="C10" s="127">
        <f>'Loan Details'!I9/100</f>
        <v>2.5899999999999999E-2</v>
      </c>
      <c r="D10" s="127">
        <f>'Loan Details'!J9/100</f>
        <v>0.02</v>
      </c>
      <c r="E10" s="89">
        <f>'Loan Details'!K9</f>
        <v>3</v>
      </c>
      <c r="F10" s="141">
        <f>'Loan Details'!L9</f>
        <v>100000000</v>
      </c>
      <c r="G10" s="18"/>
      <c r="H10" s="133">
        <f t="shared" si="0"/>
        <v>2.1583333333333331E-4</v>
      </c>
      <c r="I10" s="254">
        <f t="shared" si="1"/>
        <v>27916.666666666664</v>
      </c>
      <c r="J10" s="251">
        <f t="shared" si="2"/>
        <v>27916.666666666664</v>
      </c>
      <c r="K10" s="252">
        <f t="shared" si="3"/>
        <v>0</v>
      </c>
      <c r="L10" s="175">
        <f t="shared" si="4"/>
        <v>1.6666666666666666E-4</v>
      </c>
      <c r="M10" s="256">
        <f t="shared" si="5"/>
        <v>0</v>
      </c>
      <c r="N10" s="257">
        <f t="shared" si="6"/>
        <v>0</v>
      </c>
      <c r="O10" s="6"/>
    </row>
    <row r="11" spans="1:26" x14ac:dyDescent="0.25">
      <c r="A11" s="14">
        <f>'Loan Details'!G10</f>
        <v>43654</v>
      </c>
      <c r="B11" s="98">
        <f>'Loan Details'!H10</f>
        <v>43654</v>
      </c>
      <c r="C11" s="127">
        <f>'Loan Details'!I10/100</f>
        <v>2.4799999999999999E-2</v>
      </c>
      <c r="D11" s="127">
        <f>'Loan Details'!J10/100</f>
        <v>0.02</v>
      </c>
      <c r="E11" s="89">
        <f>'Loan Details'!K10</f>
        <v>1</v>
      </c>
      <c r="F11" s="141">
        <f>'Loan Details'!L10</f>
        <v>100000000</v>
      </c>
      <c r="G11" s="18"/>
      <c r="H11" s="133">
        <f t="shared" si="0"/>
        <v>6.8888888888888895E-5</v>
      </c>
      <c r="I11" s="250">
        <f t="shared" si="1"/>
        <v>49500</v>
      </c>
      <c r="J11" s="251">
        <f t="shared" si="2"/>
        <v>49500</v>
      </c>
      <c r="K11" s="252">
        <f t="shared" si="3"/>
        <v>21583.333333333332</v>
      </c>
      <c r="L11" s="175">
        <f t="shared" si="4"/>
        <v>5.5555555555555558E-5</v>
      </c>
      <c r="M11" s="256">
        <f t="shared" si="5"/>
        <v>16666.666666666668</v>
      </c>
      <c r="N11" s="257">
        <f t="shared" si="6"/>
        <v>38250</v>
      </c>
      <c r="O11" s="6"/>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250">
        <f t="shared" si="1"/>
        <v>56388.888888888891</v>
      </c>
      <c r="J12" s="251">
        <f t="shared" si="2"/>
        <v>56388.888888888891</v>
      </c>
      <c r="K12" s="252">
        <f t="shared" si="3"/>
        <v>6888.8888888888896</v>
      </c>
      <c r="L12" s="175">
        <f t="shared" si="4"/>
        <v>5.5555555555555558E-5</v>
      </c>
      <c r="M12" s="256">
        <f t="shared" si="5"/>
        <v>5555.5555555555557</v>
      </c>
      <c r="N12" s="257">
        <f t="shared" si="6"/>
        <v>12444.444444444445</v>
      </c>
      <c r="O12" s="6"/>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250">
        <f t="shared" si="1"/>
        <v>63194.444444444445</v>
      </c>
      <c r="J13" s="251">
        <f t="shared" si="2"/>
        <v>63194.444444444445</v>
      </c>
      <c r="K13" s="252">
        <f t="shared" si="3"/>
        <v>6805.5555555555566</v>
      </c>
      <c r="L13" s="175">
        <f t="shared" si="4"/>
        <v>5.5555555555555558E-5</v>
      </c>
      <c r="M13" s="256">
        <f t="shared" si="5"/>
        <v>5555.5555555555557</v>
      </c>
      <c r="N13" s="257">
        <f t="shared" si="6"/>
        <v>12361.111111111113</v>
      </c>
      <c r="O13" s="6"/>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250">
        <f t="shared" si="1"/>
        <v>70027.777777777781</v>
      </c>
      <c r="J14" s="251">
        <f t="shared" si="2"/>
        <v>70027.777777777781</v>
      </c>
      <c r="K14" s="252">
        <f t="shared" si="3"/>
        <v>6833.333333333333</v>
      </c>
      <c r="L14" s="175">
        <f t="shared" si="4"/>
        <v>5.5555555555555558E-5</v>
      </c>
      <c r="M14" s="256">
        <f t="shared" si="5"/>
        <v>5555.5555555555557</v>
      </c>
      <c r="N14" s="257">
        <f t="shared" si="6"/>
        <v>12388.888888888889</v>
      </c>
      <c r="O14" s="6"/>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250">
        <f t="shared" si="1"/>
        <v>76722.222222222219</v>
      </c>
      <c r="J15" s="251">
        <f t="shared" si="2"/>
        <v>76722.222222222219</v>
      </c>
      <c r="K15" s="252">
        <f t="shared" si="3"/>
        <v>6694.4444444444453</v>
      </c>
      <c r="L15" s="175">
        <f t="shared" si="4"/>
        <v>1.6666666666666666E-4</v>
      </c>
      <c r="M15" s="256">
        <f t="shared" si="5"/>
        <v>5555.5555555555557</v>
      </c>
      <c r="N15" s="257">
        <f t="shared" si="6"/>
        <v>12250</v>
      </c>
      <c r="O15" s="6"/>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75">
        <f>((F16-F15)/F15)*I16</f>
        <v>-9638.8888888888887</v>
      </c>
      <c r="H16" s="133">
        <f t="shared" si="0"/>
        <v>6.8333333333333332E-5</v>
      </c>
      <c r="I16" s="250">
        <f t="shared" si="1"/>
        <v>96388.888888888876</v>
      </c>
      <c r="J16" s="251">
        <f t="shared" si="2"/>
        <v>86749.999999999985</v>
      </c>
      <c r="K16" s="252">
        <f t="shared" si="3"/>
        <v>19666.666666666664</v>
      </c>
      <c r="L16" s="175">
        <f t="shared" si="4"/>
        <v>5.5555555555555558E-5</v>
      </c>
      <c r="M16" s="256">
        <f t="shared" si="5"/>
        <v>16666.666666666668</v>
      </c>
      <c r="N16" s="257">
        <f t="shared" si="6"/>
        <v>36333.333333333328</v>
      </c>
      <c r="O16" s="6"/>
    </row>
    <row r="17" spans="1:15"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250">
        <f t="shared" si="1"/>
        <v>92899.999999999985</v>
      </c>
      <c r="J17" s="251">
        <f t="shared" si="2"/>
        <v>92899.999999999985</v>
      </c>
      <c r="K17" s="252">
        <f t="shared" si="3"/>
        <v>6150</v>
      </c>
      <c r="L17" s="175">
        <f t="shared" si="4"/>
        <v>5.5555555555555558E-5</v>
      </c>
      <c r="M17" s="256">
        <f t="shared" si="5"/>
        <v>5000</v>
      </c>
      <c r="N17" s="257">
        <f t="shared" si="6"/>
        <v>11150</v>
      </c>
      <c r="O17" s="6"/>
    </row>
    <row r="18" spans="1:15"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250">
        <f t="shared" si="1"/>
        <v>99074.999999999985</v>
      </c>
      <c r="J18" s="251">
        <f t="shared" si="2"/>
        <v>99074.999999999985</v>
      </c>
      <c r="K18" s="252">
        <f t="shared" si="3"/>
        <v>6175.0000000000018</v>
      </c>
      <c r="L18" s="175">
        <f t="shared" si="4"/>
        <v>5.5555555555555558E-5</v>
      </c>
      <c r="M18" s="256">
        <f t="shared" si="5"/>
        <v>5000</v>
      </c>
      <c r="N18" s="257">
        <f t="shared" si="6"/>
        <v>11175.000000000002</v>
      </c>
      <c r="O18" s="6"/>
    </row>
    <row r="19" spans="1:15"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250">
        <f t="shared" si="1"/>
        <v>105249.99999999999</v>
      </c>
      <c r="J19" s="251">
        <f t="shared" si="2"/>
        <v>105249.99999999999</v>
      </c>
      <c r="K19" s="252">
        <f t="shared" si="3"/>
        <v>6175.0000000000018</v>
      </c>
      <c r="L19" s="175">
        <f t="shared" si="4"/>
        <v>5.5555555555555558E-5</v>
      </c>
      <c r="M19" s="256">
        <f t="shared" si="5"/>
        <v>5000</v>
      </c>
      <c r="N19" s="257">
        <f t="shared" si="6"/>
        <v>11175.000000000002</v>
      </c>
      <c r="O19" s="6"/>
    </row>
    <row r="20" spans="1:15"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250">
        <f t="shared" si="1"/>
        <v>111399.99999999999</v>
      </c>
      <c r="J20" s="251">
        <f t="shared" si="2"/>
        <v>111399.99999999999</v>
      </c>
      <c r="K20" s="252">
        <f t="shared" si="3"/>
        <v>6150</v>
      </c>
      <c r="L20" s="175">
        <f t="shared" si="4"/>
        <v>1.6666666666666666E-4</v>
      </c>
      <c r="M20" s="256">
        <f t="shared" si="5"/>
        <v>5000</v>
      </c>
      <c r="N20" s="257">
        <f t="shared" si="6"/>
        <v>11150</v>
      </c>
      <c r="O20" s="6"/>
    </row>
    <row r="21" spans="1:15"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250">
        <f t="shared" si="1"/>
        <v>129474.99999999999</v>
      </c>
      <c r="J21" s="251">
        <f t="shared" si="2"/>
        <v>129474.99999999999</v>
      </c>
      <c r="K21" s="252">
        <f t="shared" si="3"/>
        <v>18075</v>
      </c>
      <c r="L21" s="175">
        <f t="shared" si="4"/>
        <v>5.5555555555555558E-5</v>
      </c>
      <c r="M21" s="256">
        <f t="shared" si="5"/>
        <v>15000</v>
      </c>
      <c r="N21" s="257">
        <f t="shared" si="6"/>
        <v>33075</v>
      </c>
      <c r="O21" s="6"/>
    </row>
    <row r="22" spans="1:15"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250">
        <f t="shared" si="1"/>
        <v>135475</v>
      </c>
      <c r="J22" s="251">
        <f t="shared" si="2"/>
        <v>135475</v>
      </c>
      <c r="K22" s="252">
        <f t="shared" si="3"/>
        <v>6000</v>
      </c>
      <c r="L22" s="175">
        <f t="shared" si="4"/>
        <v>5.5555555555555558E-5</v>
      </c>
      <c r="M22" s="256">
        <f t="shared" si="5"/>
        <v>5000</v>
      </c>
      <c r="N22" s="257">
        <f t="shared" si="6"/>
        <v>11000</v>
      </c>
      <c r="O22" s="6"/>
    </row>
    <row r="23" spans="1:15"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250">
        <f t="shared" si="1"/>
        <v>141475</v>
      </c>
      <c r="J23" s="251">
        <f t="shared" si="2"/>
        <v>141475</v>
      </c>
      <c r="K23" s="252">
        <f t="shared" si="3"/>
        <v>6000</v>
      </c>
      <c r="L23" s="175">
        <f t="shared" si="4"/>
        <v>5.5555555555555558E-5</v>
      </c>
      <c r="M23" s="256">
        <f t="shared" si="5"/>
        <v>5000</v>
      </c>
      <c r="N23" s="257">
        <f t="shared" si="6"/>
        <v>11000</v>
      </c>
      <c r="O23" s="6"/>
    </row>
    <row r="24" spans="1:15"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250">
        <f t="shared" si="1"/>
        <v>147500</v>
      </c>
      <c r="J24" s="251">
        <f t="shared" si="2"/>
        <v>147500</v>
      </c>
      <c r="K24" s="252">
        <f t="shared" si="3"/>
        <v>6025.0000000000009</v>
      </c>
      <c r="L24" s="175">
        <f t="shared" si="4"/>
        <v>5.5555555555555558E-5</v>
      </c>
      <c r="M24" s="256">
        <f t="shared" si="5"/>
        <v>5000</v>
      </c>
      <c r="N24" s="257">
        <f t="shared" si="6"/>
        <v>11025</v>
      </c>
      <c r="O24" s="6"/>
    </row>
    <row r="25" spans="1:15"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250">
        <f t="shared" si="1"/>
        <v>153550</v>
      </c>
      <c r="J25" s="251">
        <f t="shared" si="2"/>
        <v>153550</v>
      </c>
      <c r="K25" s="252">
        <f t="shared" si="3"/>
        <v>6050</v>
      </c>
      <c r="L25" s="175">
        <f t="shared" si="4"/>
        <v>1.6666666666666666E-4</v>
      </c>
      <c r="M25" s="256">
        <f t="shared" si="5"/>
        <v>5000</v>
      </c>
      <c r="N25" s="257">
        <f t="shared" si="6"/>
        <v>11050</v>
      </c>
      <c r="O25" s="6"/>
    </row>
    <row r="26" spans="1:15"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250">
        <f t="shared" si="1"/>
        <v>171625</v>
      </c>
      <c r="J26" s="251">
        <f t="shared" si="2"/>
        <v>171625</v>
      </c>
      <c r="K26" s="252">
        <f t="shared" si="3"/>
        <v>18075</v>
      </c>
      <c r="L26" s="175">
        <f t="shared" si="4"/>
        <v>5.5555555555555558E-5</v>
      </c>
      <c r="M26" s="256">
        <f t="shared" si="5"/>
        <v>15000</v>
      </c>
      <c r="N26" s="257">
        <f t="shared" si="6"/>
        <v>33075</v>
      </c>
      <c r="O26" s="6"/>
    </row>
    <row r="27" spans="1:15"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250">
        <f t="shared" si="1"/>
        <v>177625</v>
      </c>
      <c r="J27" s="251">
        <f t="shared" si="2"/>
        <v>177625</v>
      </c>
      <c r="K27" s="252">
        <f t="shared" si="3"/>
        <v>6000</v>
      </c>
      <c r="L27" s="175">
        <f t="shared" si="4"/>
        <v>5.5555555555555558E-5</v>
      </c>
      <c r="M27" s="256">
        <f t="shared" si="5"/>
        <v>5000</v>
      </c>
      <c r="N27" s="257">
        <f t="shared" si="6"/>
        <v>11000</v>
      </c>
      <c r="O27" s="6"/>
    </row>
    <row r="28" spans="1:15"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250">
        <f t="shared" si="1"/>
        <v>183600</v>
      </c>
      <c r="J28" s="251">
        <f t="shared" si="2"/>
        <v>183600</v>
      </c>
      <c r="K28" s="252">
        <f t="shared" si="3"/>
        <v>5975</v>
      </c>
      <c r="L28" s="175">
        <f t="shared" si="4"/>
        <v>5.5555555555555558E-5</v>
      </c>
      <c r="M28" s="256">
        <f t="shared" si="5"/>
        <v>5000</v>
      </c>
      <c r="N28" s="257">
        <f t="shared" si="6"/>
        <v>10975</v>
      </c>
      <c r="O28" s="6"/>
    </row>
    <row r="29" spans="1:15" ht="15.75" thickBot="1" x14ac:dyDescent="0.3">
      <c r="A29" s="67">
        <f>A28+1</f>
        <v>43678</v>
      </c>
      <c r="B29" s="100" t="s">
        <v>54</v>
      </c>
      <c r="C29" s="100" t="s">
        <v>54</v>
      </c>
      <c r="D29" s="100" t="s">
        <v>54</v>
      </c>
      <c r="E29" s="100" t="s">
        <v>54</v>
      </c>
      <c r="F29" s="93">
        <f>'Loan Details'!L28</f>
        <v>0</v>
      </c>
      <c r="G29" s="68">
        <f>'Loan Details'!N28</f>
        <v>0</v>
      </c>
      <c r="H29" s="100" t="s">
        <v>54</v>
      </c>
      <c r="I29" s="255">
        <f t="shared" si="1"/>
        <v>189975</v>
      </c>
      <c r="J29" s="251">
        <f t="shared" si="2"/>
        <v>189975</v>
      </c>
      <c r="K29" s="252">
        <f t="shared" si="3"/>
        <v>6374.9999999999991</v>
      </c>
      <c r="L29" s="258" t="s">
        <v>54</v>
      </c>
      <c r="M29" s="259">
        <f t="shared" ref="M29" si="7">L28*F28</f>
        <v>5000</v>
      </c>
      <c r="N29" s="260">
        <f t="shared" ref="N29" si="8">K29+M29</f>
        <v>11375</v>
      </c>
    </row>
    <row r="30" spans="1:15" ht="33" customHeight="1" x14ac:dyDescent="0.25">
      <c r="F30" s="101"/>
      <c r="I30" s="191"/>
      <c r="J30" s="192"/>
      <c r="K30" s="321"/>
      <c r="L30" s="375" t="s">
        <v>95</v>
      </c>
      <c r="M30" s="376"/>
      <c r="N30" s="379">
        <f>SUM(N7:N29)</f>
        <v>362391.66666666669</v>
      </c>
    </row>
    <row r="31" spans="1:15" ht="20.100000000000001" customHeight="1" thickBot="1" x14ac:dyDescent="0.3">
      <c r="I31" s="188"/>
      <c r="J31" s="189"/>
      <c r="K31" s="190"/>
      <c r="L31" s="377"/>
      <c r="M31" s="378"/>
      <c r="N31" s="380"/>
    </row>
    <row r="32" spans="1:15" x14ac:dyDescent="0.25">
      <c r="I32" s="105"/>
      <c r="J32" s="105"/>
    </row>
    <row r="37" spans="7:7" x14ac:dyDescent="0.25">
      <c r="G37" s="6"/>
    </row>
  </sheetData>
  <sheetProtection algorithmName="SHA-512" hashValue="LSMUpRq/kJw4z0oUvft32pGqeWn4wHtSs2Vmh97YTeg8oDDF9PSjdO7L7lPRNSVMPakluznz6/lBlVVOboJlkw==" saltValue="Z5LKZGL60YmT5ekScgVCpA==" spinCount="100000" sheet="1" objects="1" scenarios="1"/>
  <mergeCells count="10">
    <mergeCell ref="L30:M31"/>
    <mergeCell ref="N30:N31"/>
    <mergeCell ref="B3:B4"/>
    <mergeCell ref="E3:E4"/>
    <mergeCell ref="G3:G4"/>
    <mergeCell ref="P1:Z4"/>
    <mergeCell ref="N3:N4"/>
    <mergeCell ref="A1:H1"/>
    <mergeCell ref="I1:K1"/>
    <mergeCell ref="L1:M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7"/>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bestFit="1" customWidth="1"/>
    <col min="9" max="10" width="21.7109375" style="102" customWidth="1"/>
    <col min="11" max="11" width="15.5703125" customWidth="1"/>
    <col min="12" max="12" width="14.42578125" customWidth="1"/>
    <col min="13" max="13" width="12.42578125" customWidth="1"/>
    <col min="14" max="14" width="12.28515625" bestFit="1" customWidth="1"/>
    <col min="15" max="15" width="11" bestFit="1" customWidth="1"/>
  </cols>
  <sheetData>
    <row r="1" spans="1:26" s="186" customFormat="1" ht="19.5" thickTop="1" x14ac:dyDescent="0.3">
      <c r="A1" s="371" t="s">
        <v>72</v>
      </c>
      <c r="B1" s="372"/>
      <c r="C1" s="372"/>
      <c r="D1" s="372"/>
      <c r="E1" s="372"/>
      <c r="F1" s="372"/>
      <c r="G1" s="372"/>
      <c r="H1" s="372"/>
      <c r="I1" s="373" t="s">
        <v>73</v>
      </c>
      <c r="J1" s="373"/>
      <c r="K1" s="373"/>
      <c r="L1" s="374" t="s">
        <v>77</v>
      </c>
      <c r="M1" s="374"/>
      <c r="N1" s="180"/>
      <c r="P1" s="323" t="s">
        <v>97</v>
      </c>
      <c r="Q1" s="324"/>
      <c r="R1" s="324"/>
      <c r="S1" s="324"/>
      <c r="T1" s="324"/>
      <c r="U1" s="324"/>
      <c r="V1" s="324"/>
      <c r="W1" s="324"/>
      <c r="X1" s="324"/>
      <c r="Y1" s="324"/>
      <c r="Z1" s="325"/>
    </row>
    <row r="2" spans="1:26" ht="5.0999999999999996" customHeight="1" x14ac:dyDescent="0.25">
      <c r="A2" s="59"/>
      <c r="B2" s="95"/>
      <c r="C2" s="80"/>
      <c r="D2" s="80"/>
      <c r="E2" s="138"/>
      <c r="F2" s="80"/>
      <c r="G2" s="82"/>
      <c r="H2" s="106"/>
      <c r="I2" s="104"/>
      <c r="J2" s="115"/>
      <c r="K2" s="84"/>
      <c r="L2" s="177"/>
      <c r="M2" s="178"/>
      <c r="N2" s="179"/>
      <c r="O2" s="6"/>
      <c r="P2" s="326"/>
      <c r="Q2" s="327"/>
      <c r="R2" s="327"/>
      <c r="S2" s="327"/>
      <c r="T2" s="327"/>
      <c r="U2" s="327"/>
      <c r="V2" s="327"/>
      <c r="W2" s="327"/>
      <c r="X2" s="327"/>
      <c r="Y2" s="327"/>
      <c r="Z2" s="328"/>
    </row>
    <row r="3" spans="1:26" ht="50.1" customHeight="1" x14ac:dyDescent="0.35">
      <c r="A3" s="59"/>
      <c r="B3" s="381" t="s">
        <v>96</v>
      </c>
      <c r="C3" s="80"/>
      <c r="D3" s="80"/>
      <c r="E3" s="382" t="s">
        <v>59</v>
      </c>
      <c r="F3" s="80"/>
      <c r="G3" s="383" t="s">
        <v>69</v>
      </c>
      <c r="H3" s="106" t="s">
        <v>57</v>
      </c>
      <c r="I3" s="104" t="s">
        <v>55</v>
      </c>
      <c r="J3" s="115" t="s">
        <v>56</v>
      </c>
      <c r="K3" s="78" t="s">
        <v>67</v>
      </c>
      <c r="L3" s="164" t="s">
        <v>74</v>
      </c>
      <c r="M3" s="165" t="s">
        <v>75</v>
      </c>
      <c r="N3" s="370" t="s">
        <v>76</v>
      </c>
      <c r="P3" s="326"/>
      <c r="Q3" s="327"/>
      <c r="R3" s="327"/>
      <c r="S3" s="327"/>
      <c r="T3" s="327"/>
      <c r="U3" s="327"/>
      <c r="V3" s="327"/>
      <c r="W3" s="327"/>
      <c r="X3" s="327"/>
      <c r="Y3" s="327"/>
      <c r="Z3" s="328"/>
    </row>
    <row r="4" spans="1:26" ht="32.1" customHeight="1" thickBot="1" x14ac:dyDescent="0.4">
      <c r="A4" s="204" t="s">
        <v>94</v>
      </c>
      <c r="B4" s="381"/>
      <c r="C4" s="80" t="s">
        <v>60</v>
      </c>
      <c r="D4" s="80" t="s">
        <v>78</v>
      </c>
      <c r="E4" s="382"/>
      <c r="F4" s="80" t="s">
        <v>71</v>
      </c>
      <c r="G4" s="383"/>
      <c r="H4" s="139"/>
      <c r="I4" s="104"/>
      <c r="J4" s="115"/>
      <c r="K4" s="84"/>
      <c r="L4" s="166"/>
      <c r="M4" s="167"/>
      <c r="N4" s="370"/>
      <c r="P4" s="329"/>
      <c r="Q4" s="330"/>
      <c r="R4" s="330"/>
      <c r="S4" s="330"/>
      <c r="T4" s="330"/>
      <c r="U4" s="330"/>
      <c r="V4" s="330"/>
      <c r="W4" s="330"/>
      <c r="X4" s="330"/>
      <c r="Y4" s="330"/>
      <c r="Z4" s="331"/>
    </row>
    <row r="5" spans="1:26" ht="5.0999999999999996" customHeight="1" thickTop="1" thickBot="1" x14ac:dyDescent="0.3">
      <c r="A5" s="92"/>
      <c r="B5" s="96"/>
      <c r="C5" s="81"/>
      <c r="D5" s="81"/>
      <c r="E5" s="137"/>
      <c r="F5" s="81"/>
      <c r="G5" s="83"/>
      <c r="H5" s="107"/>
      <c r="I5" s="103"/>
      <c r="J5" s="116"/>
      <c r="K5" s="85"/>
      <c r="L5" s="168"/>
      <c r="M5" s="169"/>
      <c r="N5" s="172"/>
    </row>
    <row r="6" spans="1:26"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04"/>
      <c r="J6" s="115"/>
      <c r="K6" s="84"/>
      <c r="L6" s="174">
        <f>D6*(E6/360)</f>
        <v>5.5555555555555558E-5</v>
      </c>
      <c r="M6" s="170"/>
      <c r="N6" s="173"/>
      <c r="O6" s="6"/>
    </row>
    <row r="7" spans="1:26"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250">
        <f t="shared" ref="I7:I29" si="1">I6+H6*F6+G6</f>
        <v>6722.2222222222217</v>
      </c>
      <c r="J7" s="251">
        <f t="shared" ref="J7:J29" si="2">I7+G7</f>
        <v>6722.2222222222217</v>
      </c>
      <c r="K7" s="262">
        <f t="shared" ref="K7:K29" si="3">H6*F6</f>
        <v>6722.2222222222217</v>
      </c>
      <c r="L7" s="175">
        <f t="shared" ref="L7:L28" si="4">D7*(E7/360)</f>
        <v>5.5555555555555558E-5</v>
      </c>
      <c r="M7" s="256">
        <f>L6*F6</f>
        <v>5555.5555555555557</v>
      </c>
      <c r="N7" s="257">
        <f>K7+M7</f>
        <v>12277.777777777777</v>
      </c>
      <c r="O7" s="6"/>
    </row>
    <row r="8" spans="1:26"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250">
        <f t="shared" si="1"/>
        <v>13694.444444444442</v>
      </c>
      <c r="J8" s="251">
        <f t="shared" si="2"/>
        <v>13694.444444444442</v>
      </c>
      <c r="K8" s="262">
        <f t="shared" si="3"/>
        <v>6972.2222222222208</v>
      </c>
      <c r="L8" s="175">
        <f t="shared" si="4"/>
        <v>1.1111111111111112E-4</v>
      </c>
      <c r="M8" s="256">
        <f t="shared" ref="M8:M29" si="5">L7*F7</f>
        <v>5555.5555555555557</v>
      </c>
      <c r="N8" s="257">
        <f t="shared" ref="N8:N29" si="6">K8+M8</f>
        <v>12527.777777777777</v>
      </c>
      <c r="O8" s="6"/>
    </row>
    <row r="9" spans="1:26" s="2" customFormat="1" x14ac:dyDescent="0.25">
      <c r="A9" s="55">
        <f>'Loan Details'!G8</f>
        <v>43650</v>
      </c>
      <c r="B9" s="99" t="s">
        <v>54</v>
      </c>
      <c r="C9" s="127"/>
      <c r="D9" s="127"/>
      <c r="E9" s="89"/>
      <c r="F9" s="261">
        <f>'Loan Details'!L8</f>
        <v>100000000</v>
      </c>
      <c r="G9" s="56"/>
      <c r="H9" s="134">
        <f t="shared" si="0"/>
        <v>0</v>
      </c>
      <c r="I9" s="250">
        <f t="shared" si="1"/>
        <v>27916.666666666664</v>
      </c>
      <c r="J9" s="251">
        <f t="shared" si="2"/>
        <v>27916.666666666664</v>
      </c>
      <c r="K9" s="262">
        <f t="shared" si="3"/>
        <v>14222.222222222224</v>
      </c>
      <c r="L9" s="175">
        <f t="shared" si="4"/>
        <v>0</v>
      </c>
      <c r="M9" s="256">
        <f t="shared" si="5"/>
        <v>11111.111111111111</v>
      </c>
      <c r="N9" s="257">
        <f t="shared" si="6"/>
        <v>25333.333333333336</v>
      </c>
      <c r="O9" s="6"/>
    </row>
    <row r="10" spans="1:26"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253">
        <f t="shared" si="1"/>
        <v>27916.666666666664</v>
      </c>
      <c r="J10" s="251">
        <f t="shared" si="2"/>
        <v>27916.666666666664</v>
      </c>
      <c r="K10" s="262">
        <f t="shared" si="3"/>
        <v>0</v>
      </c>
      <c r="L10" s="175">
        <f t="shared" si="4"/>
        <v>1.6666666666666666E-4</v>
      </c>
      <c r="M10" s="256">
        <f t="shared" si="5"/>
        <v>0</v>
      </c>
      <c r="N10" s="257">
        <f t="shared" si="6"/>
        <v>0</v>
      </c>
      <c r="O10" s="6"/>
    </row>
    <row r="11" spans="1:26"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250">
        <f t="shared" si="1"/>
        <v>49500</v>
      </c>
      <c r="J11" s="251">
        <f t="shared" si="2"/>
        <v>49500</v>
      </c>
      <c r="K11" s="262">
        <f t="shared" si="3"/>
        <v>21583.333333333332</v>
      </c>
      <c r="L11" s="175">
        <f t="shared" si="4"/>
        <v>5.5555555555555558E-5</v>
      </c>
      <c r="M11" s="256">
        <f t="shared" si="5"/>
        <v>16666.666666666668</v>
      </c>
      <c r="N11" s="257">
        <f t="shared" si="6"/>
        <v>38250</v>
      </c>
      <c r="O11" s="6"/>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250">
        <f t="shared" si="1"/>
        <v>56388.888888888891</v>
      </c>
      <c r="J12" s="251">
        <f t="shared" si="2"/>
        <v>56388.888888888891</v>
      </c>
      <c r="K12" s="262">
        <f t="shared" si="3"/>
        <v>6888.8888888888896</v>
      </c>
      <c r="L12" s="175">
        <f t="shared" si="4"/>
        <v>5.5555555555555558E-5</v>
      </c>
      <c r="M12" s="256">
        <f t="shared" si="5"/>
        <v>5555.5555555555557</v>
      </c>
      <c r="N12" s="257">
        <f t="shared" si="6"/>
        <v>12444.444444444445</v>
      </c>
      <c r="O12" s="6"/>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250">
        <f t="shared" si="1"/>
        <v>63194.444444444445</v>
      </c>
      <c r="J13" s="251">
        <f t="shared" si="2"/>
        <v>63194.444444444445</v>
      </c>
      <c r="K13" s="262">
        <f t="shared" si="3"/>
        <v>6805.5555555555566</v>
      </c>
      <c r="L13" s="175">
        <f t="shared" si="4"/>
        <v>5.5555555555555558E-5</v>
      </c>
      <c r="M13" s="256">
        <f t="shared" si="5"/>
        <v>5555.5555555555557</v>
      </c>
      <c r="N13" s="257">
        <f t="shared" si="6"/>
        <v>12361.111111111113</v>
      </c>
      <c r="O13" s="6"/>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250">
        <f t="shared" si="1"/>
        <v>70027.777777777781</v>
      </c>
      <c r="J14" s="251">
        <f t="shared" si="2"/>
        <v>70027.777777777781</v>
      </c>
      <c r="K14" s="262">
        <f t="shared" si="3"/>
        <v>6833.333333333333</v>
      </c>
      <c r="L14" s="175">
        <f t="shared" si="4"/>
        <v>5.5555555555555558E-5</v>
      </c>
      <c r="M14" s="256">
        <f t="shared" si="5"/>
        <v>5555.5555555555557</v>
      </c>
      <c r="N14" s="257">
        <f t="shared" si="6"/>
        <v>12388.888888888889</v>
      </c>
      <c r="O14" s="6"/>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250">
        <f t="shared" si="1"/>
        <v>76722.222222222219</v>
      </c>
      <c r="J15" s="251">
        <f t="shared" si="2"/>
        <v>76722.222222222219</v>
      </c>
      <c r="K15" s="262">
        <f t="shared" si="3"/>
        <v>6694.4444444444453</v>
      </c>
      <c r="L15" s="175">
        <f t="shared" si="4"/>
        <v>1.6666666666666666E-4</v>
      </c>
      <c r="M15" s="256">
        <f t="shared" si="5"/>
        <v>5555.5555555555557</v>
      </c>
      <c r="N15" s="257">
        <f t="shared" si="6"/>
        <v>12250</v>
      </c>
      <c r="O15" s="6"/>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4"/>
      <c r="H16" s="133">
        <f t="shared" si="0"/>
        <v>6.8333333333333332E-5</v>
      </c>
      <c r="I16" s="250">
        <f t="shared" si="1"/>
        <v>96388.888888888876</v>
      </c>
      <c r="J16" s="251">
        <f t="shared" si="2"/>
        <v>96388.888888888876</v>
      </c>
      <c r="K16" s="262">
        <f t="shared" si="3"/>
        <v>19666.666666666664</v>
      </c>
      <c r="L16" s="175">
        <f t="shared" si="4"/>
        <v>5.5555555555555558E-5</v>
      </c>
      <c r="M16" s="256">
        <f t="shared" si="5"/>
        <v>16666.666666666668</v>
      </c>
      <c r="N16" s="257">
        <f t="shared" si="6"/>
        <v>36333.333333333328</v>
      </c>
      <c r="O16" s="6"/>
    </row>
    <row r="17" spans="1:15"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250">
        <f t="shared" si="1"/>
        <v>102538.88888888888</v>
      </c>
      <c r="J17" s="251">
        <f t="shared" si="2"/>
        <v>102538.88888888888</v>
      </c>
      <c r="K17" s="262">
        <f t="shared" si="3"/>
        <v>6150</v>
      </c>
      <c r="L17" s="175">
        <f t="shared" si="4"/>
        <v>5.5555555555555558E-5</v>
      </c>
      <c r="M17" s="256">
        <f t="shared" si="5"/>
        <v>5000</v>
      </c>
      <c r="N17" s="257">
        <f t="shared" si="6"/>
        <v>11150</v>
      </c>
      <c r="O17" s="6"/>
    </row>
    <row r="18" spans="1:15"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250">
        <f t="shared" si="1"/>
        <v>108713.88888888888</v>
      </c>
      <c r="J18" s="251">
        <f t="shared" si="2"/>
        <v>108713.88888888888</v>
      </c>
      <c r="K18" s="262">
        <f t="shared" si="3"/>
        <v>6175.0000000000018</v>
      </c>
      <c r="L18" s="175">
        <f t="shared" si="4"/>
        <v>5.5555555555555558E-5</v>
      </c>
      <c r="M18" s="256">
        <f t="shared" si="5"/>
        <v>5000</v>
      </c>
      <c r="N18" s="257">
        <f t="shared" si="6"/>
        <v>11175.000000000002</v>
      </c>
      <c r="O18" s="6"/>
    </row>
    <row r="19" spans="1:15"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250">
        <f t="shared" si="1"/>
        <v>114888.88888888888</v>
      </c>
      <c r="J19" s="251">
        <f t="shared" si="2"/>
        <v>114888.88888888888</v>
      </c>
      <c r="K19" s="262">
        <f t="shared" si="3"/>
        <v>6175.0000000000018</v>
      </c>
      <c r="L19" s="175">
        <f t="shared" si="4"/>
        <v>5.5555555555555558E-5</v>
      </c>
      <c r="M19" s="256">
        <f t="shared" si="5"/>
        <v>5000</v>
      </c>
      <c r="N19" s="257">
        <f t="shared" si="6"/>
        <v>11175.000000000002</v>
      </c>
      <c r="O19" s="6"/>
    </row>
    <row r="20" spans="1:15"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250">
        <f t="shared" si="1"/>
        <v>121038.88888888888</v>
      </c>
      <c r="J20" s="251">
        <f t="shared" si="2"/>
        <v>121038.88888888888</v>
      </c>
      <c r="K20" s="262">
        <f t="shared" si="3"/>
        <v>6150</v>
      </c>
      <c r="L20" s="175">
        <f t="shared" si="4"/>
        <v>1.6666666666666666E-4</v>
      </c>
      <c r="M20" s="256">
        <f t="shared" si="5"/>
        <v>5000</v>
      </c>
      <c r="N20" s="257">
        <f t="shared" si="6"/>
        <v>11150</v>
      </c>
      <c r="O20" s="6"/>
    </row>
    <row r="21" spans="1:15"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250">
        <f t="shared" si="1"/>
        <v>139113.88888888888</v>
      </c>
      <c r="J21" s="251">
        <f t="shared" si="2"/>
        <v>139113.88888888888</v>
      </c>
      <c r="K21" s="262">
        <f t="shared" si="3"/>
        <v>18075</v>
      </c>
      <c r="L21" s="175">
        <f t="shared" si="4"/>
        <v>5.5555555555555558E-5</v>
      </c>
      <c r="M21" s="256">
        <f t="shared" si="5"/>
        <v>15000</v>
      </c>
      <c r="N21" s="257">
        <f t="shared" si="6"/>
        <v>33075</v>
      </c>
      <c r="O21" s="6"/>
    </row>
    <row r="22" spans="1:15"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250">
        <f t="shared" si="1"/>
        <v>145113.88888888888</v>
      </c>
      <c r="J22" s="251">
        <f t="shared" si="2"/>
        <v>145113.88888888888</v>
      </c>
      <c r="K22" s="262">
        <f t="shared" si="3"/>
        <v>6000</v>
      </c>
      <c r="L22" s="175">
        <f t="shared" si="4"/>
        <v>5.5555555555555558E-5</v>
      </c>
      <c r="M22" s="256">
        <f t="shared" si="5"/>
        <v>5000</v>
      </c>
      <c r="N22" s="257">
        <f t="shared" si="6"/>
        <v>11000</v>
      </c>
      <c r="O22" s="6"/>
    </row>
    <row r="23" spans="1:15"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250">
        <f t="shared" si="1"/>
        <v>151113.88888888888</v>
      </c>
      <c r="J23" s="251">
        <f t="shared" si="2"/>
        <v>151113.88888888888</v>
      </c>
      <c r="K23" s="262">
        <f t="shared" si="3"/>
        <v>6000</v>
      </c>
      <c r="L23" s="175">
        <f t="shared" si="4"/>
        <v>5.5555555555555558E-5</v>
      </c>
      <c r="M23" s="256">
        <f t="shared" si="5"/>
        <v>5000</v>
      </c>
      <c r="N23" s="257">
        <f t="shared" si="6"/>
        <v>11000</v>
      </c>
      <c r="O23" s="6"/>
    </row>
    <row r="24" spans="1:15"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250">
        <f t="shared" si="1"/>
        <v>157138.88888888888</v>
      </c>
      <c r="J24" s="251">
        <f t="shared" si="2"/>
        <v>157138.88888888888</v>
      </c>
      <c r="K24" s="262">
        <f t="shared" si="3"/>
        <v>6025.0000000000009</v>
      </c>
      <c r="L24" s="175">
        <f t="shared" si="4"/>
        <v>5.5555555555555558E-5</v>
      </c>
      <c r="M24" s="256">
        <f t="shared" si="5"/>
        <v>5000</v>
      </c>
      <c r="N24" s="257">
        <f t="shared" si="6"/>
        <v>11025</v>
      </c>
      <c r="O24" s="6"/>
    </row>
    <row r="25" spans="1:15"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250">
        <f t="shared" si="1"/>
        <v>163188.88888888888</v>
      </c>
      <c r="J25" s="251">
        <f t="shared" si="2"/>
        <v>163188.88888888888</v>
      </c>
      <c r="K25" s="262">
        <f t="shared" si="3"/>
        <v>6050</v>
      </c>
      <c r="L25" s="175">
        <f t="shared" si="4"/>
        <v>1.6666666666666666E-4</v>
      </c>
      <c r="M25" s="256">
        <f t="shared" si="5"/>
        <v>5000</v>
      </c>
      <c r="N25" s="257">
        <f t="shared" si="6"/>
        <v>11050</v>
      </c>
      <c r="O25" s="6"/>
    </row>
    <row r="26" spans="1:15"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250">
        <f t="shared" si="1"/>
        <v>181263.88888888888</v>
      </c>
      <c r="J26" s="251">
        <f t="shared" si="2"/>
        <v>181263.88888888888</v>
      </c>
      <c r="K26" s="262">
        <f t="shared" si="3"/>
        <v>18075</v>
      </c>
      <c r="L26" s="175">
        <f t="shared" si="4"/>
        <v>5.5555555555555558E-5</v>
      </c>
      <c r="M26" s="256">
        <f t="shared" si="5"/>
        <v>15000</v>
      </c>
      <c r="N26" s="257">
        <f t="shared" si="6"/>
        <v>33075</v>
      </c>
      <c r="O26" s="6"/>
    </row>
    <row r="27" spans="1:15"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250">
        <f t="shared" si="1"/>
        <v>187263.88888888888</v>
      </c>
      <c r="J27" s="251">
        <f t="shared" si="2"/>
        <v>187263.88888888888</v>
      </c>
      <c r="K27" s="262">
        <f t="shared" si="3"/>
        <v>6000</v>
      </c>
      <c r="L27" s="175">
        <f t="shared" si="4"/>
        <v>5.5555555555555558E-5</v>
      </c>
      <c r="M27" s="256">
        <f t="shared" si="5"/>
        <v>5000</v>
      </c>
      <c r="N27" s="257">
        <f t="shared" si="6"/>
        <v>11000</v>
      </c>
      <c r="O27" s="6"/>
    </row>
    <row r="28" spans="1:15"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250">
        <f t="shared" si="1"/>
        <v>193238.88888888888</v>
      </c>
      <c r="J28" s="251">
        <f t="shared" si="2"/>
        <v>193238.88888888888</v>
      </c>
      <c r="K28" s="262">
        <f t="shared" si="3"/>
        <v>5975</v>
      </c>
      <c r="L28" s="175">
        <f t="shared" si="4"/>
        <v>5.5555555555555558E-5</v>
      </c>
      <c r="M28" s="256">
        <f t="shared" si="5"/>
        <v>5000</v>
      </c>
      <c r="N28" s="257">
        <f t="shared" si="6"/>
        <v>10975</v>
      </c>
      <c r="O28" s="6"/>
    </row>
    <row r="29" spans="1:15" ht="15.75" thickBot="1" x14ac:dyDescent="0.3">
      <c r="A29" s="67">
        <f>A28+1</f>
        <v>43678</v>
      </c>
      <c r="B29" s="100" t="s">
        <v>54</v>
      </c>
      <c r="C29" s="100" t="s">
        <v>54</v>
      </c>
      <c r="D29" s="100" t="s">
        <v>54</v>
      </c>
      <c r="E29" s="100" t="s">
        <v>54</v>
      </c>
      <c r="F29" s="93">
        <f>'Loan Details'!L28</f>
        <v>0</v>
      </c>
      <c r="G29" s="70">
        <f>'Loan Details'!N28</f>
        <v>0</v>
      </c>
      <c r="H29" s="100" t="s">
        <v>54</v>
      </c>
      <c r="I29" s="255">
        <f t="shared" si="1"/>
        <v>199613.88888888888</v>
      </c>
      <c r="J29" s="251">
        <f t="shared" si="2"/>
        <v>199613.88888888888</v>
      </c>
      <c r="K29" s="262">
        <f t="shared" si="3"/>
        <v>6374.9999999999991</v>
      </c>
      <c r="L29" s="171" t="s">
        <v>54</v>
      </c>
      <c r="M29" s="259">
        <f t="shared" si="5"/>
        <v>5000</v>
      </c>
      <c r="N29" s="260">
        <f t="shared" si="6"/>
        <v>11375</v>
      </c>
    </row>
    <row r="30" spans="1:15" ht="33" customHeight="1" x14ac:dyDescent="0.25">
      <c r="F30" s="101"/>
      <c r="I30" s="191"/>
      <c r="J30" s="192"/>
      <c r="K30" s="193"/>
      <c r="L30" s="375" t="s">
        <v>95</v>
      </c>
      <c r="M30" s="376"/>
      <c r="N30" s="379">
        <f>SUM(N7:N29)</f>
        <v>362391.66666666669</v>
      </c>
    </row>
    <row r="31" spans="1:15" ht="20.100000000000001" customHeight="1" thickBot="1" x14ac:dyDescent="0.3">
      <c r="I31" s="188"/>
      <c r="J31" s="189"/>
      <c r="K31" s="190"/>
      <c r="L31" s="377"/>
      <c r="M31" s="378"/>
      <c r="N31" s="380"/>
    </row>
    <row r="37" spans="7:7" x14ac:dyDescent="0.25">
      <c r="G37" s="6"/>
    </row>
  </sheetData>
  <sheetProtection algorithmName="SHA-512" hashValue="TBMDHVpRxEz8yWrO8BdU3YvBYMqPKvlFs8piCkvnead7Y7hv7DGigGv8MmTjvukW1OtFAzPJKBbAVz9v6HeMow==" saltValue="nYfv4jKbng5qE5wXRjwKZA==" spinCount="100000" sheet="1" objects="1" scenarios="1"/>
  <mergeCells count="10">
    <mergeCell ref="A1:H1"/>
    <mergeCell ref="I1:K1"/>
    <mergeCell ref="B3:B4"/>
    <mergeCell ref="E3:E4"/>
    <mergeCell ref="G3:G4"/>
    <mergeCell ref="P1:Z4"/>
    <mergeCell ref="L1:M1"/>
    <mergeCell ref="N3:N4"/>
    <mergeCell ref="L30:M31"/>
    <mergeCell ref="N30:N3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7"/>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bestFit="1" customWidth="1"/>
    <col min="9" max="9" width="23" style="102" customWidth="1"/>
    <col min="10" max="10" width="21.7109375" style="102" customWidth="1"/>
    <col min="11" max="11" width="13.7109375" customWidth="1"/>
    <col min="12" max="12" width="14.42578125" customWidth="1"/>
    <col min="13" max="13" width="12.42578125" customWidth="1"/>
    <col min="14" max="14" width="12.28515625" bestFit="1" customWidth="1"/>
  </cols>
  <sheetData>
    <row r="1" spans="1:26" s="186" customFormat="1" ht="19.5" thickTop="1" x14ac:dyDescent="0.3">
      <c r="A1" s="371" t="s">
        <v>72</v>
      </c>
      <c r="B1" s="372"/>
      <c r="C1" s="372"/>
      <c r="D1" s="372"/>
      <c r="E1" s="372"/>
      <c r="F1" s="372"/>
      <c r="G1" s="372"/>
      <c r="H1" s="372"/>
      <c r="I1" s="373" t="s">
        <v>73</v>
      </c>
      <c r="J1" s="373"/>
      <c r="K1" s="373"/>
      <c r="L1" s="374" t="s">
        <v>77</v>
      </c>
      <c r="M1" s="374"/>
      <c r="N1" s="180"/>
      <c r="P1" s="323" t="s">
        <v>97</v>
      </c>
      <c r="Q1" s="324"/>
      <c r="R1" s="324"/>
      <c r="S1" s="324"/>
      <c r="T1" s="324"/>
      <c r="U1" s="324"/>
      <c r="V1" s="324"/>
      <c r="W1" s="324"/>
      <c r="X1" s="324"/>
      <c r="Y1" s="324"/>
      <c r="Z1" s="325"/>
    </row>
    <row r="2" spans="1:26" s="117" customFormat="1" ht="5.0999999999999996" customHeight="1" x14ac:dyDescent="0.35">
      <c r="A2" s="59"/>
      <c r="B2" s="95"/>
      <c r="C2" s="80"/>
      <c r="D2" s="80"/>
      <c r="E2" s="138"/>
      <c r="F2" s="80"/>
      <c r="G2" s="82"/>
      <c r="H2" s="106"/>
      <c r="I2" s="104" t="s">
        <v>55</v>
      </c>
      <c r="J2" s="121"/>
      <c r="K2" s="123"/>
      <c r="L2" s="177"/>
      <c r="M2" s="178"/>
      <c r="N2" s="179"/>
      <c r="O2" s="118"/>
      <c r="P2" s="326"/>
      <c r="Q2" s="327"/>
      <c r="R2" s="327"/>
      <c r="S2" s="327"/>
      <c r="T2" s="327"/>
      <c r="U2" s="327"/>
      <c r="V2" s="327"/>
      <c r="W2" s="327"/>
      <c r="X2" s="327"/>
      <c r="Y2" s="327"/>
      <c r="Z2" s="328"/>
    </row>
    <row r="3" spans="1:26" s="117" customFormat="1" ht="50.1" customHeight="1" x14ac:dyDescent="0.35">
      <c r="A3" s="59"/>
      <c r="B3" s="381" t="s">
        <v>96</v>
      </c>
      <c r="C3" s="80"/>
      <c r="D3" s="80"/>
      <c r="E3" s="382" t="s">
        <v>91</v>
      </c>
      <c r="F3" s="80"/>
      <c r="G3" s="383" t="s">
        <v>93</v>
      </c>
      <c r="H3" s="106" t="s">
        <v>57</v>
      </c>
      <c r="I3" s="104" t="s">
        <v>55</v>
      </c>
      <c r="J3" s="115" t="s">
        <v>56</v>
      </c>
      <c r="K3" s="78" t="s">
        <v>67</v>
      </c>
      <c r="L3" s="164" t="s">
        <v>74</v>
      </c>
      <c r="M3" s="165" t="s">
        <v>75</v>
      </c>
      <c r="N3" s="370" t="s">
        <v>76</v>
      </c>
      <c r="P3" s="326"/>
      <c r="Q3" s="327"/>
      <c r="R3" s="327"/>
      <c r="S3" s="327"/>
      <c r="T3" s="327"/>
      <c r="U3" s="327"/>
      <c r="V3" s="327"/>
      <c r="W3" s="327"/>
      <c r="X3" s="327"/>
      <c r="Y3" s="327"/>
      <c r="Z3" s="328"/>
    </row>
    <row r="4" spans="1:26" s="117" customFormat="1" ht="32.1" customHeight="1" thickBot="1" x14ac:dyDescent="0.4">
      <c r="A4" s="204" t="s">
        <v>94</v>
      </c>
      <c r="B4" s="381"/>
      <c r="C4" s="80" t="s">
        <v>89</v>
      </c>
      <c r="D4" s="80" t="s">
        <v>90</v>
      </c>
      <c r="E4" s="382"/>
      <c r="F4" s="80" t="s">
        <v>92</v>
      </c>
      <c r="G4" s="383"/>
      <c r="H4" s="139"/>
      <c r="I4" s="119"/>
      <c r="J4" s="121"/>
      <c r="K4" s="123"/>
      <c r="L4" s="166"/>
      <c r="M4" s="167"/>
      <c r="N4" s="370"/>
      <c r="P4" s="329"/>
      <c r="Q4" s="330"/>
      <c r="R4" s="330"/>
      <c r="S4" s="330"/>
      <c r="T4" s="330"/>
      <c r="U4" s="330"/>
      <c r="V4" s="330"/>
      <c r="W4" s="330"/>
      <c r="X4" s="330"/>
      <c r="Y4" s="330"/>
      <c r="Z4" s="331"/>
    </row>
    <row r="5" spans="1:26" s="117" customFormat="1" ht="5.0999999999999996" customHeight="1" thickTop="1" thickBot="1" x14ac:dyDescent="0.3">
      <c r="A5" s="92"/>
      <c r="B5" s="96"/>
      <c r="C5" s="81"/>
      <c r="D5" s="81"/>
      <c r="E5" s="137"/>
      <c r="F5" s="81"/>
      <c r="G5" s="83"/>
      <c r="H5" s="107"/>
      <c r="I5" s="120"/>
      <c r="J5" s="122"/>
      <c r="K5" s="124"/>
      <c r="L5" s="168"/>
      <c r="M5" s="169"/>
      <c r="N5" s="172"/>
    </row>
    <row r="6" spans="1:26"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04"/>
      <c r="J6" s="115"/>
      <c r="K6" s="78"/>
      <c r="L6" s="174">
        <f>D6*(E6/360)</f>
        <v>5.5555555555555558E-5</v>
      </c>
      <c r="M6" s="170"/>
      <c r="N6" s="173"/>
    </row>
    <row r="7" spans="1:26"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250">
        <f t="shared" ref="I7:I29" si="1">J6 +H6*(F6 +J6)</f>
        <v>6722.2222222222217</v>
      </c>
      <c r="J7" s="251">
        <f t="shared" ref="J7:J29" si="2">I7+G7</f>
        <v>6722.2222222222217</v>
      </c>
      <c r="K7" s="252">
        <f t="shared" ref="K7:K29" si="3">H6*(F6 +J6)</f>
        <v>6722.2222222222217</v>
      </c>
      <c r="L7" s="175">
        <f t="shared" ref="L7:L28" si="4">D7*(E7/360)</f>
        <v>5.5555555555555558E-5</v>
      </c>
      <c r="M7" s="256">
        <f>L6*F6</f>
        <v>5555.5555555555557</v>
      </c>
      <c r="N7" s="257">
        <f>K7+M7</f>
        <v>12277.777777777777</v>
      </c>
    </row>
    <row r="8" spans="1:26"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250">
        <f t="shared" si="1"/>
        <v>13694.913132716047</v>
      </c>
      <c r="J8" s="251">
        <f t="shared" si="2"/>
        <v>13694.913132716047</v>
      </c>
      <c r="K8" s="252">
        <f t="shared" si="3"/>
        <v>6972.6909104938259</v>
      </c>
      <c r="L8" s="175">
        <f t="shared" si="4"/>
        <v>1.1111111111111112E-4</v>
      </c>
      <c r="M8" s="256">
        <f t="shared" ref="M8:M29" si="5">L7*F7</f>
        <v>5555.5555555555557</v>
      </c>
      <c r="N8" s="257">
        <f t="shared" ref="N8:N29" si="6">K8+M8</f>
        <v>12528.246466049382</v>
      </c>
    </row>
    <row r="9" spans="1:26" s="2" customFormat="1" x14ac:dyDescent="0.25">
      <c r="A9" s="55">
        <f>'Loan Details'!G8</f>
        <v>43650</v>
      </c>
      <c r="B9" s="99" t="s">
        <v>54</v>
      </c>
      <c r="C9" s="127"/>
      <c r="D9" s="127"/>
      <c r="E9" s="89"/>
      <c r="F9" s="261">
        <f>'Loan Details'!L8</f>
        <v>100000000</v>
      </c>
      <c r="G9" s="56"/>
      <c r="H9" s="134">
        <f t="shared" si="0"/>
        <v>0</v>
      </c>
      <c r="I9" s="250">
        <f t="shared" si="1"/>
        <v>27919.083075917144</v>
      </c>
      <c r="J9" s="251">
        <f t="shared" si="2"/>
        <v>27919.083075917144</v>
      </c>
      <c r="K9" s="252">
        <f t="shared" si="3"/>
        <v>14224.169943201099</v>
      </c>
      <c r="L9" s="175">
        <f t="shared" si="4"/>
        <v>0</v>
      </c>
      <c r="M9" s="256">
        <f t="shared" si="5"/>
        <v>11111.111111111111</v>
      </c>
      <c r="N9" s="257">
        <f t="shared" si="6"/>
        <v>25335.28105431221</v>
      </c>
      <c r="O9"/>
      <c r="P9"/>
    </row>
    <row r="10" spans="1:26"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253">
        <f t="shared" si="1"/>
        <v>27919.083075917144</v>
      </c>
      <c r="J10" s="263">
        <f t="shared" si="2"/>
        <v>27919.083075917144</v>
      </c>
      <c r="K10" s="252">
        <f t="shared" si="3"/>
        <v>0</v>
      </c>
      <c r="L10" s="175">
        <f t="shared" si="4"/>
        <v>1.6666666666666666E-4</v>
      </c>
      <c r="M10" s="256">
        <f t="shared" si="5"/>
        <v>0</v>
      </c>
      <c r="N10" s="257">
        <f t="shared" si="6"/>
        <v>0</v>
      </c>
    </row>
    <row r="11" spans="1:26"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250">
        <f t="shared" si="1"/>
        <v>49508.442278014358</v>
      </c>
      <c r="J11" s="251">
        <f t="shared" si="2"/>
        <v>49508.442278014358</v>
      </c>
      <c r="K11" s="252">
        <f t="shared" si="3"/>
        <v>21589.359202097214</v>
      </c>
      <c r="L11" s="175">
        <f t="shared" si="4"/>
        <v>5.5555555555555558E-5</v>
      </c>
      <c r="M11" s="256">
        <f t="shared" si="5"/>
        <v>16666.666666666668</v>
      </c>
      <c r="N11" s="257">
        <f t="shared" si="6"/>
        <v>38256.025868763885</v>
      </c>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250">
        <f t="shared" si="1"/>
        <v>56400.741748482396</v>
      </c>
      <c r="J12" s="251">
        <f t="shared" si="2"/>
        <v>56400.741748482396</v>
      </c>
      <c r="K12" s="252">
        <f t="shared" si="3"/>
        <v>6892.2994704680414</v>
      </c>
      <c r="L12" s="175">
        <f t="shared" si="4"/>
        <v>5.5555555555555558E-5</v>
      </c>
      <c r="M12" s="256">
        <f t="shared" si="5"/>
        <v>5555.5555555555557</v>
      </c>
      <c r="N12" s="257">
        <f t="shared" si="6"/>
        <v>12447.855026023597</v>
      </c>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250">
        <f t="shared" si="1"/>
        <v>63210.135687851391</v>
      </c>
      <c r="J13" s="251">
        <f t="shared" si="2"/>
        <v>63210.135687851391</v>
      </c>
      <c r="K13" s="252">
        <f t="shared" si="3"/>
        <v>6809.3939393689943</v>
      </c>
      <c r="L13" s="175">
        <f t="shared" si="4"/>
        <v>5.5555555555555558E-5</v>
      </c>
      <c r="M13" s="256">
        <f t="shared" si="5"/>
        <v>5555.5555555555557</v>
      </c>
      <c r="N13" s="257">
        <f t="shared" si="6"/>
        <v>12364.949494924549</v>
      </c>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250">
        <f t="shared" si="1"/>
        <v>70047.788380456725</v>
      </c>
      <c r="J14" s="251">
        <f t="shared" si="2"/>
        <v>70047.788380456725</v>
      </c>
      <c r="K14" s="252">
        <f t="shared" si="3"/>
        <v>6837.6526926053366</v>
      </c>
      <c r="L14" s="175">
        <f t="shared" si="4"/>
        <v>5.5555555555555558E-5</v>
      </c>
      <c r="M14" s="256">
        <f t="shared" si="5"/>
        <v>5555.5555555555557</v>
      </c>
      <c r="N14" s="257">
        <f t="shared" si="6"/>
        <v>12393.208248160892</v>
      </c>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250">
        <f t="shared" si="1"/>
        <v>76746.922135178858</v>
      </c>
      <c r="J15" s="251">
        <f t="shared" si="2"/>
        <v>76746.922135178858</v>
      </c>
      <c r="K15" s="252">
        <f t="shared" si="3"/>
        <v>6699.1337547221374</v>
      </c>
      <c r="L15" s="175">
        <f t="shared" si="4"/>
        <v>1.6666666666666666E-4</v>
      </c>
      <c r="M15" s="256">
        <f t="shared" si="5"/>
        <v>5555.5555555555557</v>
      </c>
      <c r="N15" s="257">
        <f t="shared" si="6"/>
        <v>12254.689310277692</v>
      </c>
      <c r="O15"/>
      <c r="P15"/>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75">
        <f>((F16-F15)/F15)*I16</f>
        <v>-9642.8682363198786</v>
      </c>
      <c r="H16" s="133">
        <f t="shared" si="0"/>
        <v>6.8333333333333332E-5</v>
      </c>
      <c r="I16" s="250">
        <f t="shared" si="1"/>
        <v>96428.682363198779</v>
      </c>
      <c r="J16" s="251">
        <f t="shared" si="2"/>
        <v>86785.814126878904</v>
      </c>
      <c r="K16" s="252">
        <f t="shared" si="3"/>
        <v>19681.760228019917</v>
      </c>
      <c r="L16" s="175">
        <f t="shared" si="4"/>
        <v>5.5555555555555558E-5</v>
      </c>
      <c r="M16" s="256">
        <f t="shared" si="5"/>
        <v>16666.666666666668</v>
      </c>
      <c r="N16" s="257">
        <f t="shared" si="6"/>
        <v>36348.426894686585</v>
      </c>
    </row>
    <row r="17" spans="1:14"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250">
        <f t="shared" si="1"/>
        <v>92941.744490844241</v>
      </c>
      <c r="J17" s="251">
        <f t="shared" si="2"/>
        <v>92941.744490844241</v>
      </c>
      <c r="K17" s="252">
        <f t="shared" si="3"/>
        <v>6155.9303639653363</v>
      </c>
      <c r="L17" s="175">
        <f t="shared" si="4"/>
        <v>5.5555555555555558E-5</v>
      </c>
      <c r="M17" s="256">
        <f t="shared" si="5"/>
        <v>5000</v>
      </c>
      <c r="N17" s="257">
        <f t="shared" si="6"/>
        <v>11155.930363965337</v>
      </c>
    </row>
    <row r="18" spans="1:14"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250">
        <f t="shared" si="1"/>
        <v>99123.12132720236</v>
      </c>
      <c r="J18" s="251">
        <f t="shared" si="2"/>
        <v>99123.12132720236</v>
      </c>
      <c r="K18" s="252">
        <f t="shared" si="3"/>
        <v>6181.376836358123</v>
      </c>
      <c r="L18" s="175">
        <f t="shared" si="4"/>
        <v>5.5555555555555558E-5</v>
      </c>
      <c r="M18" s="256">
        <f t="shared" si="5"/>
        <v>5000</v>
      </c>
      <c r="N18" s="257">
        <f t="shared" si="6"/>
        <v>11181.376836358122</v>
      </c>
    </row>
    <row r="19" spans="1:14"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250">
        <f t="shared" si="1"/>
        <v>105304.92227469342</v>
      </c>
      <c r="J19" s="251">
        <f t="shared" si="2"/>
        <v>105304.92227469342</v>
      </c>
      <c r="K19" s="252">
        <f t="shared" si="3"/>
        <v>6181.8009474910623</v>
      </c>
      <c r="L19" s="175">
        <f t="shared" si="4"/>
        <v>5.5555555555555558E-5</v>
      </c>
      <c r="M19" s="256">
        <f t="shared" si="5"/>
        <v>5000</v>
      </c>
      <c r="N19" s="257">
        <f t="shared" si="6"/>
        <v>11181.800947491061</v>
      </c>
    </row>
    <row r="20" spans="1:14"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250">
        <f t="shared" si="1"/>
        <v>111462.11811104887</v>
      </c>
      <c r="J20" s="251">
        <f t="shared" si="2"/>
        <v>111462.11811104887</v>
      </c>
      <c r="K20" s="252">
        <f t="shared" si="3"/>
        <v>6157.1958363554377</v>
      </c>
      <c r="L20" s="175">
        <f t="shared" si="4"/>
        <v>1.6666666666666666E-4</v>
      </c>
      <c r="M20" s="256">
        <f t="shared" si="5"/>
        <v>5000</v>
      </c>
      <c r="N20" s="257">
        <f t="shared" si="6"/>
        <v>11157.195836355437</v>
      </c>
    </row>
    <row r="21" spans="1:14"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250">
        <f t="shared" si="1"/>
        <v>129559.50341976951</v>
      </c>
      <c r="J21" s="251">
        <f t="shared" si="2"/>
        <v>129559.50341976951</v>
      </c>
      <c r="K21" s="252">
        <f t="shared" si="3"/>
        <v>18097.385308720633</v>
      </c>
      <c r="L21" s="175">
        <f t="shared" si="4"/>
        <v>5.5555555555555558E-5</v>
      </c>
      <c r="M21" s="256">
        <f t="shared" si="5"/>
        <v>15000</v>
      </c>
      <c r="N21" s="257">
        <f t="shared" si="6"/>
        <v>33097.385308720637</v>
      </c>
    </row>
    <row r="22" spans="1:14"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250">
        <f t="shared" si="1"/>
        <v>135568.14071999749</v>
      </c>
      <c r="J22" s="251">
        <f t="shared" si="2"/>
        <v>135568.14071999749</v>
      </c>
      <c r="K22" s="252">
        <f t="shared" si="3"/>
        <v>6008.6373002279852</v>
      </c>
      <c r="L22" s="175">
        <f t="shared" si="4"/>
        <v>5.5555555555555558E-5</v>
      </c>
      <c r="M22" s="256">
        <f t="shared" si="5"/>
        <v>5000</v>
      </c>
      <c r="N22" s="257">
        <f t="shared" si="6"/>
        <v>11008.637300227985</v>
      </c>
    </row>
    <row r="23" spans="1:14"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250">
        <f t="shared" si="1"/>
        <v>141577.1785960455</v>
      </c>
      <c r="J23" s="251">
        <f t="shared" si="2"/>
        <v>141577.1785960455</v>
      </c>
      <c r="K23" s="252">
        <f t="shared" si="3"/>
        <v>6009.0378760479998</v>
      </c>
      <c r="L23" s="175">
        <f t="shared" si="4"/>
        <v>5.5555555555555558E-5</v>
      </c>
      <c r="M23" s="256">
        <f t="shared" si="5"/>
        <v>5000</v>
      </c>
      <c r="N23" s="257">
        <f t="shared" si="6"/>
        <v>11009.037876048</v>
      </c>
    </row>
    <row r="24" spans="1:14"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250">
        <f t="shared" si="1"/>
        <v>147611.65640161262</v>
      </c>
      <c r="J24" s="251">
        <f t="shared" si="2"/>
        <v>147611.65640161262</v>
      </c>
      <c r="K24" s="252">
        <f t="shared" si="3"/>
        <v>6034.477805567125</v>
      </c>
      <c r="L24" s="175">
        <f t="shared" si="4"/>
        <v>5.5555555555555558E-5</v>
      </c>
      <c r="M24" s="256">
        <f t="shared" si="5"/>
        <v>5000</v>
      </c>
      <c r="N24" s="257">
        <f t="shared" si="6"/>
        <v>11034.477805567125</v>
      </c>
    </row>
    <row r="25" spans="1:14"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250">
        <f t="shared" si="1"/>
        <v>153671.57918518185</v>
      </c>
      <c r="J25" s="251">
        <f t="shared" si="2"/>
        <v>153671.57918518185</v>
      </c>
      <c r="K25" s="252">
        <f t="shared" si="3"/>
        <v>6059.92278356922</v>
      </c>
      <c r="L25" s="175">
        <f t="shared" si="4"/>
        <v>1.6666666666666666E-4</v>
      </c>
      <c r="M25" s="256">
        <f t="shared" si="5"/>
        <v>5000</v>
      </c>
      <c r="N25" s="257">
        <f t="shared" si="6"/>
        <v>11059.92278356922</v>
      </c>
    </row>
    <row r="26" spans="1:14"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250">
        <f t="shared" si="1"/>
        <v>171777.4415606682</v>
      </c>
      <c r="J26" s="251">
        <f t="shared" si="2"/>
        <v>171777.4415606682</v>
      </c>
      <c r="K26" s="252">
        <f t="shared" si="3"/>
        <v>18105.862375486358</v>
      </c>
      <c r="L26" s="175">
        <f t="shared" si="4"/>
        <v>5.5555555555555558E-5</v>
      </c>
      <c r="M26" s="256">
        <f t="shared" si="5"/>
        <v>15000</v>
      </c>
      <c r="N26" s="257">
        <f t="shared" si="6"/>
        <v>33105.862375486358</v>
      </c>
    </row>
    <row r="27" spans="1:14"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250">
        <f t="shared" si="1"/>
        <v>177788.89339010557</v>
      </c>
      <c r="J27" s="251">
        <f t="shared" si="2"/>
        <v>177788.89339010557</v>
      </c>
      <c r="K27" s="252">
        <f t="shared" si="3"/>
        <v>6011.4518294373784</v>
      </c>
      <c r="L27" s="175">
        <f t="shared" si="4"/>
        <v>5.5555555555555558E-5</v>
      </c>
      <c r="M27" s="256">
        <f t="shared" si="5"/>
        <v>5000</v>
      </c>
      <c r="N27" s="257">
        <f t="shared" si="6"/>
        <v>11011.451829437377</v>
      </c>
    </row>
    <row r="28" spans="1:14"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250">
        <f t="shared" si="1"/>
        <v>183775.69659719453</v>
      </c>
      <c r="J28" s="251">
        <f t="shared" si="2"/>
        <v>183775.69659719453</v>
      </c>
      <c r="K28" s="252">
        <f t="shared" si="3"/>
        <v>5986.803207088954</v>
      </c>
      <c r="L28" s="175">
        <f t="shared" si="4"/>
        <v>5.5555555555555558E-5</v>
      </c>
      <c r="M28" s="256">
        <f t="shared" si="5"/>
        <v>5000</v>
      </c>
      <c r="N28" s="257">
        <f t="shared" si="6"/>
        <v>10986.803207088953</v>
      </c>
    </row>
    <row r="29" spans="1:14" ht="15.75" thickBot="1" x14ac:dyDescent="0.3">
      <c r="A29" s="67">
        <f>A28+1</f>
        <v>43678</v>
      </c>
      <c r="B29" s="100" t="s">
        <v>54</v>
      </c>
      <c r="C29" s="100" t="s">
        <v>54</v>
      </c>
      <c r="D29" s="100" t="s">
        <v>54</v>
      </c>
      <c r="E29" s="100" t="s">
        <v>54</v>
      </c>
      <c r="F29" s="93">
        <f>'Loan Details'!L28</f>
        <v>0</v>
      </c>
      <c r="G29" s="68">
        <f>'Loan Details'!N28</f>
        <v>0</v>
      </c>
      <c r="H29" s="100" t="s">
        <v>54</v>
      </c>
      <c r="I29" s="250">
        <f t="shared" si="1"/>
        <v>190163.71404237018</v>
      </c>
      <c r="J29" s="251">
        <f t="shared" si="2"/>
        <v>190163.71404237018</v>
      </c>
      <c r="K29" s="252">
        <f t="shared" si="3"/>
        <v>6388.0174451756338</v>
      </c>
      <c r="L29" s="171" t="s">
        <v>54</v>
      </c>
      <c r="M29" s="259">
        <f t="shared" si="5"/>
        <v>5000</v>
      </c>
      <c r="N29" s="260">
        <f t="shared" si="6"/>
        <v>11388.017445175634</v>
      </c>
    </row>
    <row r="30" spans="1:14" ht="33" customHeight="1" x14ac:dyDescent="0.25">
      <c r="F30" s="101"/>
      <c r="I30" s="191"/>
      <c r="J30" s="192"/>
      <c r="K30" s="321"/>
      <c r="L30" s="375" t="s">
        <v>95</v>
      </c>
      <c r="M30" s="376"/>
      <c r="N30" s="379">
        <f>SUM(N7:N29)</f>
        <v>362584.36005646788</v>
      </c>
    </row>
    <row r="31" spans="1:14" ht="20.100000000000001" customHeight="1" thickBot="1" x14ac:dyDescent="0.3">
      <c r="I31" s="188"/>
      <c r="J31" s="189"/>
      <c r="K31" s="190"/>
      <c r="L31" s="377"/>
      <c r="M31" s="378"/>
      <c r="N31" s="380"/>
    </row>
    <row r="34" spans="1:16" s="94" customFormat="1" x14ac:dyDescent="0.25">
      <c r="A34"/>
      <c r="C34"/>
      <c r="D34"/>
      <c r="E34" s="90"/>
      <c r="F34" s="33"/>
      <c r="G34"/>
      <c r="H34" s="19"/>
      <c r="I34" s="102"/>
      <c r="J34" s="102"/>
      <c r="K34"/>
      <c r="L34"/>
      <c r="M34"/>
      <c r="N34"/>
      <c r="O34"/>
      <c r="P34"/>
    </row>
    <row r="37" spans="1:16" s="94" customFormat="1" x14ac:dyDescent="0.25">
      <c r="A37"/>
      <c r="C37"/>
      <c r="D37"/>
      <c r="E37" s="90"/>
      <c r="F37" s="33"/>
      <c r="G37" s="6"/>
      <c r="H37" s="19"/>
      <c r="I37" s="102"/>
      <c r="J37" s="102"/>
      <c r="K37"/>
      <c r="L37"/>
      <c r="M37"/>
      <c r="N37"/>
      <c r="O37"/>
      <c r="P37"/>
    </row>
  </sheetData>
  <sheetProtection algorithmName="SHA-512" hashValue="/F5d5pXDS/fK7PTBHOXPuAMOjuumPUWbTQ79wkSy1vEBJT4QR9QkpdaNyBQ27+lv5YpFzwfyGuaDZv2E9glQlg==" saltValue="uVyG6TGv6vgJkfNkvMoZfw==" spinCount="100000" sheet="1" objects="1" scenarios="1"/>
  <mergeCells count="10">
    <mergeCell ref="A1:H1"/>
    <mergeCell ref="I1:K1"/>
    <mergeCell ref="E3:E4"/>
    <mergeCell ref="B3:B4"/>
    <mergeCell ref="G3:G4"/>
    <mergeCell ref="P1:Z4"/>
    <mergeCell ref="L1:M1"/>
    <mergeCell ref="N3:N4"/>
    <mergeCell ref="L30:M31"/>
    <mergeCell ref="N30:N3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37"/>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customWidth="1"/>
    <col min="9" max="9" width="21.7109375" style="125" customWidth="1"/>
    <col min="10" max="10" width="21.7109375" style="102" customWidth="1"/>
    <col min="11" max="11" width="14.7109375" customWidth="1"/>
    <col min="12" max="12" width="14.42578125" customWidth="1"/>
    <col min="13" max="13" width="12.42578125" customWidth="1"/>
    <col min="14" max="14" width="12.28515625" bestFit="1" customWidth="1"/>
    <col min="15" max="15" width="11" bestFit="1" customWidth="1"/>
  </cols>
  <sheetData>
    <row r="1" spans="1:26" s="186" customFormat="1" ht="19.5" thickTop="1" x14ac:dyDescent="0.3">
      <c r="A1" s="371" t="s">
        <v>72</v>
      </c>
      <c r="B1" s="372"/>
      <c r="C1" s="372"/>
      <c r="D1" s="372"/>
      <c r="E1" s="372"/>
      <c r="F1" s="372"/>
      <c r="G1" s="372"/>
      <c r="H1" s="372"/>
      <c r="I1" s="373" t="s">
        <v>73</v>
      </c>
      <c r="J1" s="373"/>
      <c r="K1" s="373"/>
      <c r="L1" s="374" t="s">
        <v>77</v>
      </c>
      <c r="M1" s="374"/>
      <c r="N1" s="180"/>
      <c r="P1" s="323" t="s">
        <v>97</v>
      </c>
      <c r="Q1" s="324"/>
      <c r="R1" s="324"/>
      <c r="S1" s="324"/>
      <c r="T1" s="324"/>
      <c r="U1" s="324"/>
      <c r="V1" s="324"/>
      <c r="W1" s="324"/>
      <c r="X1" s="324"/>
      <c r="Y1" s="324"/>
      <c r="Z1" s="325"/>
    </row>
    <row r="2" spans="1:26" s="117" customFormat="1" ht="4.5" customHeight="1" x14ac:dyDescent="0.35">
      <c r="A2" s="59"/>
      <c r="B2" s="95"/>
      <c r="C2" s="80"/>
      <c r="D2" s="80"/>
      <c r="E2" s="138"/>
      <c r="F2" s="80"/>
      <c r="G2" s="82"/>
      <c r="H2" s="106"/>
      <c r="I2" s="104" t="s">
        <v>55</v>
      </c>
      <c r="J2" s="121"/>
      <c r="K2" s="123"/>
      <c r="L2" s="177"/>
      <c r="M2" s="178"/>
      <c r="N2" s="179"/>
      <c r="O2" s="118"/>
      <c r="P2" s="326"/>
      <c r="Q2" s="327"/>
      <c r="R2" s="327"/>
      <c r="S2" s="327"/>
      <c r="T2" s="327"/>
      <c r="U2" s="327"/>
      <c r="V2" s="327"/>
      <c r="W2" s="327"/>
      <c r="X2" s="327"/>
      <c r="Y2" s="327"/>
      <c r="Z2" s="328"/>
    </row>
    <row r="3" spans="1:26" s="117" customFormat="1" ht="51.75" customHeight="1" x14ac:dyDescent="0.35">
      <c r="A3" s="59"/>
      <c r="B3" s="381" t="s">
        <v>96</v>
      </c>
      <c r="C3" s="80"/>
      <c r="D3" s="80"/>
      <c r="E3" s="382" t="s">
        <v>59</v>
      </c>
      <c r="F3" s="80"/>
      <c r="G3" s="383" t="s">
        <v>69</v>
      </c>
      <c r="H3" s="106" t="s">
        <v>57</v>
      </c>
      <c r="I3" s="104" t="s">
        <v>55</v>
      </c>
      <c r="J3" s="115" t="s">
        <v>56</v>
      </c>
      <c r="K3" s="78" t="s">
        <v>67</v>
      </c>
      <c r="L3" s="164" t="s">
        <v>74</v>
      </c>
      <c r="M3" s="165" t="s">
        <v>75</v>
      </c>
      <c r="N3" s="370" t="s">
        <v>76</v>
      </c>
      <c r="P3" s="326"/>
      <c r="Q3" s="327"/>
      <c r="R3" s="327"/>
      <c r="S3" s="327"/>
      <c r="T3" s="327"/>
      <c r="U3" s="327"/>
      <c r="V3" s="327"/>
      <c r="W3" s="327"/>
      <c r="X3" s="327"/>
      <c r="Y3" s="327"/>
      <c r="Z3" s="328"/>
    </row>
    <row r="4" spans="1:26" s="117" customFormat="1" ht="32.1" customHeight="1" thickBot="1" x14ac:dyDescent="0.4">
      <c r="A4" s="204" t="s">
        <v>94</v>
      </c>
      <c r="B4" s="381"/>
      <c r="C4" s="80" t="s">
        <v>60</v>
      </c>
      <c r="D4" s="80" t="s">
        <v>78</v>
      </c>
      <c r="E4" s="382"/>
      <c r="F4" s="80" t="s">
        <v>71</v>
      </c>
      <c r="G4" s="383"/>
      <c r="H4" s="139"/>
      <c r="I4" s="119"/>
      <c r="J4" s="121"/>
      <c r="K4" s="123"/>
      <c r="L4" s="166"/>
      <c r="M4" s="167"/>
      <c r="N4" s="370"/>
      <c r="P4" s="329"/>
      <c r="Q4" s="330"/>
      <c r="R4" s="330"/>
      <c r="S4" s="330"/>
      <c r="T4" s="330"/>
      <c r="U4" s="330"/>
      <c r="V4" s="330"/>
      <c r="W4" s="330"/>
      <c r="X4" s="330"/>
      <c r="Y4" s="330"/>
      <c r="Z4" s="331"/>
    </row>
    <row r="5" spans="1:26" s="117" customFormat="1" ht="5.0999999999999996" customHeight="1" thickTop="1" thickBot="1" x14ac:dyDescent="0.3">
      <c r="A5" s="92"/>
      <c r="B5" s="96"/>
      <c r="C5" s="81"/>
      <c r="D5" s="81"/>
      <c r="E5" s="137"/>
      <c r="F5" s="81"/>
      <c r="G5" s="83"/>
      <c r="H5" s="107"/>
      <c r="I5" s="120"/>
      <c r="J5" s="122"/>
      <c r="K5" s="124"/>
      <c r="L5" s="168"/>
      <c r="M5" s="169"/>
      <c r="N5" s="172"/>
    </row>
    <row r="6" spans="1:26"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19"/>
      <c r="J6" s="115"/>
      <c r="K6" s="78"/>
      <c r="L6" s="174">
        <f>D6*(E6/360)</f>
        <v>5.5555555555555558E-5</v>
      </c>
      <c r="M6" s="170"/>
      <c r="N6" s="173"/>
      <c r="O6" s="6"/>
    </row>
    <row r="7" spans="1:26"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264">
        <f t="shared" ref="I7:I29" si="1">J6 +H6*(F6 +J6)</f>
        <v>6722.2222222222217</v>
      </c>
      <c r="J7" s="265">
        <f t="shared" ref="J7:J29" si="2">I7+G7</f>
        <v>6722.2222222222217</v>
      </c>
      <c r="K7" s="266">
        <f t="shared" ref="K7:K29" si="3">H6*(F6 +J6)</f>
        <v>6722.2222222222217</v>
      </c>
      <c r="L7" s="175">
        <f t="shared" ref="L7:L28" si="4">D7*(E7/360)</f>
        <v>5.5555555555555558E-5</v>
      </c>
      <c r="M7" s="256">
        <f>L6*F6</f>
        <v>5555.5555555555557</v>
      </c>
      <c r="N7" s="257">
        <f>K7+M7</f>
        <v>12277.777777777777</v>
      </c>
      <c r="O7" s="6"/>
    </row>
    <row r="8" spans="1:26"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264">
        <f t="shared" si="1"/>
        <v>13694.913132716047</v>
      </c>
      <c r="J8" s="265">
        <f t="shared" si="2"/>
        <v>13694.913132716047</v>
      </c>
      <c r="K8" s="266">
        <f t="shared" si="3"/>
        <v>6972.6909104938259</v>
      </c>
      <c r="L8" s="175">
        <f t="shared" si="4"/>
        <v>1.1111111111111112E-4</v>
      </c>
      <c r="M8" s="256">
        <f t="shared" ref="M8:M29" si="5">L7*F7</f>
        <v>5555.5555555555557</v>
      </c>
      <c r="N8" s="257">
        <f t="shared" ref="N8:N29" si="6">K8+M8</f>
        <v>12528.246466049382</v>
      </c>
      <c r="O8" s="6"/>
    </row>
    <row r="9" spans="1:26" s="2" customFormat="1" x14ac:dyDescent="0.25">
      <c r="A9" s="55">
        <f>'Loan Details'!G8</f>
        <v>43650</v>
      </c>
      <c r="B9" s="99" t="s">
        <v>54</v>
      </c>
      <c r="C9" s="127"/>
      <c r="D9" s="127"/>
      <c r="E9" s="89"/>
      <c r="F9" s="261">
        <f>'Loan Details'!L8</f>
        <v>100000000</v>
      </c>
      <c r="G9" s="56"/>
      <c r="H9" s="134">
        <f t="shared" si="0"/>
        <v>0</v>
      </c>
      <c r="I9" s="264">
        <f t="shared" si="1"/>
        <v>27919.083075917144</v>
      </c>
      <c r="J9" s="265">
        <f t="shared" si="2"/>
        <v>27919.083075917144</v>
      </c>
      <c r="K9" s="266">
        <f t="shared" si="3"/>
        <v>14224.169943201099</v>
      </c>
      <c r="L9" s="175">
        <f t="shared" si="4"/>
        <v>0</v>
      </c>
      <c r="M9" s="256">
        <f t="shared" si="5"/>
        <v>11111.111111111111</v>
      </c>
      <c r="N9" s="257">
        <f t="shared" si="6"/>
        <v>25335.28105431221</v>
      </c>
      <c r="O9" s="6"/>
    </row>
    <row r="10" spans="1:26"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267">
        <f t="shared" si="1"/>
        <v>27919.083075917144</v>
      </c>
      <c r="J10" s="268">
        <f t="shared" si="2"/>
        <v>27919.083075917144</v>
      </c>
      <c r="K10" s="266">
        <f t="shared" si="3"/>
        <v>0</v>
      </c>
      <c r="L10" s="175">
        <f t="shared" si="4"/>
        <v>1.6666666666666666E-4</v>
      </c>
      <c r="M10" s="256">
        <f t="shared" si="5"/>
        <v>0</v>
      </c>
      <c r="N10" s="257">
        <f t="shared" si="6"/>
        <v>0</v>
      </c>
      <c r="O10" s="6"/>
    </row>
    <row r="11" spans="1:26"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264">
        <f t="shared" si="1"/>
        <v>49508.442278014358</v>
      </c>
      <c r="J11" s="265">
        <f t="shared" si="2"/>
        <v>49508.442278014358</v>
      </c>
      <c r="K11" s="266">
        <f t="shared" si="3"/>
        <v>21589.359202097214</v>
      </c>
      <c r="L11" s="175">
        <f t="shared" si="4"/>
        <v>5.5555555555555558E-5</v>
      </c>
      <c r="M11" s="256">
        <f t="shared" si="5"/>
        <v>16666.666666666668</v>
      </c>
      <c r="N11" s="257">
        <f t="shared" si="6"/>
        <v>38256.025868763885</v>
      </c>
      <c r="O11" s="6"/>
    </row>
    <row r="12" spans="1:26"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264">
        <f t="shared" si="1"/>
        <v>56400.741748482396</v>
      </c>
      <c r="J12" s="265">
        <f t="shared" si="2"/>
        <v>56400.741748482396</v>
      </c>
      <c r="K12" s="266">
        <f t="shared" si="3"/>
        <v>6892.2994704680414</v>
      </c>
      <c r="L12" s="175">
        <f t="shared" si="4"/>
        <v>5.5555555555555558E-5</v>
      </c>
      <c r="M12" s="256">
        <f t="shared" si="5"/>
        <v>5555.5555555555557</v>
      </c>
      <c r="N12" s="257">
        <f t="shared" si="6"/>
        <v>12447.855026023597</v>
      </c>
      <c r="O12" s="6"/>
    </row>
    <row r="13" spans="1:26"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264">
        <f t="shared" si="1"/>
        <v>63210.135687851391</v>
      </c>
      <c r="J13" s="265">
        <f t="shared" si="2"/>
        <v>63210.135687851391</v>
      </c>
      <c r="K13" s="266">
        <f t="shared" si="3"/>
        <v>6809.3939393689943</v>
      </c>
      <c r="L13" s="175">
        <f t="shared" si="4"/>
        <v>5.5555555555555558E-5</v>
      </c>
      <c r="M13" s="256">
        <f t="shared" si="5"/>
        <v>5555.5555555555557</v>
      </c>
      <c r="N13" s="257">
        <f t="shared" si="6"/>
        <v>12364.949494924549</v>
      </c>
      <c r="O13" s="6"/>
    </row>
    <row r="14" spans="1:26"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264">
        <f t="shared" si="1"/>
        <v>70047.788380456725</v>
      </c>
      <c r="J14" s="265">
        <f t="shared" si="2"/>
        <v>70047.788380456725</v>
      </c>
      <c r="K14" s="266">
        <f t="shared" si="3"/>
        <v>6837.6526926053366</v>
      </c>
      <c r="L14" s="175">
        <f t="shared" si="4"/>
        <v>5.5555555555555558E-5</v>
      </c>
      <c r="M14" s="256">
        <f t="shared" si="5"/>
        <v>5555.5555555555557</v>
      </c>
      <c r="N14" s="257">
        <f t="shared" si="6"/>
        <v>12393.208248160892</v>
      </c>
      <c r="O14" s="6"/>
    </row>
    <row r="15" spans="1:26"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264">
        <f t="shared" si="1"/>
        <v>76746.922135178858</v>
      </c>
      <c r="J15" s="265">
        <f t="shared" si="2"/>
        <v>76746.922135178858</v>
      </c>
      <c r="K15" s="266">
        <f t="shared" si="3"/>
        <v>6699.1337547221374</v>
      </c>
      <c r="L15" s="175">
        <f t="shared" si="4"/>
        <v>1.6666666666666666E-4</v>
      </c>
      <c r="M15" s="256">
        <f t="shared" si="5"/>
        <v>5555.5555555555557</v>
      </c>
      <c r="N15" s="257">
        <f t="shared" si="6"/>
        <v>12254.689310277692</v>
      </c>
      <c r="O15" s="6"/>
    </row>
    <row r="16" spans="1:26"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4"/>
      <c r="H16" s="133">
        <f t="shared" si="0"/>
        <v>6.8333333333333332E-5</v>
      </c>
      <c r="I16" s="264">
        <f t="shared" si="1"/>
        <v>96428.682363198779</v>
      </c>
      <c r="J16" s="265">
        <f t="shared" si="2"/>
        <v>96428.682363198779</v>
      </c>
      <c r="K16" s="266">
        <f t="shared" si="3"/>
        <v>19681.760228019917</v>
      </c>
      <c r="L16" s="175">
        <f t="shared" si="4"/>
        <v>5.5555555555555558E-5</v>
      </c>
      <c r="M16" s="256">
        <f t="shared" si="5"/>
        <v>16666.666666666668</v>
      </c>
      <c r="N16" s="257">
        <f t="shared" si="6"/>
        <v>36348.426894686585</v>
      </c>
      <c r="O16" s="6"/>
    </row>
    <row r="17" spans="1:15"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264">
        <f t="shared" si="1"/>
        <v>102585.2716564936</v>
      </c>
      <c r="J17" s="265">
        <f t="shared" si="2"/>
        <v>102585.2716564936</v>
      </c>
      <c r="K17" s="266">
        <f t="shared" si="3"/>
        <v>6156.5892932948182</v>
      </c>
      <c r="L17" s="175">
        <f t="shared" si="4"/>
        <v>5.5555555555555558E-5</v>
      </c>
      <c r="M17" s="256">
        <f t="shared" si="5"/>
        <v>5000</v>
      </c>
      <c r="N17" s="257">
        <f t="shared" si="6"/>
        <v>11156.589293294819</v>
      </c>
      <c r="O17" s="6"/>
    </row>
    <row r="18" spans="1:15"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264">
        <f t="shared" si="1"/>
        <v>108767.31014596559</v>
      </c>
      <c r="J18" s="265">
        <f t="shared" si="2"/>
        <v>108767.31014596559</v>
      </c>
      <c r="K18" s="266">
        <f t="shared" si="3"/>
        <v>6182.0384894719891</v>
      </c>
      <c r="L18" s="175">
        <f t="shared" si="4"/>
        <v>5.5555555555555558E-5</v>
      </c>
      <c r="M18" s="256">
        <f t="shared" si="5"/>
        <v>5000</v>
      </c>
      <c r="N18" s="257">
        <f t="shared" si="6"/>
        <v>11182.03848947199</v>
      </c>
      <c r="O18" s="6"/>
    </row>
    <row r="19" spans="1:15"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264">
        <f t="shared" si="1"/>
        <v>114949.77279196728</v>
      </c>
      <c r="J19" s="265">
        <f t="shared" si="2"/>
        <v>114949.77279196728</v>
      </c>
      <c r="K19" s="266">
        <f t="shared" si="3"/>
        <v>6182.4626460016825</v>
      </c>
      <c r="L19" s="175">
        <f t="shared" si="4"/>
        <v>5.5555555555555558E-5</v>
      </c>
      <c r="M19" s="256">
        <f t="shared" si="5"/>
        <v>5000</v>
      </c>
      <c r="N19" s="257">
        <f t="shared" si="6"/>
        <v>11182.462646001683</v>
      </c>
      <c r="O19" s="6"/>
    </row>
    <row r="20" spans="1:15"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264">
        <f t="shared" si="1"/>
        <v>121107.62769310806</v>
      </c>
      <c r="J20" s="265">
        <f t="shared" si="2"/>
        <v>121107.62769310806</v>
      </c>
      <c r="K20" s="266">
        <f t="shared" si="3"/>
        <v>6157.854901140784</v>
      </c>
      <c r="L20" s="175">
        <f t="shared" si="4"/>
        <v>1.6666666666666666E-4</v>
      </c>
      <c r="M20" s="256">
        <f t="shared" si="5"/>
        <v>5000</v>
      </c>
      <c r="N20" s="257">
        <f t="shared" si="6"/>
        <v>11157.854901140785</v>
      </c>
      <c r="O20" s="6"/>
    </row>
    <row r="21" spans="1:15"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264">
        <f t="shared" si="1"/>
        <v>139206.95014166977</v>
      </c>
      <c r="J21" s="265">
        <f t="shared" si="2"/>
        <v>139206.95014166977</v>
      </c>
      <c r="K21" s="266">
        <f t="shared" si="3"/>
        <v>18099.322448561696</v>
      </c>
      <c r="L21" s="175">
        <f t="shared" si="4"/>
        <v>5.5555555555555558E-5</v>
      </c>
      <c r="M21" s="256">
        <f t="shared" si="5"/>
        <v>15000</v>
      </c>
      <c r="N21" s="257">
        <f t="shared" si="6"/>
        <v>33099.322448561696</v>
      </c>
      <c r="O21" s="6"/>
    </row>
    <row r="22" spans="1:15"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264">
        <f t="shared" si="1"/>
        <v>145216.23060501256</v>
      </c>
      <c r="J22" s="265">
        <f t="shared" si="2"/>
        <v>145216.23060501256</v>
      </c>
      <c r="K22" s="266">
        <f t="shared" si="3"/>
        <v>6009.2804633427786</v>
      </c>
      <c r="L22" s="175">
        <f t="shared" si="4"/>
        <v>5.5555555555555558E-5</v>
      </c>
      <c r="M22" s="256">
        <f t="shared" si="5"/>
        <v>5000</v>
      </c>
      <c r="N22" s="257">
        <f t="shared" si="6"/>
        <v>11009.280463342779</v>
      </c>
      <c r="O22" s="6"/>
    </row>
    <row r="23" spans="1:15"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264">
        <f t="shared" si="1"/>
        <v>151225.9116870529</v>
      </c>
      <c r="J23" s="265">
        <f t="shared" si="2"/>
        <v>151225.9116870529</v>
      </c>
      <c r="K23" s="266">
        <f t="shared" si="3"/>
        <v>6009.6810820403343</v>
      </c>
      <c r="L23" s="175">
        <f t="shared" si="4"/>
        <v>5.5555555555555558E-5</v>
      </c>
      <c r="M23" s="256">
        <f t="shared" si="5"/>
        <v>5000</v>
      </c>
      <c r="N23" s="257">
        <f t="shared" si="6"/>
        <v>11009.681082040333</v>
      </c>
      <c r="O23" s="6"/>
    </row>
    <row r="24" spans="1:15"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264">
        <f t="shared" si="1"/>
        <v>157261.0354216964</v>
      </c>
      <c r="J24" s="265">
        <f t="shared" si="2"/>
        <v>157261.0354216964</v>
      </c>
      <c r="K24" s="266">
        <f t="shared" si="3"/>
        <v>6035.1237346434946</v>
      </c>
      <c r="L24" s="175">
        <f t="shared" si="4"/>
        <v>5.5555555555555558E-5</v>
      </c>
      <c r="M24" s="256">
        <f t="shared" si="5"/>
        <v>5000</v>
      </c>
      <c r="N24" s="257">
        <f t="shared" si="6"/>
        <v>11035.123734643494</v>
      </c>
      <c r="O24" s="6"/>
    </row>
    <row r="25" spans="1:15"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264">
        <f t="shared" si="1"/>
        <v>163321.60685796643</v>
      </c>
      <c r="J25" s="265">
        <f t="shared" si="2"/>
        <v>163321.60685796643</v>
      </c>
      <c r="K25" s="266">
        <f t="shared" si="3"/>
        <v>6060.5714362700137</v>
      </c>
      <c r="L25" s="175">
        <f t="shared" si="4"/>
        <v>1.6666666666666666E-4</v>
      </c>
      <c r="M25" s="256">
        <f t="shared" si="5"/>
        <v>5000</v>
      </c>
      <c r="N25" s="257">
        <f t="shared" si="6"/>
        <v>11060.571436270013</v>
      </c>
      <c r="O25" s="6"/>
    </row>
    <row r="26" spans="1:15"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264">
        <f t="shared" si="1"/>
        <v>181429.40728067706</v>
      </c>
      <c r="J26" s="265">
        <f t="shared" si="2"/>
        <v>181429.40728067706</v>
      </c>
      <c r="K26" s="266">
        <f t="shared" si="3"/>
        <v>18107.800422710643</v>
      </c>
      <c r="L26" s="175">
        <f t="shared" si="4"/>
        <v>5.5555555555555558E-5</v>
      </c>
      <c r="M26" s="256">
        <f t="shared" si="5"/>
        <v>15000</v>
      </c>
      <c r="N26" s="257">
        <f t="shared" si="6"/>
        <v>33107.800422710643</v>
      </c>
      <c r="O26" s="6"/>
    </row>
    <row r="27" spans="1:15"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264">
        <f t="shared" si="1"/>
        <v>187441.50257449577</v>
      </c>
      <c r="J27" s="265">
        <f t="shared" si="2"/>
        <v>187441.50257449577</v>
      </c>
      <c r="K27" s="266">
        <f t="shared" si="3"/>
        <v>6012.0952938187129</v>
      </c>
      <c r="L27" s="175">
        <f t="shared" si="4"/>
        <v>5.5555555555555558E-5</v>
      </c>
      <c r="M27" s="256">
        <f t="shared" si="5"/>
        <v>5000</v>
      </c>
      <c r="N27" s="257">
        <f t="shared" si="6"/>
        <v>11012.095293818713</v>
      </c>
      <c r="O27" s="6"/>
    </row>
    <row r="28" spans="1:15"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264">
        <f t="shared" si="1"/>
        <v>193428.94660758335</v>
      </c>
      <c r="J28" s="265">
        <f t="shared" si="2"/>
        <v>193428.94660758335</v>
      </c>
      <c r="K28" s="266">
        <f t="shared" si="3"/>
        <v>5987.4440330875841</v>
      </c>
      <c r="L28" s="175">
        <f t="shared" si="4"/>
        <v>5.5555555555555558E-5</v>
      </c>
      <c r="M28" s="256">
        <f t="shared" si="5"/>
        <v>5000</v>
      </c>
      <c r="N28" s="257">
        <f t="shared" si="6"/>
        <v>10987.444033087584</v>
      </c>
      <c r="O28" s="6"/>
    </row>
    <row r="29" spans="1:15" ht="15.75" thickBot="1" x14ac:dyDescent="0.3">
      <c r="A29" s="67">
        <f>A28+1</f>
        <v>43678</v>
      </c>
      <c r="B29" s="100" t="s">
        <v>54</v>
      </c>
      <c r="C29" s="100" t="s">
        <v>54</v>
      </c>
      <c r="D29" s="100" t="s">
        <v>54</v>
      </c>
      <c r="E29" s="100" t="s">
        <v>54</v>
      </c>
      <c r="F29" s="93">
        <f>'Loan Details'!L28</f>
        <v>0</v>
      </c>
      <c r="G29" s="70">
        <f>'Loan Details'!O28</f>
        <v>0</v>
      </c>
      <c r="H29" s="100" t="s">
        <v>54</v>
      </c>
      <c r="I29" s="264">
        <f t="shared" si="1"/>
        <v>199817.64782463471</v>
      </c>
      <c r="J29" s="265">
        <f t="shared" si="2"/>
        <v>199817.64782463471</v>
      </c>
      <c r="K29" s="266">
        <f t="shared" si="3"/>
        <v>6388.7012170513699</v>
      </c>
      <c r="L29" s="171" t="s">
        <v>54</v>
      </c>
      <c r="M29" s="259">
        <f t="shared" si="5"/>
        <v>5000</v>
      </c>
      <c r="N29" s="260">
        <f t="shared" si="6"/>
        <v>11388.70121705137</v>
      </c>
    </row>
    <row r="30" spans="1:15" ht="33" customHeight="1" x14ac:dyDescent="0.25">
      <c r="F30" s="101"/>
      <c r="I30" s="191"/>
      <c r="J30" s="192"/>
      <c r="K30" s="193"/>
      <c r="L30" s="375" t="s">
        <v>95</v>
      </c>
      <c r="M30" s="376"/>
      <c r="N30" s="379">
        <f>SUM(N7:N29)</f>
        <v>362595.42560241255</v>
      </c>
    </row>
    <row r="31" spans="1:15" ht="20.100000000000001" customHeight="1" thickBot="1" x14ac:dyDescent="0.3">
      <c r="I31" s="188"/>
      <c r="J31" s="189"/>
      <c r="K31" s="190"/>
      <c r="L31" s="377"/>
      <c r="M31" s="378"/>
      <c r="N31" s="380"/>
    </row>
    <row r="34" spans="1:15" s="94" customFormat="1" x14ac:dyDescent="0.25">
      <c r="A34"/>
      <c r="C34"/>
      <c r="D34"/>
      <c r="E34" s="90"/>
      <c r="F34" s="33"/>
      <c r="G34"/>
      <c r="H34" s="19"/>
      <c r="I34" s="125"/>
      <c r="J34" s="102"/>
      <c r="K34"/>
      <c r="L34"/>
      <c r="M34"/>
      <c r="N34"/>
      <c r="O34"/>
    </row>
    <row r="37" spans="1:15" s="94" customFormat="1" x14ac:dyDescent="0.25">
      <c r="A37"/>
      <c r="C37"/>
      <c r="D37"/>
      <c r="E37" s="90"/>
      <c r="F37" s="33"/>
      <c r="G37" s="6"/>
      <c r="H37" s="19"/>
      <c r="I37" s="125"/>
      <c r="J37" s="102"/>
      <c r="K37"/>
      <c r="L37"/>
      <c r="M37"/>
      <c r="N37"/>
      <c r="O37"/>
    </row>
  </sheetData>
  <sheetProtection algorithmName="SHA-512" hashValue="lENr20bIf54iNnE5L5N02M1YN1KOwDe3cZcRwWIt5+PUn5zdvh0AmxcZELnL9VyM7UwZ+BnfeoI1XeFGu6gB6A==" saltValue="IipYuCfkD/OIMIFSggqGWw==" spinCount="100000" sheet="1" objects="1" scenarios="1"/>
  <mergeCells count="10">
    <mergeCell ref="P1:Z4"/>
    <mergeCell ref="L30:M31"/>
    <mergeCell ref="N30:N31"/>
    <mergeCell ref="A1:H1"/>
    <mergeCell ref="I1:K1"/>
    <mergeCell ref="B3:B4"/>
    <mergeCell ref="E3:E4"/>
    <mergeCell ref="G3:G4"/>
    <mergeCell ref="L1:M1"/>
    <mergeCell ref="N3:N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34"/>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3.7109375" customWidth="1"/>
    <col min="8" max="8" width="13.42578125" style="19" bestFit="1" customWidth="1"/>
    <col min="9" max="9" width="23.7109375" style="19" customWidth="1"/>
    <col min="10" max="10" width="21.7109375" customWidth="1"/>
    <col min="11" max="11" width="18.7109375" customWidth="1"/>
    <col min="12" max="12" width="14.42578125" customWidth="1"/>
    <col min="13" max="13" width="12.42578125" customWidth="1"/>
    <col min="14" max="14" width="12.28515625" bestFit="1" customWidth="1"/>
    <col min="15" max="15" width="13.5703125" style="197" customWidth="1"/>
    <col min="16" max="16" width="11.28515625" customWidth="1"/>
    <col min="17" max="17" width="12.5703125" customWidth="1"/>
  </cols>
  <sheetData>
    <row r="1" spans="1:27" s="176" customFormat="1" ht="19.5" thickTop="1" x14ac:dyDescent="0.3">
      <c r="A1" s="371" t="s">
        <v>72</v>
      </c>
      <c r="B1" s="372"/>
      <c r="C1" s="372"/>
      <c r="D1" s="372"/>
      <c r="E1" s="372"/>
      <c r="F1" s="372"/>
      <c r="G1" s="372"/>
      <c r="H1" s="372"/>
      <c r="I1" s="373" t="s">
        <v>73</v>
      </c>
      <c r="J1" s="373"/>
      <c r="K1" s="373"/>
      <c r="L1" s="374" t="s">
        <v>77</v>
      </c>
      <c r="M1" s="374"/>
      <c r="N1" s="180"/>
      <c r="O1" s="194"/>
      <c r="Q1" s="323" t="s">
        <v>97</v>
      </c>
      <c r="R1" s="324"/>
      <c r="S1" s="324"/>
      <c r="T1" s="324"/>
      <c r="U1" s="324"/>
      <c r="V1" s="324"/>
      <c r="W1" s="324"/>
      <c r="X1" s="324"/>
      <c r="Y1" s="324"/>
      <c r="Z1" s="324"/>
      <c r="AA1" s="325"/>
    </row>
    <row r="2" spans="1:27" ht="5.0999999999999996" customHeight="1" x14ac:dyDescent="0.25">
      <c r="A2" s="59"/>
      <c r="B2" s="95"/>
      <c r="C2" s="80"/>
      <c r="D2" s="80"/>
      <c r="E2" s="138"/>
      <c r="F2" s="80"/>
      <c r="G2" s="82"/>
      <c r="H2" s="106"/>
      <c r="I2" s="108"/>
      <c r="J2" s="86"/>
      <c r="K2" s="78"/>
      <c r="L2" s="177"/>
      <c r="M2" s="178"/>
      <c r="N2" s="179"/>
      <c r="O2" s="195"/>
      <c r="Q2" s="326"/>
      <c r="R2" s="327"/>
      <c r="S2" s="327"/>
      <c r="T2" s="327"/>
      <c r="U2" s="327"/>
      <c r="V2" s="327"/>
      <c r="W2" s="327"/>
      <c r="X2" s="327"/>
      <c r="Y2" s="327"/>
      <c r="Z2" s="327"/>
      <c r="AA2" s="328"/>
    </row>
    <row r="3" spans="1:27" ht="60" customHeight="1" x14ac:dyDescent="0.35">
      <c r="A3" s="59"/>
      <c r="B3" s="381" t="s">
        <v>96</v>
      </c>
      <c r="C3" s="80"/>
      <c r="D3" s="80"/>
      <c r="E3" s="382" t="s">
        <v>59</v>
      </c>
      <c r="F3" s="80"/>
      <c r="G3" s="383" t="s">
        <v>69</v>
      </c>
      <c r="H3" s="106" t="s">
        <v>57</v>
      </c>
      <c r="I3" s="108" t="s">
        <v>68</v>
      </c>
      <c r="J3" s="115" t="s">
        <v>55</v>
      </c>
      <c r="K3" s="78" t="s">
        <v>67</v>
      </c>
      <c r="L3" s="164" t="s">
        <v>74</v>
      </c>
      <c r="M3" s="165" t="s">
        <v>75</v>
      </c>
      <c r="N3" s="370" t="s">
        <v>76</v>
      </c>
      <c r="O3" s="384" t="s">
        <v>82</v>
      </c>
      <c r="Q3" s="326"/>
      <c r="R3" s="327"/>
      <c r="S3" s="327"/>
      <c r="T3" s="327"/>
      <c r="U3" s="327"/>
      <c r="V3" s="327"/>
      <c r="W3" s="327"/>
      <c r="X3" s="327"/>
      <c r="Y3" s="327"/>
      <c r="Z3" s="327"/>
      <c r="AA3" s="328"/>
    </row>
    <row r="4" spans="1:27" ht="32.1" customHeight="1" thickBot="1" x14ac:dyDescent="0.4">
      <c r="A4" s="204" t="s">
        <v>94</v>
      </c>
      <c r="B4" s="381"/>
      <c r="C4" s="80" t="s">
        <v>60</v>
      </c>
      <c r="D4" s="80" t="s">
        <v>78</v>
      </c>
      <c r="E4" s="382"/>
      <c r="F4" s="80" t="s">
        <v>71</v>
      </c>
      <c r="G4" s="383"/>
      <c r="H4" s="139"/>
      <c r="I4" s="108"/>
      <c r="J4" s="86"/>
      <c r="K4" s="78"/>
      <c r="L4" s="166"/>
      <c r="M4" s="167"/>
      <c r="N4" s="370"/>
      <c r="O4" s="384"/>
      <c r="Q4" s="329"/>
      <c r="R4" s="330"/>
      <c r="S4" s="330"/>
      <c r="T4" s="330"/>
      <c r="U4" s="330"/>
      <c r="V4" s="330"/>
      <c r="W4" s="330"/>
      <c r="X4" s="330"/>
      <c r="Y4" s="330"/>
      <c r="Z4" s="330"/>
      <c r="AA4" s="331"/>
    </row>
    <row r="5" spans="1:27" ht="5.0999999999999996" customHeight="1" thickTop="1" thickBot="1" x14ac:dyDescent="0.3">
      <c r="A5" s="92"/>
      <c r="B5" s="96"/>
      <c r="C5" s="81"/>
      <c r="D5" s="81"/>
      <c r="E5" s="137"/>
      <c r="F5" s="81"/>
      <c r="G5" s="83"/>
      <c r="H5" s="107"/>
      <c r="I5" s="109"/>
      <c r="J5" s="87"/>
      <c r="K5" s="79"/>
      <c r="L5" s="168"/>
      <c r="M5" s="169"/>
      <c r="N5" s="172"/>
      <c r="O5" s="196"/>
    </row>
    <row r="6" spans="1:27"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52">
        <f>(1+H6)-1</f>
        <v>6.722222222221852E-5</v>
      </c>
      <c r="J6" s="156"/>
      <c r="K6" s="64"/>
      <c r="L6" s="174">
        <f>D6*(E6/360)</f>
        <v>5.5555555555555558E-5</v>
      </c>
      <c r="M6" s="170"/>
      <c r="N6" s="173"/>
      <c r="O6" s="195"/>
      <c r="P6" s="6"/>
    </row>
    <row r="7" spans="1:27"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152">
        <f t="shared" ref="I7:I28" si="1">(1+H7)*(1+I6)-1</f>
        <v>1.3694913132700215E-4</v>
      </c>
      <c r="J7" s="269">
        <f t="shared" ref="J7:J29" si="2">I6*F6</f>
        <v>6722.2222222218516</v>
      </c>
      <c r="K7" s="270">
        <f t="shared" ref="K7:K29" si="3">J7-J6-G6</f>
        <v>6722.2222222218516</v>
      </c>
      <c r="L7" s="175">
        <f t="shared" ref="L7:L28" si="4">D7*(E7/360)</f>
        <v>5.5555555555555558E-5</v>
      </c>
      <c r="M7" s="256">
        <f>L6*F6</f>
        <v>5555.5555555555557</v>
      </c>
      <c r="N7" s="257">
        <f>K7+M7</f>
        <v>12277.777777777406</v>
      </c>
      <c r="O7" s="277">
        <f>'2a Comp Bal int prepay'!N7</f>
        <v>12277.777777777777</v>
      </c>
      <c r="P7" s="6"/>
      <c r="Q7" s="6"/>
    </row>
    <row r="8" spans="1:27"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153">
        <f t="shared" si="1"/>
        <v>2.7919083075911288E-4</v>
      </c>
      <c r="J8" s="269">
        <f t="shared" si="2"/>
        <v>13694.913132700214</v>
      </c>
      <c r="K8" s="270">
        <f t="shared" si="3"/>
        <v>6972.6909104783626</v>
      </c>
      <c r="L8" s="175">
        <f t="shared" si="4"/>
        <v>1.1111111111111112E-4</v>
      </c>
      <c r="M8" s="256">
        <f t="shared" ref="M8:M29" si="5">L7*F7</f>
        <v>5555.5555555555557</v>
      </c>
      <c r="N8" s="257">
        <f t="shared" ref="N8:N29" si="6">K8+M8</f>
        <v>12528.246466033917</v>
      </c>
      <c r="O8" s="277">
        <f>'2a Comp Bal int prepay'!N8</f>
        <v>12528.246466049382</v>
      </c>
      <c r="P8" s="6"/>
      <c r="Q8" s="6"/>
    </row>
    <row r="9" spans="1:27" s="2" customFormat="1" x14ac:dyDescent="0.25">
      <c r="A9" s="55">
        <f>'Loan Details'!G8</f>
        <v>43650</v>
      </c>
      <c r="B9" s="99" t="s">
        <v>54</v>
      </c>
      <c r="C9" s="127"/>
      <c r="D9" s="127"/>
      <c r="E9" s="89"/>
      <c r="F9" s="261">
        <f>'Loan Details'!L8</f>
        <v>100000000</v>
      </c>
      <c r="G9" s="56"/>
      <c r="H9" s="134">
        <f t="shared" si="0"/>
        <v>0</v>
      </c>
      <c r="I9" s="154">
        <f t="shared" si="1"/>
        <v>2.7919083075911288E-4</v>
      </c>
      <c r="J9" s="269">
        <f t="shared" si="2"/>
        <v>27919.083075911287</v>
      </c>
      <c r="K9" s="270">
        <f t="shared" si="3"/>
        <v>14224.169943211073</v>
      </c>
      <c r="L9" s="175">
        <f t="shared" si="4"/>
        <v>0</v>
      </c>
      <c r="M9" s="256">
        <f t="shared" si="5"/>
        <v>11111.111111111111</v>
      </c>
      <c r="N9" s="257">
        <f t="shared" si="6"/>
        <v>25335.281054322186</v>
      </c>
      <c r="O9" s="277">
        <f>'2a Comp Bal int prepay'!N9</f>
        <v>25335.28105431221</v>
      </c>
      <c r="P9" s="6"/>
      <c r="Q9" s="63"/>
    </row>
    <row r="10" spans="1:27"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152">
        <f t="shared" si="1"/>
        <v>4.9508442278001219E-4</v>
      </c>
      <c r="J10" s="271">
        <f t="shared" si="2"/>
        <v>27919.083075911287</v>
      </c>
      <c r="K10" s="272">
        <f t="shared" si="3"/>
        <v>0</v>
      </c>
      <c r="L10" s="175">
        <f t="shared" si="4"/>
        <v>1.6666666666666666E-4</v>
      </c>
      <c r="M10" s="256">
        <f t="shared" si="5"/>
        <v>0</v>
      </c>
      <c r="N10" s="257">
        <f t="shared" si="6"/>
        <v>0</v>
      </c>
      <c r="O10" s="278">
        <f>'2a Comp Bal int prepay'!N10</f>
        <v>0</v>
      </c>
      <c r="P10" s="6"/>
      <c r="Q10" s="6"/>
    </row>
    <row r="11" spans="1:27"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152">
        <f t="shared" si="1"/>
        <v>5.6400741748463545E-4</v>
      </c>
      <c r="J11" s="269">
        <f t="shared" si="2"/>
        <v>49508.442278001217</v>
      </c>
      <c r="K11" s="270">
        <f t="shared" si="3"/>
        <v>21589.35920208993</v>
      </c>
      <c r="L11" s="175">
        <f t="shared" si="4"/>
        <v>5.5555555555555558E-5</v>
      </c>
      <c r="M11" s="256">
        <f t="shared" si="5"/>
        <v>16666.666666666668</v>
      </c>
      <c r="N11" s="257">
        <f t="shared" si="6"/>
        <v>38256.025868756595</v>
      </c>
      <c r="O11" s="277">
        <f>'2a Comp Bal int prepay'!N11</f>
        <v>38256.025868763885</v>
      </c>
      <c r="P11" s="6"/>
      <c r="Q11" s="6"/>
    </row>
    <row r="12" spans="1:27"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152">
        <f t="shared" si="1"/>
        <v>6.3210135687818969E-4</v>
      </c>
      <c r="J12" s="269">
        <f t="shared" si="2"/>
        <v>56400.741748463544</v>
      </c>
      <c r="K12" s="270">
        <f t="shared" si="3"/>
        <v>6892.299470462327</v>
      </c>
      <c r="L12" s="175">
        <f t="shared" si="4"/>
        <v>5.5555555555555558E-5</v>
      </c>
      <c r="M12" s="256">
        <f t="shared" si="5"/>
        <v>5555.5555555555557</v>
      </c>
      <c r="N12" s="257">
        <f t="shared" si="6"/>
        <v>12447.855026017882</v>
      </c>
      <c r="O12" s="277">
        <f>'2a Comp Bal int prepay'!N12</f>
        <v>12447.855026023597</v>
      </c>
      <c r="P12" s="6"/>
      <c r="Q12" s="6"/>
    </row>
    <row r="13" spans="1:27"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152">
        <f t="shared" si="1"/>
        <v>7.0047788380422915E-4</v>
      </c>
      <c r="J13" s="269">
        <f t="shared" si="2"/>
        <v>63210.135687818969</v>
      </c>
      <c r="K13" s="270">
        <f t="shared" si="3"/>
        <v>6809.3939393554247</v>
      </c>
      <c r="L13" s="175">
        <f t="shared" si="4"/>
        <v>5.5555555555555558E-5</v>
      </c>
      <c r="M13" s="256">
        <f t="shared" si="5"/>
        <v>5555.5555555555557</v>
      </c>
      <c r="N13" s="257">
        <f t="shared" si="6"/>
        <v>12364.949494910979</v>
      </c>
      <c r="O13" s="277">
        <f>'2a Comp Bal int prepay'!N13</f>
        <v>12364.949494924549</v>
      </c>
      <c r="P13" s="6"/>
      <c r="Q13" s="6"/>
    </row>
    <row r="14" spans="1:27"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152">
        <f t="shared" si="1"/>
        <v>7.674692213515133E-4</v>
      </c>
      <c r="J14" s="269">
        <f t="shared" si="2"/>
        <v>70047.78838042292</v>
      </c>
      <c r="K14" s="270">
        <f t="shared" si="3"/>
        <v>6837.6526926039514</v>
      </c>
      <c r="L14" s="175">
        <f t="shared" si="4"/>
        <v>5.5555555555555558E-5</v>
      </c>
      <c r="M14" s="256">
        <f t="shared" si="5"/>
        <v>5555.5555555555557</v>
      </c>
      <c r="N14" s="257">
        <f t="shared" si="6"/>
        <v>12393.208248159506</v>
      </c>
      <c r="O14" s="277">
        <f>'2a Comp Bal int prepay'!N14</f>
        <v>12393.208248160892</v>
      </c>
      <c r="P14" s="6"/>
      <c r="Q14" s="6"/>
    </row>
    <row r="15" spans="1:27"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152">
        <f t="shared" si="1"/>
        <v>9.6428682363169926E-4</v>
      </c>
      <c r="J15" s="269">
        <f t="shared" si="2"/>
        <v>76746.922135151326</v>
      </c>
      <c r="K15" s="270">
        <f t="shared" si="3"/>
        <v>6699.1337547284056</v>
      </c>
      <c r="L15" s="175">
        <f t="shared" si="4"/>
        <v>1.6666666666666666E-4</v>
      </c>
      <c r="M15" s="256">
        <f t="shared" si="5"/>
        <v>5555.5555555555557</v>
      </c>
      <c r="N15" s="257">
        <f t="shared" si="6"/>
        <v>12254.68931028396</v>
      </c>
      <c r="O15" s="277">
        <f>'2a Comp Bal int prepay'!N15</f>
        <v>12254.689310277692</v>
      </c>
      <c r="P15" s="6"/>
      <c r="Q15" s="34"/>
    </row>
    <row r="16" spans="1:27"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75">
        <f>((F16-F15)/F15)*J16</f>
        <v>-9642.8682363169919</v>
      </c>
      <c r="H16" s="133">
        <f t="shared" si="0"/>
        <v>6.8333333333333332E-5</v>
      </c>
      <c r="I16" s="152">
        <f t="shared" si="1"/>
        <v>1.032686049897924E-3</v>
      </c>
      <c r="J16" s="269">
        <f t="shared" si="2"/>
        <v>96428.682363169923</v>
      </c>
      <c r="K16" s="270">
        <f t="shared" si="3"/>
        <v>19681.760228018597</v>
      </c>
      <c r="L16" s="175">
        <f t="shared" si="4"/>
        <v>5.5555555555555558E-5</v>
      </c>
      <c r="M16" s="256">
        <f t="shared" si="5"/>
        <v>16666.666666666668</v>
      </c>
      <c r="N16" s="257">
        <f t="shared" si="6"/>
        <v>36348.426894685268</v>
      </c>
      <c r="O16" s="277">
        <f>'2a Comp Bal int prepay'!N16</f>
        <v>36348.426894686585</v>
      </c>
      <c r="P16" s="6"/>
      <c r="Q16" s="6"/>
    </row>
    <row r="17" spans="1:17"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152">
        <f t="shared" si="1"/>
        <v>1.1013680147462512E-3</v>
      </c>
      <c r="J17" s="269">
        <f t="shared" si="2"/>
        <v>92941.744490813158</v>
      </c>
      <c r="K17" s="270">
        <f t="shared" si="3"/>
        <v>6155.9303639602276</v>
      </c>
      <c r="L17" s="175">
        <f t="shared" si="4"/>
        <v>5.5555555555555558E-5</v>
      </c>
      <c r="M17" s="256">
        <f t="shared" si="5"/>
        <v>5000</v>
      </c>
      <c r="N17" s="257">
        <f t="shared" si="6"/>
        <v>11155.930363960228</v>
      </c>
      <c r="O17" s="277">
        <f>'2a Comp Bal int prepay'!N17</f>
        <v>11155.930363965337</v>
      </c>
      <c r="P17" s="6"/>
      <c r="Q17" s="6"/>
    </row>
    <row r="18" spans="1:17"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152">
        <f t="shared" si="1"/>
        <v>1.1700546919404253E-3</v>
      </c>
      <c r="J18" s="269">
        <f t="shared" si="2"/>
        <v>99123.121327162604</v>
      </c>
      <c r="K18" s="270">
        <f t="shared" si="3"/>
        <v>6181.3768363494455</v>
      </c>
      <c r="L18" s="175">
        <f t="shared" si="4"/>
        <v>5.5555555555555558E-5</v>
      </c>
      <c r="M18" s="256">
        <f t="shared" si="5"/>
        <v>5000</v>
      </c>
      <c r="N18" s="257">
        <f t="shared" si="6"/>
        <v>11181.376836349446</v>
      </c>
      <c r="O18" s="277">
        <f>'2a Comp Bal int prepay'!N18</f>
        <v>11181.376836358122</v>
      </c>
      <c r="P18" s="6"/>
      <c r="Q18" s="6"/>
    </row>
    <row r="19" spans="1:17"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152">
        <f t="shared" si="1"/>
        <v>1.2384679790109487E-3</v>
      </c>
      <c r="J19" s="269">
        <f t="shared" si="2"/>
        <v>105304.92227463827</v>
      </c>
      <c r="K19" s="270">
        <f t="shared" si="3"/>
        <v>6181.8009474756691</v>
      </c>
      <c r="L19" s="175">
        <f t="shared" si="4"/>
        <v>5.5555555555555558E-5</v>
      </c>
      <c r="M19" s="256">
        <f t="shared" si="5"/>
        <v>5000</v>
      </c>
      <c r="N19" s="257">
        <f t="shared" si="6"/>
        <v>11181.800947475669</v>
      </c>
      <c r="O19" s="277">
        <f>'2a Comp Bal int prepay'!N19</f>
        <v>11181.800947491061</v>
      </c>
      <c r="P19" s="6"/>
      <c r="Q19" s="6"/>
    </row>
    <row r="20" spans="1:17"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152">
        <f t="shared" si="1"/>
        <v>1.4395500379968951E-3</v>
      </c>
      <c r="J20" s="269">
        <f t="shared" si="2"/>
        <v>111462.11811098539</v>
      </c>
      <c r="K20" s="270">
        <f t="shared" si="3"/>
        <v>6157.1958363471203</v>
      </c>
      <c r="L20" s="175">
        <f t="shared" si="4"/>
        <v>1.6666666666666666E-4</v>
      </c>
      <c r="M20" s="256">
        <f t="shared" si="5"/>
        <v>5000</v>
      </c>
      <c r="N20" s="257">
        <f t="shared" si="6"/>
        <v>11157.19583634712</v>
      </c>
      <c r="O20" s="277">
        <f>'2a Comp Bal int prepay'!N20</f>
        <v>11157.195836355437</v>
      </c>
      <c r="P20" s="6"/>
      <c r="Q20" s="6"/>
    </row>
    <row r="21" spans="1:17"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152">
        <f t="shared" si="1"/>
        <v>1.5063126746661659E-3</v>
      </c>
      <c r="J21" s="269">
        <f t="shared" si="2"/>
        <v>129559.50341972055</v>
      </c>
      <c r="K21" s="270">
        <f t="shared" si="3"/>
        <v>18097.38530873516</v>
      </c>
      <c r="L21" s="175">
        <f t="shared" si="4"/>
        <v>5.5555555555555558E-5</v>
      </c>
      <c r="M21" s="256">
        <f t="shared" si="5"/>
        <v>15000</v>
      </c>
      <c r="N21" s="257">
        <f t="shared" si="6"/>
        <v>33097.38530873516</v>
      </c>
      <c r="O21" s="277">
        <f>'2a Comp Bal int prepay'!N21</f>
        <v>33097.385308720637</v>
      </c>
      <c r="P21" s="6"/>
      <c r="Q21" s="6"/>
    </row>
    <row r="22" spans="1:17"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152">
        <f t="shared" si="1"/>
        <v>1.5730797621777981E-3</v>
      </c>
      <c r="J22" s="269">
        <f t="shared" si="2"/>
        <v>135568.14071995494</v>
      </c>
      <c r="K22" s="270">
        <f t="shared" si="3"/>
        <v>6008.6373002343898</v>
      </c>
      <c r="L22" s="175">
        <f t="shared" si="4"/>
        <v>5.5555555555555558E-5</v>
      </c>
      <c r="M22" s="256">
        <f t="shared" si="5"/>
        <v>5000</v>
      </c>
      <c r="N22" s="257">
        <f t="shared" si="6"/>
        <v>11008.63730023439</v>
      </c>
      <c r="O22" s="277">
        <f>'2a Comp Bal int prepay'!N22</f>
        <v>11008.637300227985</v>
      </c>
      <c r="P22" s="6"/>
      <c r="Q22" s="6"/>
    </row>
    <row r="23" spans="1:17"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152">
        <f t="shared" si="1"/>
        <v>1.6401295155730189E-3</v>
      </c>
      <c r="J23" s="269">
        <f t="shared" si="2"/>
        <v>141577.17859600182</v>
      </c>
      <c r="K23" s="270">
        <f t="shared" si="3"/>
        <v>6009.0378760468739</v>
      </c>
      <c r="L23" s="175">
        <f t="shared" si="4"/>
        <v>5.5555555555555558E-5</v>
      </c>
      <c r="M23" s="256">
        <f t="shared" si="5"/>
        <v>5000</v>
      </c>
      <c r="N23" s="257">
        <f t="shared" si="6"/>
        <v>11009.037876046874</v>
      </c>
      <c r="O23" s="277">
        <f>'2a Comp Bal int prepay'!N23</f>
        <v>11009.037876048</v>
      </c>
      <c r="P23" s="6"/>
      <c r="Q23" s="6"/>
    </row>
    <row r="24" spans="1:17"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152">
        <f t="shared" si="1"/>
        <v>1.7074619909460687E-3</v>
      </c>
      <c r="J24" s="269">
        <f t="shared" si="2"/>
        <v>147611.6564015717</v>
      </c>
      <c r="K24" s="270">
        <f t="shared" si="3"/>
        <v>6034.4778055698844</v>
      </c>
      <c r="L24" s="175">
        <f t="shared" si="4"/>
        <v>5.5555555555555558E-5</v>
      </c>
      <c r="M24" s="256">
        <f t="shared" si="5"/>
        <v>5000</v>
      </c>
      <c r="N24" s="257">
        <f t="shared" si="6"/>
        <v>11034.477805569884</v>
      </c>
      <c r="O24" s="277">
        <f>'2a Comp Bal int prepay'!N24</f>
        <v>11034.477805567125</v>
      </c>
      <c r="P24" s="6"/>
      <c r="Q24" s="6"/>
    </row>
    <row r="25" spans="1:17"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152">
        <f t="shared" si="1"/>
        <v>1.9086382395627766E-3</v>
      </c>
      <c r="J25" s="269">
        <f t="shared" si="2"/>
        <v>153671.57918514617</v>
      </c>
      <c r="K25" s="270">
        <f t="shared" si="3"/>
        <v>6059.9227835744678</v>
      </c>
      <c r="L25" s="175">
        <f t="shared" si="4"/>
        <v>1.6666666666666666E-4</v>
      </c>
      <c r="M25" s="256">
        <f t="shared" si="5"/>
        <v>5000</v>
      </c>
      <c r="N25" s="257">
        <f t="shared" si="6"/>
        <v>11059.922783574468</v>
      </c>
      <c r="O25" s="277">
        <f>'2a Comp Bal int prepay'!N25</f>
        <v>11059.92278356922</v>
      </c>
      <c r="P25" s="6"/>
      <c r="Q25" s="6"/>
    </row>
    <row r="26" spans="1:17"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152">
        <f t="shared" si="1"/>
        <v>1.9754321487788218E-3</v>
      </c>
      <c r="J26" s="269">
        <f t="shared" si="2"/>
        <v>171777.4415606499</v>
      </c>
      <c r="K26" s="270">
        <f t="shared" si="3"/>
        <v>18105.862375503726</v>
      </c>
      <c r="L26" s="175">
        <f t="shared" si="4"/>
        <v>5.5555555555555558E-5</v>
      </c>
      <c r="M26" s="256">
        <f t="shared" si="5"/>
        <v>15000</v>
      </c>
      <c r="N26" s="257">
        <f t="shared" si="6"/>
        <v>33105.862375503726</v>
      </c>
      <c r="O26" s="277">
        <f>'2a Comp Bal int prepay'!N26</f>
        <v>33105.862375486358</v>
      </c>
      <c r="P26" s="6"/>
      <c r="Q26" s="6"/>
    </row>
    <row r="27" spans="1:17"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152">
        <f t="shared" si="1"/>
        <v>2.041952184413276E-3</v>
      </c>
      <c r="J27" s="269">
        <f t="shared" si="2"/>
        <v>177788.89339009396</v>
      </c>
      <c r="K27" s="270">
        <f t="shared" si="3"/>
        <v>6011.4518294440641</v>
      </c>
      <c r="L27" s="175">
        <f t="shared" si="4"/>
        <v>5.5555555555555558E-5</v>
      </c>
      <c r="M27" s="256">
        <f t="shared" si="5"/>
        <v>5000</v>
      </c>
      <c r="N27" s="257">
        <f t="shared" si="6"/>
        <v>11011.451829444064</v>
      </c>
      <c r="O27" s="277">
        <f>'2a Comp Bal int prepay'!N27</f>
        <v>11011.451829437377</v>
      </c>
      <c r="P27" s="6"/>
      <c r="Q27" s="6"/>
    </row>
    <row r="28" spans="1:17"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152">
        <f t="shared" si="1"/>
        <v>2.1129301560263158E-3</v>
      </c>
      <c r="J28" s="269">
        <f t="shared" si="2"/>
        <v>183775.69659719482</v>
      </c>
      <c r="K28" s="270">
        <f t="shared" si="3"/>
        <v>5986.8032071008638</v>
      </c>
      <c r="L28" s="175">
        <f t="shared" si="4"/>
        <v>5.5555555555555558E-5</v>
      </c>
      <c r="M28" s="256">
        <f t="shared" si="5"/>
        <v>5000</v>
      </c>
      <c r="N28" s="257">
        <f t="shared" si="6"/>
        <v>10986.803207100864</v>
      </c>
      <c r="O28" s="277">
        <f>'2a Comp Bal int prepay'!N28</f>
        <v>10986.803207088953</v>
      </c>
      <c r="P28" s="6"/>
      <c r="Q28" s="6"/>
    </row>
    <row r="29" spans="1:17" ht="15.75" thickBot="1" x14ac:dyDescent="0.3">
      <c r="A29" s="67">
        <f>A28+1</f>
        <v>43678</v>
      </c>
      <c r="B29" s="100" t="s">
        <v>54</v>
      </c>
      <c r="C29" s="100" t="s">
        <v>54</v>
      </c>
      <c r="D29" s="100" t="s">
        <v>54</v>
      </c>
      <c r="E29" s="100" t="s">
        <v>54</v>
      </c>
      <c r="F29" s="93">
        <f>'Loan Details'!L28</f>
        <v>0</v>
      </c>
      <c r="G29" s="70">
        <f>'Loan Details'!N28</f>
        <v>0</v>
      </c>
      <c r="H29" s="100" t="s">
        <v>54</v>
      </c>
      <c r="I29" s="155" t="s">
        <v>54</v>
      </c>
      <c r="J29" s="273">
        <f t="shared" si="2"/>
        <v>190163.71404236843</v>
      </c>
      <c r="K29" s="274">
        <f t="shared" si="3"/>
        <v>6388.0174451736093</v>
      </c>
      <c r="L29" s="171" t="s">
        <v>54</v>
      </c>
      <c r="M29" s="259">
        <f t="shared" si="5"/>
        <v>5000</v>
      </c>
      <c r="N29" s="260">
        <f t="shared" si="6"/>
        <v>11388.017445173609</v>
      </c>
      <c r="O29" s="281">
        <f>'2a Comp Bal int prepay'!N29</f>
        <v>11388.017445175634</v>
      </c>
    </row>
    <row r="30" spans="1:17" ht="14.45" customHeight="1" x14ac:dyDescent="0.25">
      <c r="F30" s="101"/>
      <c r="H30" s="90"/>
      <c r="I30" s="191"/>
      <c r="J30" s="192"/>
      <c r="K30" s="320"/>
      <c r="L30" s="375" t="s">
        <v>95</v>
      </c>
      <c r="M30" s="376"/>
      <c r="N30" s="379">
        <f>SUM(N7:N29)</f>
        <v>362584.36005646305</v>
      </c>
      <c r="O30" s="385">
        <f>'2a Comp Bal int prepay'!N30</f>
        <v>362584.36005646788</v>
      </c>
    </row>
    <row r="31" spans="1:17" ht="27.75" customHeight="1" thickBot="1" x14ac:dyDescent="0.3">
      <c r="G31" s="29"/>
      <c r="H31" s="90"/>
      <c r="I31" s="188"/>
      <c r="J31" s="189"/>
      <c r="K31" s="190"/>
      <c r="L31" s="377"/>
      <c r="M31" s="378"/>
      <c r="N31" s="380"/>
      <c r="O31" s="386"/>
    </row>
    <row r="32" spans="1:17" x14ac:dyDescent="0.25">
      <c r="G32" s="29"/>
    </row>
    <row r="33" spans="7:7" x14ac:dyDescent="0.25">
      <c r="G33" s="29"/>
    </row>
    <row r="34" spans="7:7" x14ac:dyDescent="0.25">
      <c r="G34" s="29"/>
    </row>
  </sheetData>
  <sheetProtection algorithmName="SHA-512" hashValue="C7xCwCnKvCy0c87FPZImPNRpRrFb+6peMEHZ+NMPw9+CTOZaJhqb0zsfJA/xpMdcMlzhKk8/TLHHj8Z2Q1Hymw==" saltValue="75EBracCyJLG3XTsy0Iu4w==" spinCount="100000" sheet="1" objects="1" scenarios="1"/>
  <mergeCells count="12">
    <mergeCell ref="O30:O31"/>
    <mergeCell ref="L1:M1"/>
    <mergeCell ref="N3:N4"/>
    <mergeCell ref="L30:M31"/>
    <mergeCell ref="N30:N31"/>
    <mergeCell ref="Q1:AA4"/>
    <mergeCell ref="A1:H1"/>
    <mergeCell ref="I1:K1"/>
    <mergeCell ref="G3:G4"/>
    <mergeCell ref="B3:B4"/>
    <mergeCell ref="E3:E4"/>
    <mergeCell ref="O3:O4"/>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A46"/>
  <sheetViews>
    <sheetView zoomScale="80" zoomScaleNormal="80" workbookViewId="0">
      <pane ySplit="5" topLeftCell="A6" activePane="bottomLeft" state="frozen"/>
      <selection pane="bottomLeft" activeCell="B3" sqref="B3:B4"/>
    </sheetView>
  </sheetViews>
  <sheetFormatPr defaultRowHeight="15" x14ac:dyDescent="0.25"/>
  <cols>
    <col min="1" max="1" width="26.42578125" customWidth="1"/>
    <col min="2" max="2" width="18.7109375" style="94" customWidth="1"/>
    <col min="3" max="4" width="12.7109375" customWidth="1"/>
    <col min="5" max="5" width="9.7109375" style="90" customWidth="1"/>
    <col min="6" max="6" width="17.7109375" style="33" customWidth="1"/>
    <col min="7" max="7" width="11.7109375" customWidth="1"/>
    <col min="8" max="8" width="13.42578125" style="19" bestFit="1" customWidth="1"/>
    <col min="9" max="9" width="23.7109375" style="19" customWidth="1"/>
    <col min="10" max="10" width="21.7109375" customWidth="1"/>
    <col min="11" max="11" width="18.7109375" customWidth="1"/>
    <col min="12" max="12" width="14.42578125" customWidth="1"/>
    <col min="13" max="13" width="14.140625" customWidth="1"/>
    <col min="14" max="14" width="12.28515625" bestFit="1" customWidth="1"/>
    <col min="15" max="15" width="13.5703125" style="197" customWidth="1"/>
    <col min="16" max="16" width="10.7109375" customWidth="1"/>
  </cols>
  <sheetData>
    <row r="1" spans="1:27" s="176" customFormat="1" ht="19.5" thickTop="1" x14ac:dyDescent="0.3">
      <c r="A1" s="371" t="s">
        <v>72</v>
      </c>
      <c r="B1" s="372"/>
      <c r="C1" s="372"/>
      <c r="D1" s="372"/>
      <c r="E1" s="372"/>
      <c r="F1" s="372"/>
      <c r="G1" s="372"/>
      <c r="H1" s="372"/>
      <c r="I1" s="373" t="s">
        <v>73</v>
      </c>
      <c r="J1" s="373"/>
      <c r="K1" s="373"/>
      <c r="L1" s="374" t="s">
        <v>77</v>
      </c>
      <c r="M1" s="374"/>
      <c r="N1" s="180"/>
      <c r="O1" s="194"/>
      <c r="Q1" s="323" t="s">
        <v>97</v>
      </c>
      <c r="R1" s="324"/>
      <c r="S1" s="324"/>
      <c r="T1" s="324"/>
      <c r="U1" s="324"/>
      <c r="V1" s="324"/>
      <c r="W1" s="324"/>
      <c r="X1" s="324"/>
      <c r="Y1" s="324"/>
      <c r="Z1" s="324"/>
      <c r="AA1" s="325"/>
    </row>
    <row r="2" spans="1:27" ht="5.0999999999999996" customHeight="1" x14ac:dyDescent="0.25">
      <c r="A2" s="59"/>
      <c r="B2" s="95"/>
      <c r="C2" s="80"/>
      <c r="D2" s="80"/>
      <c r="E2" s="138"/>
      <c r="F2" s="80"/>
      <c r="G2" s="82"/>
      <c r="H2" s="106"/>
      <c r="I2" s="108"/>
      <c r="J2" s="86"/>
      <c r="K2" s="78"/>
      <c r="L2" s="177"/>
      <c r="M2" s="178"/>
      <c r="N2" s="179"/>
      <c r="O2" s="195"/>
      <c r="Q2" s="326"/>
      <c r="R2" s="327"/>
      <c r="S2" s="327"/>
      <c r="T2" s="327"/>
      <c r="U2" s="327"/>
      <c r="V2" s="327"/>
      <c r="W2" s="327"/>
      <c r="X2" s="327"/>
      <c r="Y2" s="327"/>
      <c r="Z2" s="327"/>
      <c r="AA2" s="328"/>
    </row>
    <row r="3" spans="1:27" ht="51.95" customHeight="1" x14ac:dyDescent="0.35">
      <c r="A3" s="59"/>
      <c r="B3" s="381" t="s">
        <v>96</v>
      </c>
      <c r="C3" s="80"/>
      <c r="D3" s="80"/>
      <c r="E3" s="382" t="s">
        <v>59</v>
      </c>
      <c r="F3" s="80"/>
      <c r="G3" s="383" t="s">
        <v>69</v>
      </c>
      <c r="H3" s="106" t="s">
        <v>57</v>
      </c>
      <c r="I3" s="108" t="s">
        <v>68</v>
      </c>
      <c r="J3" s="115" t="s">
        <v>55</v>
      </c>
      <c r="K3" s="78" t="s">
        <v>67</v>
      </c>
      <c r="L3" s="164" t="s">
        <v>74</v>
      </c>
      <c r="M3" s="165" t="s">
        <v>75</v>
      </c>
      <c r="N3" s="370" t="s">
        <v>76</v>
      </c>
      <c r="O3" s="384" t="s">
        <v>82</v>
      </c>
      <c r="Q3" s="326"/>
      <c r="R3" s="327"/>
      <c r="S3" s="327"/>
      <c r="T3" s="327"/>
      <c r="U3" s="327"/>
      <c r="V3" s="327"/>
      <c r="W3" s="327"/>
      <c r="X3" s="327"/>
      <c r="Y3" s="327"/>
      <c r="Z3" s="327"/>
      <c r="AA3" s="328"/>
    </row>
    <row r="4" spans="1:27" ht="32.1" customHeight="1" thickBot="1" x14ac:dyDescent="0.4">
      <c r="A4" s="204" t="s">
        <v>94</v>
      </c>
      <c r="B4" s="381"/>
      <c r="C4" s="80" t="s">
        <v>60</v>
      </c>
      <c r="D4" s="80" t="s">
        <v>78</v>
      </c>
      <c r="E4" s="382"/>
      <c r="F4" s="80" t="s">
        <v>71</v>
      </c>
      <c r="G4" s="383"/>
      <c r="H4" s="139"/>
      <c r="I4" s="108"/>
      <c r="J4" s="86"/>
      <c r="K4" s="78"/>
      <c r="L4" s="166"/>
      <c r="M4" s="167"/>
      <c r="N4" s="370"/>
      <c r="O4" s="384"/>
      <c r="Q4" s="329"/>
      <c r="R4" s="330"/>
      <c r="S4" s="330"/>
      <c r="T4" s="330"/>
      <c r="U4" s="330"/>
      <c r="V4" s="330"/>
      <c r="W4" s="330"/>
      <c r="X4" s="330"/>
      <c r="Y4" s="330"/>
      <c r="Z4" s="330"/>
      <c r="AA4" s="331"/>
    </row>
    <row r="5" spans="1:27" ht="5.0999999999999996" customHeight="1" thickTop="1" thickBot="1" x14ac:dyDescent="0.3">
      <c r="A5" s="92"/>
      <c r="B5" s="96"/>
      <c r="C5" s="81"/>
      <c r="D5" s="81"/>
      <c r="E5" s="137"/>
      <c r="F5" s="81"/>
      <c r="G5" s="83"/>
      <c r="H5" s="107"/>
      <c r="I5" s="109"/>
      <c r="J5" s="87"/>
      <c r="K5" s="79"/>
      <c r="L5" s="168"/>
      <c r="M5" s="169"/>
      <c r="N5" s="172"/>
      <c r="O5" s="196"/>
    </row>
    <row r="6" spans="1:27" x14ac:dyDescent="0.25">
      <c r="A6" s="20">
        <f>'Loan Details'!G5</f>
        <v>43647</v>
      </c>
      <c r="B6" s="97">
        <f>'Loan Details'!H5</f>
        <v>43647</v>
      </c>
      <c r="C6" s="126">
        <f>'Loan Details'!I5/100</f>
        <v>2.4199999999999999E-2</v>
      </c>
      <c r="D6" s="126">
        <f>'Loan Details'!J5/100</f>
        <v>0.02</v>
      </c>
      <c r="E6" s="88">
        <f>'Loan Details'!K5</f>
        <v>1</v>
      </c>
      <c r="F6" s="212">
        <f>'Loan Details'!L5</f>
        <v>100000000</v>
      </c>
      <c r="G6" s="22"/>
      <c r="H6" s="132">
        <f t="shared" ref="H6:H28" si="0">C6*(E6/360)</f>
        <v>6.7222222222222219E-5</v>
      </c>
      <c r="I6" s="152">
        <f>(1+H6)-1</f>
        <v>6.722222222221852E-5</v>
      </c>
      <c r="J6" s="65"/>
      <c r="K6" s="64"/>
      <c r="L6" s="174">
        <f>D6*(E6/360)</f>
        <v>5.5555555555555558E-5</v>
      </c>
      <c r="M6" s="170"/>
      <c r="N6" s="173"/>
      <c r="O6" s="195"/>
    </row>
    <row r="7" spans="1:27" x14ac:dyDescent="0.25">
      <c r="A7" s="14">
        <f>'Loan Details'!G6</f>
        <v>43648</v>
      </c>
      <c r="B7" s="98">
        <f>'Loan Details'!H6</f>
        <v>43648</v>
      </c>
      <c r="C7" s="127">
        <f>'Loan Details'!I6/100</f>
        <v>2.5099999999999997E-2</v>
      </c>
      <c r="D7" s="127">
        <f>'Loan Details'!J6/100</f>
        <v>0.02</v>
      </c>
      <c r="E7" s="89">
        <f>'Loan Details'!K6</f>
        <v>1</v>
      </c>
      <c r="F7" s="213">
        <f>'Loan Details'!L6</f>
        <v>100000000</v>
      </c>
      <c r="G7" s="18"/>
      <c r="H7" s="133">
        <f t="shared" si="0"/>
        <v>6.9722222222222212E-5</v>
      </c>
      <c r="I7" s="152">
        <f t="shared" ref="I7:I28" si="1">(1+H7)*(1+I6)-1</f>
        <v>1.3694913132700215E-4</v>
      </c>
      <c r="J7" s="269">
        <f t="shared" ref="J7:J29" si="2">I6*F6</f>
        <v>6722.2222222218516</v>
      </c>
      <c r="K7" s="270">
        <f t="shared" ref="K7:K29" si="3">J7-J6-G6</f>
        <v>6722.2222222218516</v>
      </c>
      <c r="L7" s="175">
        <f t="shared" ref="L7:L28" si="4">D7*(E7/360)</f>
        <v>5.5555555555555558E-5</v>
      </c>
      <c r="M7" s="256">
        <f>L6*F6</f>
        <v>5555.5555555555557</v>
      </c>
      <c r="N7" s="257">
        <f>K7+M7</f>
        <v>12277.777777777406</v>
      </c>
      <c r="O7" s="277">
        <f>'2b Comp Bal NO int prepay'!N7</f>
        <v>12277.777777777777</v>
      </c>
    </row>
    <row r="8" spans="1:27" ht="15" customHeight="1" x14ac:dyDescent="0.25">
      <c r="A8" s="14">
        <f>'Loan Details'!G7</f>
        <v>43649</v>
      </c>
      <c r="B8" s="98">
        <f>'Loan Details'!H7</f>
        <v>43649</v>
      </c>
      <c r="C8" s="127">
        <f>'Loan Details'!I7/100</f>
        <v>2.5600000000000001E-2</v>
      </c>
      <c r="D8" s="127">
        <f>'Loan Details'!J7/100</f>
        <v>0.02</v>
      </c>
      <c r="E8" s="89">
        <f>'Loan Details'!K7</f>
        <v>2</v>
      </c>
      <c r="F8" s="213">
        <f>'Loan Details'!L7</f>
        <v>100000000</v>
      </c>
      <c r="G8" s="18"/>
      <c r="H8" s="133">
        <f t="shared" si="0"/>
        <v>1.4222222222222224E-4</v>
      </c>
      <c r="I8" s="152">
        <f t="shared" si="1"/>
        <v>2.7919083075911288E-4</v>
      </c>
      <c r="J8" s="269">
        <f t="shared" si="2"/>
        <v>13694.913132700214</v>
      </c>
      <c r="K8" s="270">
        <f t="shared" si="3"/>
        <v>6972.6909104783626</v>
      </c>
      <c r="L8" s="175">
        <f t="shared" si="4"/>
        <v>1.1111111111111112E-4</v>
      </c>
      <c r="M8" s="256">
        <f t="shared" ref="M8:M29" si="5">L7*F7</f>
        <v>5555.5555555555557</v>
      </c>
      <c r="N8" s="257">
        <f t="shared" ref="N8:N29" si="6">K8+M8</f>
        <v>12528.246466033917</v>
      </c>
      <c r="O8" s="277">
        <f>'2b Comp Bal NO int prepay'!N8</f>
        <v>12528.246466049382</v>
      </c>
    </row>
    <row r="9" spans="1:27" s="2" customFormat="1" x14ac:dyDescent="0.25">
      <c r="A9" s="55">
        <f>'Loan Details'!G8</f>
        <v>43650</v>
      </c>
      <c r="B9" s="99" t="s">
        <v>54</v>
      </c>
      <c r="C9" s="127"/>
      <c r="D9" s="127"/>
      <c r="E9" s="89"/>
      <c r="F9" s="261">
        <f>'Loan Details'!L8</f>
        <v>100000000</v>
      </c>
      <c r="G9" s="56"/>
      <c r="H9" s="134">
        <f t="shared" si="0"/>
        <v>0</v>
      </c>
      <c r="I9" s="154">
        <f t="shared" si="1"/>
        <v>2.7919083075911288E-4</v>
      </c>
      <c r="J9" s="269">
        <f t="shared" si="2"/>
        <v>27919.083075911287</v>
      </c>
      <c r="K9" s="270">
        <f t="shared" si="3"/>
        <v>14224.169943211073</v>
      </c>
      <c r="L9" s="175">
        <f t="shared" si="4"/>
        <v>0</v>
      </c>
      <c r="M9" s="256">
        <f t="shared" si="5"/>
        <v>11111.111111111111</v>
      </c>
      <c r="N9" s="257">
        <f t="shared" si="6"/>
        <v>25335.281054322186</v>
      </c>
      <c r="O9" s="277">
        <f>'2b Comp Bal NO int prepay'!N9</f>
        <v>25335.28105431221</v>
      </c>
    </row>
    <row r="10" spans="1:27" x14ac:dyDescent="0.25">
      <c r="A10" s="14">
        <f>'Loan Details'!G9</f>
        <v>43651</v>
      </c>
      <c r="B10" s="98">
        <f>'Loan Details'!H9</f>
        <v>43651</v>
      </c>
      <c r="C10" s="127">
        <f>'Loan Details'!I9/100</f>
        <v>2.5899999999999999E-2</v>
      </c>
      <c r="D10" s="127">
        <f>'Loan Details'!J9/100</f>
        <v>0.02</v>
      </c>
      <c r="E10" s="89">
        <f>'Loan Details'!K9</f>
        <v>3</v>
      </c>
      <c r="F10" s="213">
        <f>'Loan Details'!L9</f>
        <v>100000000</v>
      </c>
      <c r="G10" s="18"/>
      <c r="H10" s="133">
        <f t="shared" si="0"/>
        <v>2.1583333333333331E-4</v>
      </c>
      <c r="I10" s="152">
        <f t="shared" si="1"/>
        <v>4.9508442278001219E-4</v>
      </c>
      <c r="J10" s="271">
        <f t="shared" si="2"/>
        <v>27919.083075911287</v>
      </c>
      <c r="K10" s="270">
        <f t="shared" si="3"/>
        <v>0</v>
      </c>
      <c r="L10" s="175">
        <f t="shared" si="4"/>
        <v>1.6666666666666666E-4</v>
      </c>
      <c r="M10" s="256">
        <f t="shared" si="5"/>
        <v>0</v>
      </c>
      <c r="N10" s="257">
        <f t="shared" si="6"/>
        <v>0</v>
      </c>
      <c r="O10" s="278">
        <f>'2b Comp Bal NO int prepay'!N10</f>
        <v>0</v>
      </c>
    </row>
    <row r="11" spans="1:27" x14ac:dyDescent="0.25">
      <c r="A11" s="14">
        <f>'Loan Details'!G10</f>
        <v>43654</v>
      </c>
      <c r="B11" s="98">
        <f>'Loan Details'!H10</f>
        <v>43654</v>
      </c>
      <c r="C11" s="127">
        <f>'Loan Details'!I10/100</f>
        <v>2.4799999999999999E-2</v>
      </c>
      <c r="D11" s="127">
        <f>'Loan Details'!J10/100</f>
        <v>0.02</v>
      </c>
      <c r="E11" s="89">
        <f>'Loan Details'!K10</f>
        <v>1</v>
      </c>
      <c r="F11" s="213">
        <f>'Loan Details'!L10</f>
        <v>100000000</v>
      </c>
      <c r="G11" s="18"/>
      <c r="H11" s="133">
        <f t="shared" si="0"/>
        <v>6.8888888888888895E-5</v>
      </c>
      <c r="I11" s="152">
        <f t="shared" si="1"/>
        <v>5.6400741748463545E-4</v>
      </c>
      <c r="J11" s="269">
        <f t="shared" si="2"/>
        <v>49508.442278001217</v>
      </c>
      <c r="K11" s="270">
        <f t="shared" si="3"/>
        <v>21589.35920208993</v>
      </c>
      <c r="L11" s="175">
        <f t="shared" si="4"/>
        <v>5.5555555555555558E-5</v>
      </c>
      <c r="M11" s="256">
        <f t="shared" si="5"/>
        <v>16666.666666666668</v>
      </c>
      <c r="N11" s="257">
        <f t="shared" si="6"/>
        <v>38256.025868756595</v>
      </c>
      <c r="O11" s="277">
        <f>'2b Comp Bal NO int prepay'!N11</f>
        <v>38256.025868763885</v>
      </c>
    </row>
    <row r="12" spans="1:27" x14ac:dyDescent="0.25">
      <c r="A12" s="14">
        <f>'Loan Details'!G11</f>
        <v>43655</v>
      </c>
      <c r="B12" s="98">
        <f>'Loan Details'!H11</f>
        <v>43655</v>
      </c>
      <c r="C12" s="127">
        <f>'Loan Details'!I11/100</f>
        <v>2.4500000000000001E-2</v>
      </c>
      <c r="D12" s="127">
        <f>'Loan Details'!J11/100</f>
        <v>0.02</v>
      </c>
      <c r="E12" s="89">
        <f>'Loan Details'!K11</f>
        <v>1</v>
      </c>
      <c r="F12" s="213">
        <f>'Loan Details'!L11</f>
        <v>100000000</v>
      </c>
      <c r="G12" s="18"/>
      <c r="H12" s="133">
        <f t="shared" si="0"/>
        <v>6.8055555555555564E-5</v>
      </c>
      <c r="I12" s="152">
        <f t="shared" si="1"/>
        <v>6.3210135687818969E-4</v>
      </c>
      <c r="J12" s="269">
        <f t="shared" si="2"/>
        <v>56400.741748463544</v>
      </c>
      <c r="K12" s="270">
        <f t="shared" si="3"/>
        <v>6892.299470462327</v>
      </c>
      <c r="L12" s="175">
        <f t="shared" si="4"/>
        <v>5.5555555555555558E-5</v>
      </c>
      <c r="M12" s="256">
        <f t="shared" si="5"/>
        <v>5555.5555555555557</v>
      </c>
      <c r="N12" s="257">
        <f t="shared" si="6"/>
        <v>12447.855026017882</v>
      </c>
      <c r="O12" s="277">
        <f>'2b Comp Bal NO int prepay'!N12</f>
        <v>12447.855026023597</v>
      </c>
    </row>
    <row r="13" spans="1:27" x14ac:dyDescent="0.25">
      <c r="A13" s="14">
        <f>'Loan Details'!G12</f>
        <v>43656</v>
      </c>
      <c r="B13" s="98">
        <f>'Loan Details'!H12</f>
        <v>43656</v>
      </c>
      <c r="C13" s="127">
        <f>'Loan Details'!I12/100</f>
        <v>2.46E-2</v>
      </c>
      <c r="D13" s="127">
        <f>'Loan Details'!J12/100</f>
        <v>0.02</v>
      </c>
      <c r="E13" s="89">
        <f>'Loan Details'!K12</f>
        <v>1</v>
      </c>
      <c r="F13" s="213">
        <f>'Loan Details'!L12</f>
        <v>100000000</v>
      </c>
      <c r="G13" s="18"/>
      <c r="H13" s="133">
        <f t="shared" si="0"/>
        <v>6.8333333333333332E-5</v>
      </c>
      <c r="I13" s="152">
        <f t="shared" si="1"/>
        <v>7.0047788380422915E-4</v>
      </c>
      <c r="J13" s="269">
        <f t="shared" si="2"/>
        <v>63210.135687818969</v>
      </c>
      <c r="K13" s="270">
        <f t="shared" si="3"/>
        <v>6809.3939393554247</v>
      </c>
      <c r="L13" s="175">
        <f t="shared" si="4"/>
        <v>5.5555555555555558E-5</v>
      </c>
      <c r="M13" s="256">
        <f t="shared" si="5"/>
        <v>5555.5555555555557</v>
      </c>
      <c r="N13" s="257">
        <f t="shared" si="6"/>
        <v>12364.949494910979</v>
      </c>
      <c r="O13" s="277">
        <f>'2b Comp Bal NO int prepay'!N13</f>
        <v>12364.949494924549</v>
      </c>
    </row>
    <row r="14" spans="1:27" x14ac:dyDescent="0.25">
      <c r="A14" s="14">
        <f>'Loan Details'!G13</f>
        <v>43657</v>
      </c>
      <c r="B14" s="98">
        <f>'Loan Details'!H13</f>
        <v>43657</v>
      </c>
      <c r="C14" s="127">
        <f>'Loan Details'!I13/100</f>
        <v>2.41E-2</v>
      </c>
      <c r="D14" s="127">
        <f>'Loan Details'!J13/100</f>
        <v>0.02</v>
      </c>
      <c r="E14" s="89">
        <f>'Loan Details'!K13</f>
        <v>1</v>
      </c>
      <c r="F14" s="213">
        <f>'Loan Details'!L13</f>
        <v>100000000</v>
      </c>
      <c r="G14" s="18"/>
      <c r="H14" s="133">
        <f t="shared" si="0"/>
        <v>6.6944444444444451E-5</v>
      </c>
      <c r="I14" s="152">
        <f t="shared" si="1"/>
        <v>7.674692213515133E-4</v>
      </c>
      <c r="J14" s="269">
        <f t="shared" si="2"/>
        <v>70047.78838042292</v>
      </c>
      <c r="K14" s="270">
        <f t="shared" si="3"/>
        <v>6837.6526926039514</v>
      </c>
      <c r="L14" s="175">
        <f t="shared" si="4"/>
        <v>5.5555555555555558E-5</v>
      </c>
      <c r="M14" s="256">
        <f t="shared" si="5"/>
        <v>5555.5555555555557</v>
      </c>
      <c r="N14" s="257">
        <f t="shared" si="6"/>
        <v>12393.208248159506</v>
      </c>
      <c r="O14" s="277">
        <f>'2b Comp Bal NO int prepay'!N14</f>
        <v>12393.208248160892</v>
      </c>
    </row>
    <row r="15" spans="1:27" s="3" customFormat="1" ht="15.75" thickBot="1" x14ac:dyDescent="0.3">
      <c r="A15" s="14">
        <f>'Loan Details'!G14</f>
        <v>43658</v>
      </c>
      <c r="B15" s="98">
        <f>'Loan Details'!H14</f>
        <v>43658</v>
      </c>
      <c r="C15" s="127">
        <f>'Loan Details'!I14/100</f>
        <v>2.3599999999999999E-2</v>
      </c>
      <c r="D15" s="127">
        <f>'Loan Details'!J14/100</f>
        <v>0.02</v>
      </c>
      <c r="E15" s="89">
        <f>'Loan Details'!K14</f>
        <v>3</v>
      </c>
      <c r="F15" s="213">
        <f>'Loan Details'!L14</f>
        <v>100000000</v>
      </c>
      <c r="G15" s="18"/>
      <c r="H15" s="133">
        <f t="shared" si="0"/>
        <v>1.9666666666666666E-4</v>
      </c>
      <c r="I15" s="152">
        <f t="shared" si="1"/>
        <v>9.6428682363169926E-4</v>
      </c>
      <c r="J15" s="269">
        <f t="shared" si="2"/>
        <v>76746.922135151326</v>
      </c>
      <c r="K15" s="270">
        <f t="shared" si="3"/>
        <v>6699.1337547284056</v>
      </c>
      <c r="L15" s="175">
        <f t="shared" si="4"/>
        <v>1.6666666666666666E-4</v>
      </c>
      <c r="M15" s="256">
        <f t="shared" si="5"/>
        <v>5555.5555555555557</v>
      </c>
      <c r="N15" s="257">
        <f t="shared" si="6"/>
        <v>12254.68931028396</v>
      </c>
      <c r="O15" s="277">
        <f>'2b Comp Bal NO int prepay'!N15</f>
        <v>12254.689310277692</v>
      </c>
    </row>
    <row r="16" spans="1:27" ht="15.75" thickBot="1" x14ac:dyDescent="0.3">
      <c r="A16" s="14">
        <f>'Loan Details'!G15</f>
        <v>43661</v>
      </c>
      <c r="B16" s="98">
        <f>'Loan Details'!H15</f>
        <v>43661</v>
      </c>
      <c r="C16" s="127">
        <f>'Loan Details'!I15/100</f>
        <v>2.46E-2</v>
      </c>
      <c r="D16" s="127">
        <f>'Loan Details'!J15/100</f>
        <v>0.02</v>
      </c>
      <c r="E16" s="89">
        <f>'Loan Details'!K15</f>
        <v>1</v>
      </c>
      <c r="F16" s="213">
        <f>'Loan Details'!L15</f>
        <v>90000000</v>
      </c>
      <c r="G16" s="24"/>
      <c r="H16" s="133">
        <f t="shared" si="0"/>
        <v>6.8333333333333332E-5</v>
      </c>
      <c r="I16" s="152">
        <f t="shared" si="1"/>
        <v>1.032686049897924E-3</v>
      </c>
      <c r="J16" s="269">
        <f t="shared" si="2"/>
        <v>96428.682363169923</v>
      </c>
      <c r="K16" s="270">
        <f t="shared" si="3"/>
        <v>19681.760228018597</v>
      </c>
      <c r="L16" s="175">
        <f t="shared" si="4"/>
        <v>5.5555555555555558E-5</v>
      </c>
      <c r="M16" s="256">
        <f t="shared" si="5"/>
        <v>16666.666666666668</v>
      </c>
      <c r="N16" s="257">
        <f t="shared" si="6"/>
        <v>36348.426894685268</v>
      </c>
      <c r="O16" s="277">
        <f>'2b Comp Bal NO int prepay'!N16</f>
        <v>36348.426894686585</v>
      </c>
    </row>
    <row r="17" spans="1:15" x14ac:dyDescent="0.25">
      <c r="A17" s="14">
        <f>'Loan Details'!G16</f>
        <v>43662</v>
      </c>
      <c r="B17" s="98">
        <f>'Loan Details'!H16</f>
        <v>43662</v>
      </c>
      <c r="C17" s="127">
        <f>'Loan Details'!I16/100</f>
        <v>2.4700000000000003E-2</v>
      </c>
      <c r="D17" s="127">
        <f>'Loan Details'!J16/100</f>
        <v>0.02</v>
      </c>
      <c r="E17" s="89">
        <f>'Loan Details'!K16</f>
        <v>1</v>
      </c>
      <c r="F17" s="213">
        <f>'Loan Details'!L16</f>
        <v>90000000</v>
      </c>
      <c r="G17" s="18"/>
      <c r="H17" s="133">
        <f t="shared" si="0"/>
        <v>6.8611111111111127E-5</v>
      </c>
      <c r="I17" s="152">
        <f t="shared" si="1"/>
        <v>1.1013680147462512E-3</v>
      </c>
      <c r="J17" s="269">
        <f t="shared" si="2"/>
        <v>92941.744490813158</v>
      </c>
      <c r="K17" s="270">
        <f t="shared" si="3"/>
        <v>-3486.9378723567643</v>
      </c>
      <c r="L17" s="175">
        <f t="shared" si="4"/>
        <v>5.5555555555555558E-5</v>
      </c>
      <c r="M17" s="256">
        <f t="shared" si="5"/>
        <v>5000</v>
      </c>
      <c r="N17" s="279">
        <f t="shared" si="6"/>
        <v>1513.0621276432357</v>
      </c>
      <c r="O17" s="277">
        <f>'2b Comp Bal NO int prepay'!N17</f>
        <v>11156.589293294819</v>
      </c>
    </row>
    <row r="18" spans="1:15" x14ac:dyDescent="0.25">
      <c r="A18" s="14">
        <f>'Loan Details'!G17</f>
        <v>43663</v>
      </c>
      <c r="B18" s="98">
        <f>'Loan Details'!H17</f>
        <v>43663</v>
      </c>
      <c r="C18" s="127">
        <f>'Loan Details'!I17/100</f>
        <v>2.4700000000000003E-2</v>
      </c>
      <c r="D18" s="127">
        <f>'Loan Details'!J17/100</f>
        <v>0.02</v>
      </c>
      <c r="E18" s="89">
        <f>'Loan Details'!K17</f>
        <v>1</v>
      </c>
      <c r="F18" s="213">
        <f>'Loan Details'!L17</f>
        <v>90000000</v>
      </c>
      <c r="G18" s="18"/>
      <c r="H18" s="133">
        <f t="shared" si="0"/>
        <v>6.8611111111111127E-5</v>
      </c>
      <c r="I18" s="152">
        <f t="shared" si="1"/>
        <v>1.1700546919404253E-3</v>
      </c>
      <c r="J18" s="269">
        <f t="shared" si="2"/>
        <v>99123.121327162604</v>
      </c>
      <c r="K18" s="270">
        <f t="shared" si="3"/>
        <v>6181.3768363494455</v>
      </c>
      <c r="L18" s="175">
        <f t="shared" si="4"/>
        <v>5.5555555555555558E-5</v>
      </c>
      <c r="M18" s="256">
        <f t="shared" si="5"/>
        <v>5000</v>
      </c>
      <c r="N18" s="279">
        <f t="shared" si="6"/>
        <v>11181.376836349446</v>
      </c>
      <c r="O18" s="277">
        <f>'2b Comp Bal NO int prepay'!N18</f>
        <v>11182.03848947199</v>
      </c>
    </row>
    <row r="19" spans="1:15" x14ac:dyDescent="0.25">
      <c r="A19" s="14">
        <f>'Loan Details'!G18</f>
        <v>43664</v>
      </c>
      <c r="B19" s="98">
        <f>'Loan Details'!H18</f>
        <v>43664</v>
      </c>
      <c r="C19" s="127">
        <f>'Loan Details'!I18/100</f>
        <v>2.46E-2</v>
      </c>
      <c r="D19" s="127">
        <f>'Loan Details'!J18/100</f>
        <v>0.02</v>
      </c>
      <c r="E19" s="89">
        <f>'Loan Details'!K18</f>
        <v>1</v>
      </c>
      <c r="F19" s="213">
        <f>'Loan Details'!L18</f>
        <v>90000000</v>
      </c>
      <c r="G19" s="18"/>
      <c r="H19" s="133">
        <f t="shared" si="0"/>
        <v>6.8333333333333332E-5</v>
      </c>
      <c r="I19" s="152">
        <f t="shared" si="1"/>
        <v>1.2384679790109487E-3</v>
      </c>
      <c r="J19" s="269">
        <f t="shared" si="2"/>
        <v>105304.92227463827</v>
      </c>
      <c r="K19" s="270">
        <f t="shared" si="3"/>
        <v>6181.8009474756691</v>
      </c>
      <c r="L19" s="175">
        <f t="shared" si="4"/>
        <v>5.5555555555555558E-5</v>
      </c>
      <c r="M19" s="256">
        <f t="shared" si="5"/>
        <v>5000</v>
      </c>
      <c r="N19" s="279">
        <f t="shared" si="6"/>
        <v>11181.800947475669</v>
      </c>
      <c r="O19" s="277">
        <f>'2b Comp Bal NO int prepay'!N19</f>
        <v>11182.462646001683</v>
      </c>
    </row>
    <row r="20" spans="1:15" x14ac:dyDescent="0.25">
      <c r="A20" s="14">
        <f>'Loan Details'!G19</f>
        <v>43665</v>
      </c>
      <c r="B20" s="98">
        <f>'Loan Details'!H19</f>
        <v>43665</v>
      </c>
      <c r="C20" s="127">
        <f>'Loan Details'!I19/100</f>
        <v>2.41E-2</v>
      </c>
      <c r="D20" s="127">
        <f>'Loan Details'!J19/100</f>
        <v>0.02</v>
      </c>
      <c r="E20" s="89">
        <f>'Loan Details'!K19</f>
        <v>3</v>
      </c>
      <c r="F20" s="213">
        <f>'Loan Details'!L19</f>
        <v>90000000</v>
      </c>
      <c r="G20" s="18"/>
      <c r="H20" s="133">
        <f t="shared" si="0"/>
        <v>2.0083333333333333E-4</v>
      </c>
      <c r="I20" s="152">
        <f t="shared" si="1"/>
        <v>1.4395500379968951E-3</v>
      </c>
      <c r="J20" s="269">
        <f t="shared" si="2"/>
        <v>111462.11811098539</v>
      </c>
      <c r="K20" s="270">
        <f t="shared" si="3"/>
        <v>6157.1958363471203</v>
      </c>
      <c r="L20" s="175">
        <f t="shared" si="4"/>
        <v>1.6666666666666666E-4</v>
      </c>
      <c r="M20" s="256">
        <f t="shared" si="5"/>
        <v>5000</v>
      </c>
      <c r="N20" s="279">
        <f t="shared" si="6"/>
        <v>11157.19583634712</v>
      </c>
      <c r="O20" s="277">
        <f>'2b Comp Bal NO int prepay'!N20</f>
        <v>11157.854901140785</v>
      </c>
    </row>
    <row r="21" spans="1:15" x14ac:dyDescent="0.25">
      <c r="A21" s="14">
        <f>'Loan Details'!G20</f>
        <v>43668</v>
      </c>
      <c r="B21" s="98">
        <f>'Loan Details'!H20</f>
        <v>43668</v>
      </c>
      <c r="C21" s="127">
        <f>'Loan Details'!I20/100</f>
        <v>2.4E-2</v>
      </c>
      <c r="D21" s="127">
        <f>'Loan Details'!J20/100</f>
        <v>0.02</v>
      </c>
      <c r="E21" s="89">
        <f>'Loan Details'!K20</f>
        <v>1</v>
      </c>
      <c r="F21" s="213">
        <f>'Loan Details'!L20</f>
        <v>90000000</v>
      </c>
      <c r="G21" s="18"/>
      <c r="H21" s="133">
        <f t="shared" si="0"/>
        <v>6.666666666666667E-5</v>
      </c>
      <c r="I21" s="152">
        <f t="shared" si="1"/>
        <v>1.5063126746661659E-3</v>
      </c>
      <c r="J21" s="269">
        <f t="shared" si="2"/>
        <v>129559.50341972055</v>
      </c>
      <c r="K21" s="270">
        <f t="shared" si="3"/>
        <v>18097.38530873516</v>
      </c>
      <c r="L21" s="175">
        <f t="shared" si="4"/>
        <v>5.5555555555555558E-5</v>
      </c>
      <c r="M21" s="256">
        <f t="shared" si="5"/>
        <v>15000</v>
      </c>
      <c r="N21" s="279">
        <f t="shared" si="6"/>
        <v>33097.38530873516</v>
      </c>
      <c r="O21" s="277">
        <f>'2b Comp Bal NO int prepay'!N21</f>
        <v>33099.322448561696</v>
      </c>
    </row>
    <row r="22" spans="1:15" x14ac:dyDescent="0.25">
      <c r="A22" s="14">
        <f>'Loan Details'!G21</f>
        <v>43669</v>
      </c>
      <c r="B22" s="98">
        <f>'Loan Details'!H21</f>
        <v>43669</v>
      </c>
      <c r="C22" s="127">
        <f>'Loan Details'!I21/100</f>
        <v>2.4E-2</v>
      </c>
      <c r="D22" s="127">
        <f>'Loan Details'!J21/100</f>
        <v>0.02</v>
      </c>
      <c r="E22" s="89">
        <f>'Loan Details'!K21</f>
        <v>1</v>
      </c>
      <c r="F22" s="213">
        <f>'Loan Details'!L21</f>
        <v>90000000</v>
      </c>
      <c r="G22" s="18"/>
      <c r="H22" s="133">
        <f t="shared" si="0"/>
        <v>6.666666666666667E-5</v>
      </c>
      <c r="I22" s="152">
        <f t="shared" si="1"/>
        <v>1.5730797621777981E-3</v>
      </c>
      <c r="J22" s="269">
        <f t="shared" si="2"/>
        <v>135568.14071995494</v>
      </c>
      <c r="K22" s="270">
        <f t="shared" si="3"/>
        <v>6008.6373002343898</v>
      </c>
      <c r="L22" s="175">
        <f t="shared" si="4"/>
        <v>5.5555555555555558E-5</v>
      </c>
      <c r="M22" s="256">
        <f t="shared" si="5"/>
        <v>5000</v>
      </c>
      <c r="N22" s="279">
        <f t="shared" si="6"/>
        <v>11008.63730023439</v>
      </c>
      <c r="O22" s="277">
        <f>'2b Comp Bal NO int prepay'!N22</f>
        <v>11009.280463342779</v>
      </c>
    </row>
    <row r="23" spans="1:15" x14ac:dyDescent="0.25">
      <c r="A23" s="14">
        <f>'Loan Details'!G22</f>
        <v>43670</v>
      </c>
      <c r="B23" s="98">
        <f>'Loan Details'!H22</f>
        <v>43670</v>
      </c>
      <c r="C23" s="127">
        <f>'Loan Details'!I22/100</f>
        <v>2.41E-2</v>
      </c>
      <c r="D23" s="127">
        <f>'Loan Details'!J22/100</f>
        <v>0.02</v>
      </c>
      <c r="E23" s="89">
        <f>'Loan Details'!K22</f>
        <v>1</v>
      </c>
      <c r="F23" s="213">
        <f>'Loan Details'!L22</f>
        <v>90000000</v>
      </c>
      <c r="G23" s="18"/>
      <c r="H23" s="133">
        <f t="shared" si="0"/>
        <v>6.6944444444444451E-5</v>
      </c>
      <c r="I23" s="152">
        <f t="shared" si="1"/>
        <v>1.6401295155730189E-3</v>
      </c>
      <c r="J23" s="269">
        <f t="shared" si="2"/>
        <v>141577.17859600182</v>
      </c>
      <c r="K23" s="270">
        <f t="shared" si="3"/>
        <v>6009.0378760468739</v>
      </c>
      <c r="L23" s="175">
        <f t="shared" si="4"/>
        <v>5.5555555555555558E-5</v>
      </c>
      <c r="M23" s="256">
        <f t="shared" si="5"/>
        <v>5000</v>
      </c>
      <c r="N23" s="279">
        <f t="shared" si="6"/>
        <v>11009.037876046874</v>
      </c>
      <c r="O23" s="277">
        <f>'2b Comp Bal NO int prepay'!N23</f>
        <v>11009.681082040333</v>
      </c>
    </row>
    <row r="24" spans="1:15" x14ac:dyDescent="0.25">
      <c r="A24" s="14">
        <f>'Loan Details'!G23</f>
        <v>43671</v>
      </c>
      <c r="B24" s="98">
        <f>'Loan Details'!H23</f>
        <v>43671</v>
      </c>
      <c r="C24" s="127">
        <f>'Loan Details'!I23/100</f>
        <v>2.4199999999999999E-2</v>
      </c>
      <c r="D24" s="127">
        <f>'Loan Details'!J23/100</f>
        <v>0.02</v>
      </c>
      <c r="E24" s="89">
        <f>'Loan Details'!K23</f>
        <v>1</v>
      </c>
      <c r="F24" s="213">
        <f>'Loan Details'!L23</f>
        <v>90000000</v>
      </c>
      <c r="G24" s="18"/>
      <c r="H24" s="133">
        <f t="shared" si="0"/>
        <v>6.7222222222222219E-5</v>
      </c>
      <c r="I24" s="152">
        <f t="shared" si="1"/>
        <v>1.7074619909460687E-3</v>
      </c>
      <c r="J24" s="269">
        <f t="shared" si="2"/>
        <v>147611.6564015717</v>
      </c>
      <c r="K24" s="270">
        <f t="shared" si="3"/>
        <v>6034.4778055698844</v>
      </c>
      <c r="L24" s="175">
        <f t="shared" si="4"/>
        <v>5.5555555555555558E-5</v>
      </c>
      <c r="M24" s="256">
        <f t="shared" si="5"/>
        <v>5000</v>
      </c>
      <c r="N24" s="279">
        <f t="shared" si="6"/>
        <v>11034.477805569884</v>
      </c>
      <c r="O24" s="277">
        <f>'2b Comp Bal NO int prepay'!N24</f>
        <v>11035.123734643494</v>
      </c>
    </row>
    <row r="25" spans="1:15" x14ac:dyDescent="0.25">
      <c r="A25" s="14">
        <f>'Loan Details'!G24</f>
        <v>43672</v>
      </c>
      <c r="B25" s="98">
        <f>'Loan Details'!H24</f>
        <v>43672</v>
      </c>
      <c r="C25" s="127">
        <f>'Loan Details'!I24/100</f>
        <v>2.41E-2</v>
      </c>
      <c r="D25" s="127">
        <f>'Loan Details'!J24/100</f>
        <v>0.02</v>
      </c>
      <c r="E25" s="89">
        <f>'Loan Details'!K24</f>
        <v>3</v>
      </c>
      <c r="F25" s="213">
        <f>'Loan Details'!L24</f>
        <v>90000000</v>
      </c>
      <c r="G25" s="18"/>
      <c r="H25" s="133">
        <f t="shared" si="0"/>
        <v>2.0083333333333333E-4</v>
      </c>
      <c r="I25" s="152">
        <f t="shared" si="1"/>
        <v>1.9086382395627766E-3</v>
      </c>
      <c r="J25" s="269">
        <f t="shared" si="2"/>
        <v>153671.57918514617</v>
      </c>
      <c r="K25" s="270">
        <f t="shared" si="3"/>
        <v>6059.9227835744678</v>
      </c>
      <c r="L25" s="175">
        <f t="shared" si="4"/>
        <v>1.6666666666666666E-4</v>
      </c>
      <c r="M25" s="256">
        <f t="shared" si="5"/>
        <v>5000</v>
      </c>
      <c r="N25" s="279">
        <f t="shared" si="6"/>
        <v>11059.922783574468</v>
      </c>
      <c r="O25" s="277">
        <f>'2b Comp Bal NO int prepay'!N25</f>
        <v>11060.571436270013</v>
      </c>
    </row>
    <row r="26" spans="1:15" x14ac:dyDescent="0.25">
      <c r="A26" s="14">
        <f>'Loan Details'!G25</f>
        <v>43675</v>
      </c>
      <c r="B26" s="98">
        <f>'Loan Details'!H25</f>
        <v>43675</v>
      </c>
      <c r="C26" s="127">
        <f>'Loan Details'!I25/100</f>
        <v>2.4E-2</v>
      </c>
      <c r="D26" s="127">
        <f>'Loan Details'!J25/100</f>
        <v>0.02</v>
      </c>
      <c r="E26" s="89">
        <f>'Loan Details'!K25</f>
        <v>1</v>
      </c>
      <c r="F26" s="213">
        <f>'Loan Details'!L25</f>
        <v>90000000</v>
      </c>
      <c r="G26" s="18"/>
      <c r="H26" s="133">
        <f t="shared" si="0"/>
        <v>6.666666666666667E-5</v>
      </c>
      <c r="I26" s="152">
        <f t="shared" si="1"/>
        <v>1.9754321487788218E-3</v>
      </c>
      <c r="J26" s="269">
        <f t="shared" si="2"/>
        <v>171777.4415606499</v>
      </c>
      <c r="K26" s="270">
        <f t="shared" si="3"/>
        <v>18105.862375503726</v>
      </c>
      <c r="L26" s="175">
        <f t="shared" si="4"/>
        <v>5.5555555555555558E-5</v>
      </c>
      <c r="M26" s="256">
        <f t="shared" si="5"/>
        <v>15000</v>
      </c>
      <c r="N26" s="279">
        <f t="shared" si="6"/>
        <v>33105.862375503726</v>
      </c>
      <c r="O26" s="277">
        <f>'2b Comp Bal NO int prepay'!N26</f>
        <v>33107.800422710643</v>
      </c>
    </row>
    <row r="27" spans="1:15" x14ac:dyDescent="0.25">
      <c r="A27" s="14">
        <f>'Loan Details'!G26</f>
        <v>43676</v>
      </c>
      <c r="B27" s="98">
        <f>'Loan Details'!H26</f>
        <v>43676</v>
      </c>
      <c r="C27" s="127">
        <f>'Loan Details'!I26/100</f>
        <v>2.3900000000000001E-2</v>
      </c>
      <c r="D27" s="127">
        <f>'Loan Details'!J26/100</f>
        <v>0.02</v>
      </c>
      <c r="E27" s="89">
        <f>'Loan Details'!K26</f>
        <v>1</v>
      </c>
      <c r="F27" s="213">
        <f>'Loan Details'!L26</f>
        <v>90000000</v>
      </c>
      <c r="G27" s="18"/>
      <c r="H27" s="133">
        <f t="shared" si="0"/>
        <v>6.6388888888888888E-5</v>
      </c>
      <c r="I27" s="152">
        <f t="shared" si="1"/>
        <v>2.041952184413276E-3</v>
      </c>
      <c r="J27" s="276">
        <f t="shared" si="2"/>
        <v>177788.89339009396</v>
      </c>
      <c r="K27" s="270">
        <f t="shared" si="3"/>
        <v>6011.4518294440641</v>
      </c>
      <c r="L27" s="175">
        <f t="shared" si="4"/>
        <v>5.5555555555555558E-5</v>
      </c>
      <c r="M27" s="256">
        <f t="shared" si="5"/>
        <v>5000</v>
      </c>
      <c r="N27" s="279">
        <f t="shared" si="6"/>
        <v>11011.451829444064</v>
      </c>
      <c r="O27" s="277">
        <f>'2b Comp Bal NO int prepay'!N27</f>
        <v>11012.095293818713</v>
      </c>
    </row>
    <row r="28" spans="1:15" x14ac:dyDescent="0.25">
      <c r="A28" s="14">
        <f>'Loan Details'!G27</f>
        <v>43677</v>
      </c>
      <c r="B28" s="98">
        <f>'Loan Details'!H27</f>
        <v>43677</v>
      </c>
      <c r="C28" s="128">
        <f>'Loan Details'!I27/100</f>
        <v>2.5499999999999998E-2</v>
      </c>
      <c r="D28" s="128">
        <f>'Loan Details'!J27/100</f>
        <v>0.02</v>
      </c>
      <c r="E28" s="129">
        <f>'Loan Details'!K27</f>
        <v>1</v>
      </c>
      <c r="F28" s="213">
        <f>'Loan Details'!L27</f>
        <v>90000000</v>
      </c>
      <c r="G28" s="18"/>
      <c r="H28" s="135">
        <f t="shared" si="0"/>
        <v>7.0833333333333325E-5</v>
      </c>
      <c r="I28" s="152">
        <f t="shared" si="1"/>
        <v>2.1129301560263158E-3</v>
      </c>
      <c r="J28" s="276">
        <f t="shared" si="2"/>
        <v>183775.69659719482</v>
      </c>
      <c r="K28" s="270">
        <f t="shared" si="3"/>
        <v>5986.8032071008638</v>
      </c>
      <c r="L28" s="175">
        <f t="shared" si="4"/>
        <v>5.5555555555555558E-5</v>
      </c>
      <c r="M28" s="256">
        <f t="shared" si="5"/>
        <v>5000</v>
      </c>
      <c r="N28" s="279">
        <f t="shared" si="6"/>
        <v>10986.803207100864</v>
      </c>
      <c r="O28" s="277">
        <f>'2b Comp Bal NO int prepay'!N28</f>
        <v>10987.444033087584</v>
      </c>
    </row>
    <row r="29" spans="1:15" ht="18.75" customHeight="1" thickBot="1" x14ac:dyDescent="0.3">
      <c r="A29" s="67">
        <f>A28+1</f>
        <v>43678</v>
      </c>
      <c r="B29" s="100" t="s">
        <v>54</v>
      </c>
      <c r="C29" s="100" t="s">
        <v>54</v>
      </c>
      <c r="D29" s="100" t="s">
        <v>54</v>
      </c>
      <c r="E29" s="100" t="s">
        <v>54</v>
      </c>
      <c r="F29" s="93">
        <f>'Loan Details'!L28</f>
        <v>0</v>
      </c>
      <c r="G29" s="70">
        <f>'Loan Details'!N28</f>
        <v>0</v>
      </c>
      <c r="H29" s="100" t="s">
        <v>54</v>
      </c>
      <c r="I29" s="187" t="s">
        <v>54</v>
      </c>
      <c r="J29" s="276">
        <f t="shared" si="2"/>
        <v>190163.71404236843</v>
      </c>
      <c r="K29" s="270">
        <f t="shared" si="3"/>
        <v>6388.0174451736093</v>
      </c>
      <c r="L29" s="171" t="s">
        <v>54</v>
      </c>
      <c r="M29" s="259">
        <f t="shared" si="5"/>
        <v>5000</v>
      </c>
      <c r="N29" s="280">
        <f t="shared" si="6"/>
        <v>11388.017445173609</v>
      </c>
      <c r="O29" s="281">
        <f>'2b Comp Bal NO int prepay'!N29</f>
        <v>11388.70121705137</v>
      </c>
    </row>
    <row r="30" spans="1:15" x14ac:dyDescent="0.25">
      <c r="F30" s="101"/>
      <c r="H30" s="90"/>
      <c r="I30" s="191"/>
      <c r="J30" s="192"/>
      <c r="K30" s="193"/>
      <c r="L30" s="388" t="s">
        <v>95</v>
      </c>
      <c r="M30" s="389"/>
      <c r="N30" s="392">
        <f>SUM(N7:N29)</f>
        <v>352941.4918201461</v>
      </c>
      <c r="O30" s="385">
        <f>'2b Comp Bal NO int prepay'!N30</f>
        <v>362595.42560241255</v>
      </c>
    </row>
    <row r="31" spans="1:15" ht="32.25" customHeight="1" x14ac:dyDescent="0.25">
      <c r="H31" s="90"/>
      <c r="I31" s="188"/>
      <c r="J31" s="189"/>
      <c r="K31" s="190"/>
      <c r="L31" s="390"/>
      <c r="M31" s="391"/>
      <c r="N31" s="393"/>
      <c r="O31" s="387"/>
    </row>
    <row r="32" spans="1:15" x14ac:dyDescent="0.25">
      <c r="L32" s="198" t="s">
        <v>87</v>
      </c>
      <c r="M32" s="203"/>
      <c r="N32" s="282"/>
      <c r="O32" s="283"/>
    </row>
    <row r="33" spans="10:15" x14ac:dyDescent="0.25">
      <c r="L33" s="198" t="s">
        <v>83</v>
      </c>
      <c r="M33" s="199"/>
      <c r="N33" s="284">
        <f>O30-N30</f>
        <v>9653.9337822664529</v>
      </c>
      <c r="O33" s="283"/>
    </row>
    <row r="34" spans="10:15" x14ac:dyDescent="0.25">
      <c r="L34" s="202" t="s">
        <v>84</v>
      </c>
      <c r="M34" s="199"/>
      <c r="N34" s="284">
        <f>-((F16-F15)/F15)*J16</f>
        <v>9642.8682363169919</v>
      </c>
      <c r="O34" s="283"/>
    </row>
    <row r="35" spans="10:15" ht="15.75" thickBot="1" x14ac:dyDescent="0.3">
      <c r="J35" s="6"/>
      <c r="K35" s="31"/>
      <c r="L35" s="200" t="s">
        <v>85</v>
      </c>
      <c r="M35" s="201"/>
      <c r="N35" s="285">
        <f>N33-N34</f>
        <v>11.065545949461011</v>
      </c>
      <c r="O35" s="286"/>
    </row>
    <row r="36" spans="10:15" x14ac:dyDescent="0.25">
      <c r="J36" s="6"/>
      <c r="K36" s="31"/>
    </row>
    <row r="37" spans="10:15" x14ac:dyDescent="0.25">
      <c r="J37" s="6"/>
      <c r="K37" s="31"/>
    </row>
    <row r="38" spans="10:15" x14ac:dyDescent="0.25">
      <c r="J38" s="6"/>
      <c r="K38" s="31"/>
    </row>
    <row r="39" spans="10:15" x14ac:dyDescent="0.25">
      <c r="J39" s="6"/>
      <c r="K39" s="31"/>
    </row>
    <row r="40" spans="10:15" x14ac:dyDescent="0.25">
      <c r="J40" s="6"/>
      <c r="K40" s="31"/>
    </row>
    <row r="41" spans="10:15" x14ac:dyDescent="0.25">
      <c r="J41" s="6"/>
      <c r="K41" s="31"/>
    </row>
    <row r="42" spans="10:15" x14ac:dyDescent="0.25">
      <c r="J42" s="6"/>
      <c r="K42" s="31"/>
    </row>
    <row r="43" spans="10:15" x14ac:dyDescent="0.25">
      <c r="J43" s="6"/>
      <c r="K43" s="31"/>
    </row>
    <row r="44" spans="10:15" x14ac:dyDescent="0.25">
      <c r="J44" s="6"/>
      <c r="K44" s="31"/>
    </row>
    <row r="45" spans="10:15" x14ac:dyDescent="0.25">
      <c r="J45" s="6"/>
      <c r="K45" s="31"/>
    </row>
    <row r="46" spans="10:15" x14ac:dyDescent="0.25">
      <c r="J46" s="6"/>
      <c r="K46" s="31"/>
    </row>
  </sheetData>
  <sheetProtection algorithmName="SHA-512" hashValue="NOTzLmZcLO/CSxfsWe46cslyalU2Bwx9LVN5tD3A6fw8gNa2x2/txYiUQMymN+BrbX8rEAckjXSXohC41MrlDQ==" saltValue="s9r6AAPz99AHPuHmOLreVg==" spinCount="100000" sheet="1" objects="1" scenarios="1"/>
  <mergeCells count="12">
    <mergeCell ref="Q1:AA4"/>
    <mergeCell ref="A1:H1"/>
    <mergeCell ref="I1:K1"/>
    <mergeCell ref="O30:O31"/>
    <mergeCell ref="O3:O4"/>
    <mergeCell ref="L1:M1"/>
    <mergeCell ref="N3:N4"/>
    <mergeCell ref="L30:M31"/>
    <mergeCell ref="N30:N31"/>
    <mergeCell ref="B3:B4"/>
    <mergeCell ref="E3:E4"/>
    <mergeCell ref="G3:G4"/>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09BFABD-6889-4156-86FB-CF012930B4CB}"/>
</file>

<file path=customXml/itemProps2.xml><?xml version="1.0" encoding="utf-8"?>
<ds:datastoreItem xmlns:ds="http://schemas.openxmlformats.org/officeDocument/2006/customXml" ds:itemID="{56A7C074-A5FE-41E1-81A4-0F8215618261}"/>
</file>

<file path=customXml/itemProps3.xml><?xml version="1.0" encoding="utf-8"?>
<ds:datastoreItem xmlns:ds="http://schemas.openxmlformats.org/officeDocument/2006/customXml" ds:itemID="{B210E22C-1618-4077-9BE5-F95969D3B6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Loan Details</vt:lpstr>
      <vt:lpstr>FRBNY SOFR Data</vt:lpstr>
      <vt:lpstr> Summary of Results </vt:lpstr>
      <vt:lpstr>1a Simple Int with int prepay</vt:lpstr>
      <vt:lpstr>1b Simple Int NO int prepay</vt:lpstr>
      <vt:lpstr>2a Comp Bal int prepay</vt:lpstr>
      <vt:lpstr>2b Comp Bal NO int prepay</vt:lpstr>
      <vt:lpstr>3a Comp Rate int prepay</vt:lpstr>
      <vt:lpstr>3b Comp Rate NO int prepay</vt:lpstr>
      <vt:lpstr>4a Comp Rate NCCR int prepay</vt:lpstr>
      <vt:lpstr>4b Comp Rate NCCR NO int prepay</vt:lpstr>
      <vt:lpstr>Pro Rata distribution</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Pfeifer, Jamie</dc:creator>
  <cp:lastModifiedBy>Manning, Brian</cp:lastModifiedBy>
  <dcterms:created xsi:type="dcterms:W3CDTF">2020-01-08T16:00:55Z</dcterms:created>
  <dcterms:modified xsi:type="dcterms:W3CDTF">2020-08-27T17:57:00Z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4ac1ddb6-89aa-4550-853a-9981c8282429</vt:lpwstr>
  </property>
</Properties>
</file>