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erinpeck/Documents/Graduate/Research/%ORCores/Alsea/Gamma/"/>
    </mc:Choice>
  </mc:AlternateContent>
  <xr:revisionPtr revIDLastSave="0" documentId="13_ncr:1_{14950BA6-F0C1-8442-B460-63E0CDCBB202}" xr6:coauthVersionLast="45" xr6:coauthVersionMax="45" xr10:uidLastSave="{00000000-0000-0000-0000-000000000000}"/>
  <bookViews>
    <workbookView xWindow="1580" yWindow="2480" windowWidth="23760" windowHeight="14120" tabRatio="608" activeTab="1" xr2:uid="{00000000-000D-0000-FFFF-FFFF00000000}"/>
  </bookViews>
  <sheets>
    <sheet name="data&amp;corrections" sheetId="1" r:id="rId1"/>
    <sheet name="activity" sheetId="4" r:id="rId2"/>
    <sheet name="plot data" sheetId="6" r:id="rId3"/>
    <sheet name="210Pb plot" sheetId="7" r:id="rId4"/>
    <sheet name="CIC Method" sheetId="5" r:id="rId5"/>
    <sheet name="CRS Method" sheetId="10" r:id="rId6"/>
    <sheet name="137Cs plot" sheetId="8" r:id="rId7"/>
    <sheet name="137Cs Method" sheetId="9" r:id="rId8"/>
  </sheets>
  <definedNames>
    <definedName name="A">'data&amp;corrections'!$L$2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1"/>
    </ext>
  </extLst>
</workbook>
</file>

<file path=xl/calcChain.xml><?xml version="1.0" encoding="utf-8"?>
<calcChain xmlns="http://schemas.openxmlformats.org/spreadsheetml/2006/main">
  <c r="D23" i="10" l="1"/>
  <c r="C89" i="6" l="1"/>
  <c r="B89" i="6"/>
  <c r="C68" i="6"/>
  <c r="B68" i="6"/>
  <c r="C47" i="6"/>
  <c r="B47" i="6"/>
  <c r="I2" i="6" l="1"/>
  <c r="I3" i="6"/>
  <c r="L3" i="6" s="1"/>
  <c r="J3" i="6"/>
  <c r="I4" i="6"/>
  <c r="J4" i="6"/>
  <c r="I5" i="6"/>
  <c r="J5" i="6" s="1"/>
  <c r="I6" i="6"/>
  <c r="L6" i="6" s="1"/>
  <c r="I7" i="6"/>
  <c r="L7" i="6"/>
  <c r="I8" i="6"/>
  <c r="L8" i="6"/>
  <c r="I9" i="6"/>
  <c r="L9" i="6" s="1"/>
  <c r="I10" i="6"/>
  <c r="L10" i="6" s="1"/>
  <c r="I11" i="6"/>
  <c r="L11" i="6" s="1"/>
  <c r="I12" i="6"/>
  <c r="L12" i="6" s="1"/>
  <c r="I13" i="6"/>
  <c r="L13" i="6" s="1"/>
  <c r="L2" i="6"/>
  <c r="M2" i="6" s="1"/>
  <c r="J6" i="6" l="1"/>
  <c r="L4" i="6"/>
  <c r="M4" i="6" s="1"/>
  <c r="M3" i="6"/>
  <c r="J13" i="6"/>
  <c r="J9" i="6"/>
  <c r="J12" i="6"/>
  <c r="J8" i="6"/>
  <c r="J11" i="6"/>
  <c r="J7" i="6"/>
  <c r="J10" i="6"/>
  <c r="L5" i="6"/>
  <c r="M12" i="6" s="1"/>
  <c r="J2" i="6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8" i="6" l="1"/>
  <c r="M9" i="6"/>
  <c r="M6" i="6"/>
  <c r="M10" i="6"/>
  <c r="M7" i="6"/>
  <c r="M11" i="6"/>
  <c r="M5" i="6"/>
  <c r="M13" i="6"/>
  <c r="G5" i="10"/>
  <c r="E23" i="10"/>
  <c r="G23" i="10" s="1"/>
  <c r="D24" i="10"/>
  <c r="D25" i="10"/>
  <c r="D26" i="10"/>
  <c r="D27" i="10"/>
  <c r="F23" i="10"/>
  <c r="F5" i="10"/>
  <c r="F22" i="10"/>
  <c r="G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X26" i="6"/>
  <c r="AA26" i="6"/>
  <c r="G25" i="10" l="1"/>
  <c r="F25" i="10"/>
  <c r="G24" i="10"/>
  <c r="F24" i="10"/>
  <c r="G26" i="10" l="1"/>
  <c r="F26" i="10"/>
  <c r="G27" i="10" l="1"/>
  <c r="I5" i="10" s="1"/>
  <c r="F27" i="10"/>
  <c r="I23" i="10" l="1"/>
  <c r="H7" i="10"/>
  <c r="H5" i="10"/>
  <c r="J5" i="10" s="1"/>
  <c r="I8" i="10"/>
  <c r="I14" i="10"/>
  <c r="I7" i="10"/>
  <c r="I13" i="10"/>
  <c r="I26" i="10"/>
  <c r="I12" i="10"/>
  <c r="K20" i="10"/>
  <c r="K16" i="10"/>
  <c r="K12" i="10"/>
  <c r="K8" i="10"/>
  <c r="K24" i="10"/>
  <c r="K18" i="10"/>
  <c r="K15" i="10"/>
  <c r="K9" i="10"/>
  <c r="K6" i="10"/>
  <c r="K26" i="10"/>
  <c r="K22" i="10"/>
  <c r="K19" i="10"/>
  <c r="K25" i="10"/>
  <c r="K21" i="10"/>
  <c r="K13" i="10"/>
  <c r="K17" i="10"/>
  <c r="K10" i="10"/>
  <c r="K7" i="10"/>
  <c r="K11" i="10"/>
  <c r="K5" i="10"/>
  <c r="K14" i="10"/>
  <c r="K23" i="10"/>
  <c r="K27" i="10"/>
  <c r="H27" i="10"/>
  <c r="H10" i="10"/>
  <c r="H9" i="10"/>
  <c r="H22" i="10"/>
  <c r="H16" i="10"/>
  <c r="H21" i="10"/>
  <c r="H15" i="10"/>
  <c r="H24" i="10"/>
  <c r="H20" i="10"/>
  <c r="H13" i="10"/>
  <c r="H25" i="10"/>
  <c r="H18" i="10"/>
  <c r="H23" i="10"/>
  <c r="H19" i="10"/>
  <c r="H12" i="10"/>
  <c r="H14" i="10"/>
  <c r="H11" i="10"/>
  <c r="H6" i="10"/>
  <c r="H17" i="10"/>
  <c r="H26" i="10"/>
  <c r="I27" i="10"/>
  <c r="I24" i="10"/>
  <c r="I16" i="10"/>
  <c r="I6" i="10"/>
  <c r="I22" i="10"/>
  <c r="I19" i="10"/>
  <c r="I9" i="10"/>
  <c r="I20" i="10"/>
  <c r="I15" i="10"/>
  <c r="I17" i="10"/>
  <c r="I18" i="10"/>
  <c r="I25" i="10"/>
  <c r="I10" i="10"/>
  <c r="I21" i="10"/>
  <c r="H8" i="10"/>
  <c r="I11" i="10"/>
  <c r="J26" i="10" l="1"/>
  <c r="M26" i="10" s="1"/>
  <c r="O26" i="10" s="1"/>
  <c r="J24" i="10"/>
  <c r="M24" i="10" s="1"/>
  <c r="J22" i="10"/>
  <c r="M22" i="10" s="1"/>
  <c r="J19" i="10"/>
  <c r="M19" i="10" s="1"/>
  <c r="J15" i="10"/>
  <c r="M15" i="10" s="1"/>
  <c r="J11" i="10"/>
  <c r="M11" i="10" s="1"/>
  <c r="J27" i="10"/>
  <c r="M27" i="10" s="1"/>
  <c r="J25" i="10"/>
  <c r="M25" i="10" s="1"/>
  <c r="J23" i="10"/>
  <c r="M23" i="10" s="1"/>
  <c r="J21" i="10"/>
  <c r="M21" i="10" s="1"/>
  <c r="J20" i="10"/>
  <c r="M20" i="10" s="1"/>
  <c r="J14" i="10"/>
  <c r="M14" i="10" s="1"/>
  <c r="O14" i="10" s="1"/>
  <c r="J12" i="10"/>
  <c r="M12" i="10" s="1"/>
  <c r="J9" i="10"/>
  <c r="M9" i="10" s="1"/>
  <c r="J18" i="10"/>
  <c r="M18" i="10" s="1"/>
  <c r="O18" i="10" s="1"/>
  <c r="J16" i="10"/>
  <c r="M16" i="10" s="1"/>
  <c r="J13" i="10"/>
  <c r="M13" i="10" s="1"/>
  <c r="J6" i="10"/>
  <c r="M6" i="10" s="1"/>
  <c r="O6" i="10" s="1"/>
  <c r="J7" i="10"/>
  <c r="M7" i="10" s="1"/>
  <c r="J10" i="10"/>
  <c r="M10" i="10" s="1"/>
  <c r="O10" i="10" s="1"/>
  <c r="M5" i="10"/>
  <c r="O5" i="10" s="1"/>
  <c r="J17" i="10"/>
  <c r="M17" i="10" s="1"/>
  <c r="J8" i="10"/>
  <c r="M8" i="10" s="1"/>
  <c r="N8" i="10" l="1"/>
  <c r="N20" i="10"/>
  <c r="N7" i="10"/>
  <c r="S7" i="10" s="1"/>
  <c r="N22" i="10"/>
  <c r="N19" i="10"/>
  <c r="N12" i="10"/>
  <c r="N26" i="10"/>
  <c r="O17" i="10"/>
  <c r="P17" i="10" s="1"/>
  <c r="Q17" i="10"/>
  <c r="O21" i="10"/>
  <c r="X20" i="10"/>
  <c r="Q21" i="10"/>
  <c r="O24" i="10"/>
  <c r="Q24" i="10"/>
  <c r="N6" i="10"/>
  <c r="S6" i="10" s="1"/>
  <c r="N16" i="10"/>
  <c r="O13" i="10"/>
  <c r="P13" i="10" s="1"/>
  <c r="Q13" i="10"/>
  <c r="O12" i="10"/>
  <c r="Q12" i="10"/>
  <c r="Q22" i="10"/>
  <c r="O23" i="10"/>
  <c r="X22" i="10"/>
  <c r="Q23" i="10"/>
  <c r="Q14" i="10"/>
  <c r="O15" i="10"/>
  <c r="Q15" i="10"/>
  <c r="N17" i="10"/>
  <c r="N25" i="10"/>
  <c r="N18" i="10"/>
  <c r="S18" i="10" s="1"/>
  <c r="N23" i="10"/>
  <c r="N13" i="10"/>
  <c r="O9" i="10"/>
  <c r="P9" i="10" s="1"/>
  <c r="Q9" i="10"/>
  <c r="Q10" i="10"/>
  <c r="O11" i="10"/>
  <c r="Q11" i="10"/>
  <c r="P14" i="10"/>
  <c r="N10" i="10"/>
  <c r="N11" i="10"/>
  <c r="O16" i="10"/>
  <c r="Q16" i="10"/>
  <c r="R16" i="10" s="1"/>
  <c r="O25" i="10"/>
  <c r="Q25" i="10"/>
  <c r="Q18" i="10"/>
  <c r="O19" i="10"/>
  <c r="P18" i="10" s="1"/>
  <c r="X18" i="10"/>
  <c r="Q19" i="10"/>
  <c r="O8" i="10"/>
  <c r="Q8" i="10"/>
  <c r="Q6" i="10"/>
  <c r="O7" i="10"/>
  <c r="Q7" i="10"/>
  <c r="R7" i="10" s="1"/>
  <c r="O20" i="10"/>
  <c r="X19" i="10"/>
  <c r="Q20" i="10"/>
  <c r="Q26" i="10"/>
  <c r="O27" i="10"/>
  <c r="O22" i="10"/>
  <c r="X21" i="10"/>
  <c r="N9" i="10"/>
  <c r="N24" i="10"/>
  <c r="N14" i="10"/>
  <c r="N21" i="10"/>
  <c r="S21" i="10" s="1"/>
  <c r="N15" i="10"/>
  <c r="S15" i="10" s="1"/>
  <c r="N27" i="10"/>
  <c r="Q5" i="10"/>
  <c r="X12" i="10"/>
  <c r="X11" i="10"/>
  <c r="X14" i="10"/>
  <c r="N5" i="10"/>
  <c r="X13" i="10"/>
  <c r="X7" i="10"/>
  <c r="X6" i="10"/>
  <c r="X17" i="10"/>
  <c r="X9" i="10"/>
  <c r="X15" i="10"/>
  <c r="X16" i="10"/>
  <c r="X5" i="10"/>
  <c r="X8" i="10"/>
  <c r="X10" i="10"/>
  <c r="S20" i="10" l="1"/>
  <c r="S11" i="10"/>
  <c r="S24" i="10"/>
  <c r="P20" i="10"/>
  <c r="P8" i="10"/>
  <c r="R18" i="10"/>
  <c r="S19" i="10"/>
  <c r="S14" i="10"/>
  <c r="S25" i="10"/>
  <c r="R14" i="10"/>
  <c r="R20" i="10"/>
  <c r="P7" i="10"/>
  <c r="P16" i="10"/>
  <c r="R9" i="10"/>
  <c r="S26" i="10"/>
  <c r="R8" i="10"/>
  <c r="P11" i="10"/>
  <c r="S13" i="10"/>
  <c r="S17" i="10"/>
  <c r="R12" i="10"/>
  <c r="AF20" i="10"/>
  <c r="Y20" i="10"/>
  <c r="AB20" i="10"/>
  <c r="S9" i="10"/>
  <c r="R6" i="10"/>
  <c r="R19" i="10"/>
  <c r="S12" i="10"/>
  <c r="S8" i="10"/>
  <c r="R10" i="10"/>
  <c r="S23" i="10"/>
  <c r="R15" i="10"/>
  <c r="AF22" i="10"/>
  <c r="AB22" i="10"/>
  <c r="S22" i="10"/>
  <c r="P21" i="10"/>
  <c r="AB21" i="10"/>
  <c r="AF21" i="10"/>
  <c r="Y21" i="10"/>
  <c r="Y18" i="10"/>
  <c r="AB18" i="10"/>
  <c r="P10" i="10"/>
  <c r="P15" i="10"/>
  <c r="P12" i="10"/>
  <c r="R17" i="10"/>
  <c r="Z5" i="10"/>
  <c r="AA5" i="10"/>
  <c r="U5" i="10"/>
  <c r="W5" i="10" s="1"/>
  <c r="T5" i="10"/>
  <c r="V5" i="10" s="1"/>
  <c r="AF19" i="10"/>
  <c r="AG19" i="10" s="1"/>
  <c r="Y19" i="10"/>
  <c r="AB19" i="10"/>
  <c r="AC19" i="10" s="1"/>
  <c r="P19" i="10"/>
  <c r="P6" i="10"/>
  <c r="S10" i="10"/>
  <c r="R11" i="10"/>
  <c r="R13" i="10"/>
  <c r="S16" i="10"/>
  <c r="R21" i="10"/>
  <c r="S5" i="10"/>
  <c r="P5" i="10"/>
  <c r="AF8" i="10"/>
  <c r="Y8" i="10"/>
  <c r="AB8" i="10"/>
  <c r="AB15" i="10"/>
  <c r="Y15" i="10"/>
  <c r="AF15" i="10"/>
  <c r="AF7" i="10"/>
  <c r="AB7" i="10"/>
  <c r="Y7" i="10"/>
  <c r="AF18" i="10"/>
  <c r="Y6" i="10"/>
  <c r="AF6" i="10"/>
  <c r="AB6" i="10"/>
  <c r="AB14" i="10"/>
  <c r="Y14" i="10"/>
  <c r="AF14" i="10"/>
  <c r="R5" i="10"/>
  <c r="AB10" i="10"/>
  <c r="AF10" i="10"/>
  <c r="Y10" i="10"/>
  <c r="Y5" i="10"/>
  <c r="AB5" i="10"/>
  <c r="AF5" i="10"/>
  <c r="AF16" i="10"/>
  <c r="Y16" i="10"/>
  <c r="AB16" i="10"/>
  <c r="Y17" i="10"/>
  <c r="AF17" i="10"/>
  <c r="AB17" i="10"/>
  <c r="Y11" i="10"/>
  <c r="AF11" i="10"/>
  <c r="AB11" i="10"/>
  <c r="AF12" i="10"/>
  <c r="AB12" i="10"/>
  <c r="Y12" i="10"/>
  <c r="Y9" i="10"/>
  <c r="AB9" i="10"/>
  <c r="AF9" i="10"/>
  <c r="Y13" i="10"/>
  <c r="AF13" i="10"/>
  <c r="AB13" i="10"/>
  <c r="AC18" i="10" l="1"/>
  <c r="AC21" i="10"/>
  <c r="AC9" i="10"/>
  <c r="AC17" i="10"/>
  <c r="AC20" i="10"/>
  <c r="AE5" i="10"/>
  <c r="AD5" i="10"/>
  <c r="AI5" i="10"/>
  <c r="AH5" i="10"/>
  <c r="AG21" i="10"/>
  <c r="AG20" i="10"/>
  <c r="AG17" i="10"/>
  <c r="AC13" i="10"/>
  <c r="AG9" i="10"/>
  <c r="AG11" i="10"/>
  <c r="AG14" i="10"/>
  <c r="AC6" i="10"/>
  <c r="AG7" i="10"/>
  <c r="AC10" i="10"/>
  <c r="AG15" i="10"/>
  <c r="AC15" i="10"/>
  <c r="AC12" i="10"/>
  <c r="AC16" i="10"/>
  <c r="AC8" i="10"/>
  <c r="AG5" i="10"/>
  <c r="AG10" i="10"/>
  <c r="AG6" i="10"/>
  <c r="AG12" i="10"/>
  <c r="AC5" i="10"/>
  <c r="AC14" i="10"/>
  <c r="AG13" i="10"/>
  <c r="AC11" i="10"/>
  <c r="AG16" i="10"/>
  <c r="AG18" i="10"/>
  <c r="AC7" i="10"/>
  <c r="AG8" i="10"/>
  <c r="AA25" i="6" l="1"/>
  <c r="X25" i="6"/>
  <c r="AA24" i="6"/>
  <c r="X24" i="6"/>
  <c r="AA23" i="6"/>
  <c r="X23" i="6"/>
  <c r="AA22" i="6"/>
  <c r="X22" i="6"/>
  <c r="AA21" i="6"/>
  <c r="X21" i="6"/>
  <c r="AC10" i="1" l="1"/>
  <c r="AH5" i="1"/>
  <c r="AG5" i="1"/>
  <c r="K10" i="1"/>
  <c r="AI5" i="1"/>
  <c r="AJ10" i="1"/>
  <c r="AF5" i="1"/>
  <c r="AE5" i="1"/>
  <c r="AH32" i="1" s="1"/>
  <c r="O10" i="1"/>
  <c r="R10" i="1"/>
  <c r="AK10" i="1"/>
  <c r="AP5" i="1"/>
  <c r="AP94" i="1" s="1"/>
  <c r="AO5" i="1"/>
  <c r="AQ5" i="1"/>
  <c r="AQ10" i="1"/>
  <c r="AN5" i="1"/>
  <c r="AO120" i="1" s="1"/>
  <c r="AM5" i="1"/>
  <c r="B10" i="4"/>
  <c r="B3" i="6" s="1"/>
  <c r="A4" i="9" s="1"/>
  <c r="C7" i="5"/>
  <c r="E7" i="5" s="1"/>
  <c r="AC11" i="1"/>
  <c r="K11" i="1"/>
  <c r="AJ11" i="1"/>
  <c r="O11" i="1"/>
  <c r="N11" i="1" s="1"/>
  <c r="R11" i="1"/>
  <c r="AK11" i="1"/>
  <c r="AQ11" i="1"/>
  <c r="B11" i="4"/>
  <c r="B4" i="6" s="1"/>
  <c r="A5" i="9" s="1"/>
  <c r="C8" i="5"/>
  <c r="E8" i="5" s="1"/>
  <c r="AC12" i="1"/>
  <c r="K12" i="1"/>
  <c r="AJ12" i="1"/>
  <c r="O12" i="1"/>
  <c r="R12" i="1"/>
  <c r="AK12" i="1"/>
  <c r="AQ12" i="1"/>
  <c r="B12" i="4"/>
  <c r="B5" i="6" s="1"/>
  <c r="A6" i="9" s="1"/>
  <c r="AC13" i="1"/>
  <c r="K13" i="1"/>
  <c r="AJ13" i="1"/>
  <c r="O13" i="1"/>
  <c r="R13" i="1"/>
  <c r="AK13" i="1"/>
  <c r="AQ13" i="1"/>
  <c r="B13" i="4"/>
  <c r="B6" i="6" s="1"/>
  <c r="A7" i="9" s="1"/>
  <c r="AC14" i="1"/>
  <c r="K14" i="1"/>
  <c r="AJ14" i="1"/>
  <c r="O14" i="1"/>
  <c r="R14" i="1"/>
  <c r="AK14" i="1"/>
  <c r="AQ14" i="1"/>
  <c r="B14" i="4"/>
  <c r="AC15" i="1"/>
  <c r="K15" i="1"/>
  <c r="AJ15" i="1"/>
  <c r="O15" i="1"/>
  <c r="R15" i="1"/>
  <c r="AK15" i="1"/>
  <c r="AQ15" i="1"/>
  <c r="B15" i="4"/>
  <c r="B8" i="6" s="1"/>
  <c r="A9" i="9" s="1"/>
  <c r="C12" i="5"/>
  <c r="AC16" i="1"/>
  <c r="K16" i="1"/>
  <c r="AJ16" i="1"/>
  <c r="O16" i="1"/>
  <c r="R16" i="1"/>
  <c r="AK16" i="1"/>
  <c r="AQ16" i="1"/>
  <c r="B16" i="4"/>
  <c r="AC17" i="1"/>
  <c r="K17" i="1"/>
  <c r="AJ17" i="1"/>
  <c r="O17" i="1"/>
  <c r="R17" i="1"/>
  <c r="AK17" i="1"/>
  <c r="AQ17" i="1"/>
  <c r="B17" i="4"/>
  <c r="AC18" i="1"/>
  <c r="K18" i="1"/>
  <c r="AJ18" i="1"/>
  <c r="O18" i="1"/>
  <c r="R18" i="1"/>
  <c r="AK18" i="1"/>
  <c r="AQ18" i="1"/>
  <c r="B18" i="4"/>
  <c r="B11" i="6" s="1"/>
  <c r="A12" i="9" s="1"/>
  <c r="C15" i="5"/>
  <c r="E15" i="5" s="1"/>
  <c r="AC19" i="1"/>
  <c r="K19" i="1"/>
  <c r="AJ19" i="1"/>
  <c r="O19" i="1"/>
  <c r="R19" i="1"/>
  <c r="AK19" i="1"/>
  <c r="AQ19" i="1"/>
  <c r="B19" i="4"/>
  <c r="B12" i="6" s="1"/>
  <c r="A13" i="9" s="1"/>
  <c r="E3" i="9" s="1"/>
  <c r="C16" i="5"/>
  <c r="E16" i="5" s="1"/>
  <c r="AC20" i="1"/>
  <c r="K20" i="1"/>
  <c r="AJ20" i="1"/>
  <c r="O20" i="1"/>
  <c r="R20" i="1"/>
  <c r="AK20" i="1"/>
  <c r="AQ20" i="1"/>
  <c r="B20" i="4"/>
  <c r="B13" i="6" s="1"/>
  <c r="AC21" i="1"/>
  <c r="K21" i="1"/>
  <c r="AJ21" i="1"/>
  <c r="O21" i="1"/>
  <c r="R21" i="1"/>
  <c r="AK21" i="1"/>
  <c r="AQ21" i="1"/>
  <c r="B21" i="4"/>
  <c r="B14" i="6" s="1"/>
  <c r="B9" i="4"/>
  <c r="B2" i="6" s="1"/>
  <c r="A3" i="9" s="1"/>
  <c r="C6" i="5"/>
  <c r="AC9" i="1"/>
  <c r="K9" i="1"/>
  <c r="AJ9" i="1"/>
  <c r="O9" i="1"/>
  <c r="R9" i="1"/>
  <c r="AK9" i="1"/>
  <c r="AQ9" i="1"/>
  <c r="AC59" i="1"/>
  <c r="AD59" i="1"/>
  <c r="AJ59" i="1"/>
  <c r="AK59" i="1"/>
  <c r="AL59" i="1"/>
  <c r="AQ59" i="1"/>
  <c r="AS59" i="1"/>
  <c r="AT59" i="1"/>
  <c r="AZ59" i="1"/>
  <c r="BA59" i="1"/>
  <c r="BB59" i="1"/>
  <c r="BI59" i="1"/>
  <c r="BJ59" i="1"/>
  <c r="BK59" i="1"/>
  <c r="BQ59" i="1"/>
  <c r="AC60" i="1"/>
  <c r="AD60" i="1"/>
  <c r="AJ60" i="1"/>
  <c r="AK60" i="1"/>
  <c r="AL60" i="1"/>
  <c r="AQ60" i="1"/>
  <c r="AS60" i="1"/>
  <c r="AT60" i="1"/>
  <c r="AZ60" i="1"/>
  <c r="BA60" i="1"/>
  <c r="BB60" i="1"/>
  <c r="BI60" i="1"/>
  <c r="BJ60" i="1"/>
  <c r="BK60" i="1"/>
  <c r="BQ60" i="1"/>
  <c r="AC61" i="1"/>
  <c r="AD61" i="1"/>
  <c r="AJ61" i="1"/>
  <c r="AK61" i="1"/>
  <c r="AL61" i="1"/>
  <c r="AQ61" i="1"/>
  <c r="AS61" i="1"/>
  <c r="AT61" i="1"/>
  <c r="AZ61" i="1"/>
  <c r="BA61" i="1"/>
  <c r="BB61" i="1"/>
  <c r="BI61" i="1"/>
  <c r="BJ61" i="1"/>
  <c r="BK61" i="1"/>
  <c r="BQ61" i="1"/>
  <c r="AC62" i="1"/>
  <c r="AD62" i="1"/>
  <c r="AJ62" i="1"/>
  <c r="AK62" i="1"/>
  <c r="AL62" i="1"/>
  <c r="AQ62" i="1"/>
  <c r="AS62" i="1"/>
  <c r="AT62" i="1"/>
  <c r="AZ62" i="1"/>
  <c r="BA62" i="1"/>
  <c r="BB62" i="1"/>
  <c r="BI62" i="1"/>
  <c r="BJ62" i="1"/>
  <c r="BK62" i="1"/>
  <c r="BQ62" i="1"/>
  <c r="AC63" i="1"/>
  <c r="AD63" i="1"/>
  <c r="AJ63" i="1"/>
  <c r="AK63" i="1"/>
  <c r="AL63" i="1"/>
  <c r="AQ63" i="1"/>
  <c r="AS63" i="1"/>
  <c r="AT63" i="1"/>
  <c r="AZ63" i="1"/>
  <c r="BA63" i="1"/>
  <c r="BB63" i="1"/>
  <c r="BI63" i="1"/>
  <c r="BJ63" i="1"/>
  <c r="BK63" i="1"/>
  <c r="BQ63" i="1"/>
  <c r="AC64" i="1"/>
  <c r="AD64" i="1"/>
  <c r="AJ64" i="1"/>
  <c r="AK64" i="1"/>
  <c r="AL64" i="1"/>
  <c r="AQ64" i="1"/>
  <c r="AS64" i="1"/>
  <c r="AT64" i="1"/>
  <c r="AZ64" i="1"/>
  <c r="BA64" i="1"/>
  <c r="BB64" i="1"/>
  <c r="BI64" i="1"/>
  <c r="BJ64" i="1"/>
  <c r="BK64" i="1"/>
  <c r="BQ64" i="1"/>
  <c r="AC65" i="1"/>
  <c r="AD65" i="1"/>
  <c r="AJ65" i="1"/>
  <c r="AK65" i="1"/>
  <c r="AL65" i="1"/>
  <c r="AQ65" i="1"/>
  <c r="AS65" i="1"/>
  <c r="AT65" i="1"/>
  <c r="AZ65" i="1"/>
  <c r="BA65" i="1"/>
  <c r="BB65" i="1"/>
  <c r="BI65" i="1"/>
  <c r="BJ65" i="1"/>
  <c r="BK65" i="1"/>
  <c r="BQ65" i="1"/>
  <c r="AC66" i="1"/>
  <c r="AD66" i="1"/>
  <c r="AJ66" i="1"/>
  <c r="AK66" i="1"/>
  <c r="AL66" i="1"/>
  <c r="AQ66" i="1"/>
  <c r="AS66" i="1"/>
  <c r="AT66" i="1"/>
  <c r="AZ66" i="1"/>
  <c r="BA66" i="1"/>
  <c r="BB66" i="1"/>
  <c r="BI66" i="1"/>
  <c r="BJ66" i="1"/>
  <c r="BK66" i="1"/>
  <c r="BQ66" i="1"/>
  <c r="AC67" i="1"/>
  <c r="AD67" i="1"/>
  <c r="AJ67" i="1"/>
  <c r="AK67" i="1"/>
  <c r="AL67" i="1"/>
  <c r="AQ67" i="1"/>
  <c r="AS67" i="1"/>
  <c r="AT67" i="1"/>
  <c r="AZ67" i="1"/>
  <c r="BA67" i="1"/>
  <c r="BB67" i="1"/>
  <c r="BI67" i="1"/>
  <c r="BJ67" i="1"/>
  <c r="BK67" i="1"/>
  <c r="BQ67" i="1"/>
  <c r="AC68" i="1"/>
  <c r="AD68" i="1"/>
  <c r="AJ68" i="1"/>
  <c r="AK68" i="1"/>
  <c r="AL68" i="1"/>
  <c r="AQ68" i="1"/>
  <c r="AS68" i="1"/>
  <c r="AT68" i="1"/>
  <c r="AZ68" i="1"/>
  <c r="BA68" i="1"/>
  <c r="BB68" i="1"/>
  <c r="BI68" i="1"/>
  <c r="BJ68" i="1"/>
  <c r="BK68" i="1"/>
  <c r="BQ68" i="1"/>
  <c r="AC69" i="1"/>
  <c r="AD69" i="1"/>
  <c r="AJ69" i="1"/>
  <c r="AK69" i="1"/>
  <c r="AL69" i="1"/>
  <c r="AQ69" i="1"/>
  <c r="AS69" i="1"/>
  <c r="AT69" i="1"/>
  <c r="AZ69" i="1"/>
  <c r="BA69" i="1"/>
  <c r="BB69" i="1"/>
  <c r="BI69" i="1"/>
  <c r="BJ69" i="1"/>
  <c r="BK69" i="1"/>
  <c r="BQ69" i="1"/>
  <c r="AC70" i="1"/>
  <c r="AD70" i="1"/>
  <c r="AJ70" i="1"/>
  <c r="AK70" i="1"/>
  <c r="AL70" i="1"/>
  <c r="AQ70" i="1"/>
  <c r="AS70" i="1"/>
  <c r="AT70" i="1"/>
  <c r="AZ70" i="1"/>
  <c r="BA70" i="1"/>
  <c r="BB70" i="1"/>
  <c r="BI70" i="1"/>
  <c r="BJ70" i="1"/>
  <c r="BK70" i="1"/>
  <c r="BQ70" i="1"/>
  <c r="AC71" i="1"/>
  <c r="AD71" i="1"/>
  <c r="AJ71" i="1"/>
  <c r="AK71" i="1"/>
  <c r="AL71" i="1"/>
  <c r="AQ71" i="1"/>
  <c r="AS71" i="1"/>
  <c r="AT71" i="1"/>
  <c r="AZ71" i="1"/>
  <c r="BA71" i="1"/>
  <c r="BB71" i="1"/>
  <c r="BI71" i="1"/>
  <c r="BJ71" i="1"/>
  <c r="BK71" i="1"/>
  <c r="BQ71" i="1"/>
  <c r="AC72" i="1"/>
  <c r="AD72" i="1"/>
  <c r="AJ72" i="1"/>
  <c r="AK72" i="1"/>
  <c r="AL72" i="1"/>
  <c r="AQ72" i="1"/>
  <c r="AS72" i="1"/>
  <c r="AT72" i="1"/>
  <c r="AZ72" i="1"/>
  <c r="BA72" i="1"/>
  <c r="BB72" i="1"/>
  <c r="BI72" i="1"/>
  <c r="BJ72" i="1"/>
  <c r="BK72" i="1"/>
  <c r="BQ72" i="1"/>
  <c r="AC73" i="1"/>
  <c r="AD73" i="1"/>
  <c r="AJ73" i="1"/>
  <c r="AK73" i="1"/>
  <c r="AL73" i="1"/>
  <c r="AQ73" i="1"/>
  <c r="AS73" i="1"/>
  <c r="AT73" i="1"/>
  <c r="AZ73" i="1"/>
  <c r="BA73" i="1"/>
  <c r="BB73" i="1"/>
  <c r="BI73" i="1"/>
  <c r="BJ73" i="1"/>
  <c r="BK73" i="1"/>
  <c r="BQ73" i="1"/>
  <c r="AC74" i="1"/>
  <c r="AD74" i="1"/>
  <c r="AJ74" i="1"/>
  <c r="AK74" i="1"/>
  <c r="AL74" i="1"/>
  <c r="AQ74" i="1"/>
  <c r="AS74" i="1"/>
  <c r="AT74" i="1"/>
  <c r="AZ74" i="1"/>
  <c r="BA74" i="1"/>
  <c r="BB74" i="1"/>
  <c r="BI74" i="1"/>
  <c r="BJ74" i="1"/>
  <c r="BK74" i="1"/>
  <c r="BQ74" i="1"/>
  <c r="AC75" i="1"/>
  <c r="AD75" i="1"/>
  <c r="AJ75" i="1"/>
  <c r="AK75" i="1"/>
  <c r="AL75" i="1"/>
  <c r="AQ75" i="1"/>
  <c r="AS75" i="1"/>
  <c r="AT75" i="1"/>
  <c r="AZ75" i="1"/>
  <c r="BA75" i="1"/>
  <c r="BB75" i="1"/>
  <c r="BI75" i="1"/>
  <c r="BJ75" i="1"/>
  <c r="BK75" i="1"/>
  <c r="BQ75" i="1"/>
  <c r="AC76" i="1"/>
  <c r="AD76" i="1"/>
  <c r="AJ76" i="1"/>
  <c r="AK76" i="1"/>
  <c r="AL76" i="1"/>
  <c r="AQ76" i="1"/>
  <c r="AS76" i="1"/>
  <c r="AT76" i="1"/>
  <c r="AZ76" i="1"/>
  <c r="BA76" i="1"/>
  <c r="BB76" i="1"/>
  <c r="BI76" i="1"/>
  <c r="BJ76" i="1"/>
  <c r="BK76" i="1"/>
  <c r="BQ76" i="1"/>
  <c r="AC77" i="1"/>
  <c r="AD77" i="1"/>
  <c r="AJ77" i="1"/>
  <c r="AK77" i="1"/>
  <c r="AL77" i="1"/>
  <c r="AQ77" i="1"/>
  <c r="AS77" i="1"/>
  <c r="AT77" i="1"/>
  <c r="AZ77" i="1"/>
  <c r="BA77" i="1"/>
  <c r="BB77" i="1"/>
  <c r="BI77" i="1"/>
  <c r="BJ77" i="1"/>
  <c r="BK77" i="1"/>
  <c r="BQ77" i="1"/>
  <c r="AC78" i="1"/>
  <c r="AD78" i="1"/>
  <c r="AJ78" i="1"/>
  <c r="AK78" i="1"/>
  <c r="AL78" i="1"/>
  <c r="AQ78" i="1"/>
  <c r="AS78" i="1"/>
  <c r="AT78" i="1"/>
  <c r="AZ78" i="1"/>
  <c r="BA78" i="1"/>
  <c r="BB78" i="1"/>
  <c r="BI78" i="1"/>
  <c r="BJ78" i="1"/>
  <c r="BK78" i="1"/>
  <c r="BQ78" i="1"/>
  <c r="AC79" i="1"/>
  <c r="AD79" i="1"/>
  <c r="AJ79" i="1"/>
  <c r="AK79" i="1"/>
  <c r="AL79" i="1"/>
  <c r="AQ79" i="1"/>
  <c r="AS79" i="1"/>
  <c r="AT79" i="1"/>
  <c r="AZ79" i="1"/>
  <c r="BA79" i="1"/>
  <c r="BB79" i="1"/>
  <c r="BI79" i="1"/>
  <c r="BJ79" i="1"/>
  <c r="BK79" i="1"/>
  <c r="BQ79" i="1"/>
  <c r="AC80" i="1"/>
  <c r="AD80" i="1"/>
  <c r="AJ80" i="1"/>
  <c r="AK80" i="1"/>
  <c r="AL80" i="1"/>
  <c r="AQ80" i="1"/>
  <c r="AS80" i="1"/>
  <c r="AT80" i="1"/>
  <c r="AZ80" i="1"/>
  <c r="BA80" i="1"/>
  <c r="BB80" i="1"/>
  <c r="BI80" i="1"/>
  <c r="BJ80" i="1"/>
  <c r="BK80" i="1"/>
  <c r="BQ80" i="1"/>
  <c r="AC31" i="1"/>
  <c r="AD31" i="1"/>
  <c r="AJ31" i="1"/>
  <c r="AK31" i="1"/>
  <c r="AL31" i="1"/>
  <c r="AQ31" i="1"/>
  <c r="AS31" i="1"/>
  <c r="AT31" i="1"/>
  <c r="AZ31" i="1"/>
  <c r="BA31" i="1"/>
  <c r="BB31" i="1"/>
  <c r="BI31" i="1"/>
  <c r="BJ31" i="1"/>
  <c r="BK31" i="1"/>
  <c r="BQ31" i="1"/>
  <c r="AC32" i="1"/>
  <c r="AD32" i="1"/>
  <c r="AJ32" i="1"/>
  <c r="AK32" i="1"/>
  <c r="AL32" i="1"/>
  <c r="AQ32" i="1"/>
  <c r="AS32" i="1"/>
  <c r="AT32" i="1"/>
  <c r="AZ32" i="1"/>
  <c r="BA32" i="1"/>
  <c r="BB32" i="1"/>
  <c r="BI32" i="1"/>
  <c r="BJ32" i="1"/>
  <c r="BK32" i="1"/>
  <c r="BQ32" i="1"/>
  <c r="AC33" i="1"/>
  <c r="AD33" i="1"/>
  <c r="AJ33" i="1"/>
  <c r="AK33" i="1"/>
  <c r="AL33" i="1"/>
  <c r="AQ33" i="1"/>
  <c r="AS33" i="1"/>
  <c r="AT33" i="1"/>
  <c r="AZ33" i="1"/>
  <c r="BA33" i="1"/>
  <c r="BB33" i="1"/>
  <c r="BI33" i="1"/>
  <c r="BJ33" i="1"/>
  <c r="BK33" i="1"/>
  <c r="BQ33" i="1"/>
  <c r="AC34" i="1"/>
  <c r="AD34" i="1"/>
  <c r="AJ34" i="1"/>
  <c r="AK34" i="1"/>
  <c r="AL34" i="1"/>
  <c r="AQ34" i="1"/>
  <c r="AS34" i="1"/>
  <c r="AT34" i="1"/>
  <c r="AZ34" i="1"/>
  <c r="BA34" i="1"/>
  <c r="BB34" i="1"/>
  <c r="BI34" i="1"/>
  <c r="BJ34" i="1"/>
  <c r="BK34" i="1"/>
  <c r="BQ34" i="1"/>
  <c r="AC35" i="1"/>
  <c r="AD35" i="1"/>
  <c r="AJ35" i="1"/>
  <c r="AK35" i="1"/>
  <c r="AL35" i="1"/>
  <c r="AQ35" i="1"/>
  <c r="AS35" i="1"/>
  <c r="AT35" i="1"/>
  <c r="AZ35" i="1"/>
  <c r="BA35" i="1"/>
  <c r="BB35" i="1"/>
  <c r="BI35" i="1"/>
  <c r="BJ35" i="1"/>
  <c r="BK35" i="1"/>
  <c r="BQ35" i="1"/>
  <c r="AC36" i="1"/>
  <c r="AD36" i="1"/>
  <c r="AJ36" i="1"/>
  <c r="AK36" i="1"/>
  <c r="AL36" i="1"/>
  <c r="AQ36" i="1"/>
  <c r="AS36" i="1"/>
  <c r="AT36" i="1"/>
  <c r="AZ36" i="1"/>
  <c r="BA36" i="1"/>
  <c r="BB36" i="1"/>
  <c r="BI36" i="1"/>
  <c r="BJ36" i="1"/>
  <c r="BK36" i="1"/>
  <c r="BQ36" i="1"/>
  <c r="AC37" i="1"/>
  <c r="AD37" i="1"/>
  <c r="AJ37" i="1"/>
  <c r="AK37" i="1"/>
  <c r="AL37" i="1"/>
  <c r="AQ37" i="1"/>
  <c r="AS37" i="1"/>
  <c r="AT37" i="1"/>
  <c r="AZ37" i="1"/>
  <c r="BA37" i="1"/>
  <c r="BB37" i="1"/>
  <c r="BI37" i="1"/>
  <c r="BJ37" i="1"/>
  <c r="BK37" i="1"/>
  <c r="BQ37" i="1"/>
  <c r="AC38" i="1"/>
  <c r="AD38" i="1"/>
  <c r="AJ38" i="1"/>
  <c r="AK38" i="1"/>
  <c r="AL38" i="1"/>
  <c r="AQ38" i="1"/>
  <c r="AS38" i="1"/>
  <c r="AT38" i="1"/>
  <c r="AZ38" i="1"/>
  <c r="BA38" i="1"/>
  <c r="BB38" i="1"/>
  <c r="BI38" i="1"/>
  <c r="BJ38" i="1"/>
  <c r="BK38" i="1"/>
  <c r="BQ38" i="1"/>
  <c r="AC39" i="1"/>
  <c r="AD39" i="1"/>
  <c r="AJ39" i="1"/>
  <c r="AK39" i="1"/>
  <c r="AL39" i="1"/>
  <c r="AQ39" i="1"/>
  <c r="AS39" i="1"/>
  <c r="AT39" i="1"/>
  <c r="AZ39" i="1"/>
  <c r="BA39" i="1"/>
  <c r="BB39" i="1"/>
  <c r="BI39" i="1"/>
  <c r="BJ39" i="1"/>
  <c r="BK39" i="1"/>
  <c r="BQ39" i="1"/>
  <c r="AC40" i="1"/>
  <c r="AD40" i="1"/>
  <c r="AJ40" i="1"/>
  <c r="AK40" i="1"/>
  <c r="AL40" i="1"/>
  <c r="AQ40" i="1"/>
  <c r="AS40" i="1"/>
  <c r="AT40" i="1"/>
  <c r="AZ40" i="1"/>
  <c r="BA40" i="1"/>
  <c r="BB40" i="1"/>
  <c r="BI40" i="1"/>
  <c r="BJ40" i="1"/>
  <c r="BK40" i="1"/>
  <c r="BQ40" i="1"/>
  <c r="AC41" i="1"/>
  <c r="AD41" i="1"/>
  <c r="AJ41" i="1"/>
  <c r="AK41" i="1"/>
  <c r="AL41" i="1"/>
  <c r="AQ41" i="1"/>
  <c r="AS41" i="1"/>
  <c r="AT41" i="1"/>
  <c r="AZ41" i="1"/>
  <c r="BA41" i="1"/>
  <c r="BB41" i="1"/>
  <c r="BI41" i="1"/>
  <c r="BJ41" i="1"/>
  <c r="BK41" i="1"/>
  <c r="BQ41" i="1"/>
  <c r="AC42" i="1"/>
  <c r="AD42" i="1"/>
  <c r="AJ42" i="1"/>
  <c r="AK42" i="1"/>
  <c r="AL42" i="1"/>
  <c r="AQ42" i="1"/>
  <c r="AS42" i="1"/>
  <c r="AT42" i="1"/>
  <c r="AZ42" i="1"/>
  <c r="BA42" i="1"/>
  <c r="BB42" i="1"/>
  <c r="BI42" i="1"/>
  <c r="BJ42" i="1"/>
  <c r="BK42" i="1"/>
  <c r="BQ42" i="1"/>
  <c r="AC43" i="1"/>
  <c r="AD43" i="1"/>
  <c r="AJ43" i="1"/>
  <c r="AK43" i="1"/>
  <c r="AL43" i="1"/>
  <c r="AQ43" i="1"/>
  <c r="AS43" i="1"/>
  <c r="AT43" i="1"/>
  <c r="AZ43" i="1"/>
  <c r="BA43" i="1"/>
  <c r="BB43" i="1"/>
  <c r="BI43" i="1"/>
  <c r="BJ43" i="1"/>
  <c r="BK43" i="1"/>
  <c r="BQ43" i="1"/>
  <c r="AC44" i="1"/>
  <c r="AD44" i="1"/>
  <c r="AJ44" i="1"/>
  <c r="AK44" i="1"/>
  <c r="AL44" i="1"/>
  <c r="AQ44" i="1"/>
  <c r="AS44" i="1"/>
  <c r="AT44" i="1"/>
  <c r="AZ44" i="1"/>
  <c r="BA44" i="1"/>
  <c r="BB44" i="1"/>
  <c r="BI44" i="1"/>
  <c r="BJ44" i="1"/>
  <c r="BK44" i="1"/>
  <c r="BQ44" i="1"/>
  <c r="AC45" i="1"/>
  <c r="AD45" i="1"/>
  <c r="AJ45" i="1"/>
  <c r="AK45" i="1"/>
  <c r="AL45" i="1"/>
  <c r="AQ45" i="1"/>
  <c r="AS45" i="1"/>
  <c r="AT45" i="1"/>
  <c r="AZ45" i="1"/>
  <c r="BA45" i="1"/>
  <c r="BB45" i="1"/>
  <c r="BI45" i="1"/>
  <c r="BJ45" i="1"/>
  <c r="BK45" i="1"/>
  <c r="BQ45" i="1"/>
  <c r="AC46" i="1"/>
  <c r="AD46" i="1"/>
  <c r="AJ46" i="1"/>
  <c r="AK46" i="1"/>
  <c r="AL46" i="1"/>
  <c r="AQ46" i="1"/>
  <c r="AS46" i="1"/>
  <c r="AT46" i="1"/>
  <c r="AZ46" i="1"/>
  <c r="BA46" i="1"/>
  <c r="BB46" i="1"/>
  <c r="BI46" i="1"/>
  <c r="BJ46" i="1"/>
  <c r="BK46" i="1"/>
  <c r="BQ46" i="1"/>
  <c r="AC47" i="1"/>
  <c r="AD47" i="1"/>
  <c r="AJ47" i="1"/>
  <c r="AK47" i="1"/>
  <c r="AL47" i="1"/>
  <c r="AQ47" i="1"/>
  <c r="AS47" i="1"/>
  <c r="AT47" i="1"/>
  <c r="AZ47" i="1"/>
  <c r="BA47" i="1"/>
  <c r="BB47" i="1"/>
  <c r="BI47" i="1"/>
  <c r="BJ47" i="1"/>
  <c r="BK47" i="1"/>
  <c r="BQ47" i="1"/>
  <c r="AC48" i="1"/>
  <c r="AD48" i="1"/>
  <c r="AJ48" i="1"/>
  <c r="AK48" i="1"/>
  <c r="AL48" i="1"/>
  <c r="AQ48" i="1"/>
  <c r="AS48" i="1"/>
  <c r="AT48" i="1"/>
  <c r="AZ48" i="1"/>
  <c r="BA48" i="1"/>
  <c r="BB48" i="1"/>
  <c r="BI48" i="1"/>
  <c r="BJ48" i="1"/>
  <c r="BK48" i="1"/>
  <c r="BQ48" i="1"/>
  <c r="AC49" i="1"/>
  <c r="AD49" i="1"/>
  <c r="AJ49" i="1"/>
  <c r="AK49" i="1"/>
  <c r="AL49" i="1"/>
  <c r="AQ49" i="1"/>
  <c r="AS49" i="1"/>
  <c r="AT49" i="1"/>
  <c r="AZ49" i="1"/>
  <c r="BA49" i="1"/>
  <c r="BB49" i="1"/>
  <c r="BI49" i="1"/>
  <c r="BJ49" i="1"/>
  <c r="BK49" i="1"/>
  <c r="BQ49" i="1"/>
  <c r="AC50" i="1"/>
  <c r="AD50" i="1"/>
  <c r="AJ50" i="1"/>
  <c r="AK50" i="1"/>
  <c r="AL50" i="1"/>
  <c r="AQ50" i="1"/>
  <c r="AS50" i="1"/>
  <c r="AT50" i="1"/>
  <c r="AZ50" i="1"/>
  <c r="BA50" i="1"/>
  <c r="BB50" i="1"/>
  <c r="BI50" i="1"/>
  <c r="BJ50" i="1"/>
  <c r="BK50" i="1"/>
  <c r="BQ50" i="1"/>
  <c r="AC51" i="1"/>
  <c r="AD51" i="1"/>
  <c r="AJ51" i="1"/>
  <c r="AK51" i="1"/>
  <c r="AL51" i="1"/>
  <c r="AQ51" i="1"/>
  <c r="AS51" i="1"/>
  <c r="AT51" i="1"/>
  <c r="AZ51" i="1"/>
  <c r="BA51" i="1"/>
  <c r="BB51" i="1"/>
  <c r="BI51" i="1"/>
  <c r="BJ51" i="1"/>
  <c r="BK51" i="1"/>
  <c r="BQ51" i="1"/>
  <c r="AC52" i="1"/>
  <c r="AD52" i="1"/>
  <c r="AJ52" i="1"/>
  <c r="AK52" i="1"/>
  <c r="AL52" i="1"/>
  <c r="AQ52" i="1"/>
  <c r="AS52" i="1"/>
  <c r="AT52" i="1"/>
  <c r="AZ52" i="1"/>
  <c r="BA52" i="1"/>
  <c r="BB52" i="1"/>
  <c r="BI52" i="1"/>
  <c r="BJ52" i="1"/>
  <c r="BK52" i="1"/>
  <c r="BQ52" i="1"/>
  <c r="AC53" i="1"/>
  <c r="AD53" i="1"/>
  <c r="AJ53" i="1"/>
  <c r="AK53" i="1"/>
  <c r="AL53" i="1"/>
  <c r="AQ53" i="1"/>
  <c r="AS53" i="1"/>
  <c r="AT53" i="1"/>
  <c r="AZ53" i="1"/>
  <c r="BA53" i="1"/>
  <c r="BB53" i="1"/>
  <c r="BI53" i="1"/>
  <c r="BJ53" i="1"/>
  <c r="BK53" i="1"/>
  <c r="BQ53" i="1"/>
  <c r="AC54" i="1"/>
  <c r="AD54" i="1"/>
  <c r="AJ54" i="1"/>
  <c r="AK54" i="1"/>
  <c r="AL54" i="1"/>
  <c r="AQ54" i="1"/>
  <c r="AS54" i="1"/>
  <c r="AT54" i="1"/>
  <c r="AZ54" i="1"/>
  <c r="BA54" i="1"/>
  <c r="BB54" i="1"/>
  <c r="BI54" i="1"/>
  <c r="BJ54" i="1"/>
  <c r="BK54" i="1"/>
  <c r="BQ54" i="1"/>
  <c r="AC55" i="1"/>
  <c r="AD55" i="1"/>
  <c r="AJ55" i="1"/>
  <c r="AK55" i="1"/>
  <c r="AL55" i="1"/>
  <c r="AQ55" i="1"/>
  <c r="AS55" i="1"/>
  <c r="AT55" i="1"/>
  <c r="AZ55" i="1"/>
  <c r="BA55" i="1"/>
  <c r="BB55" i="1"/>
  <c r="BI55" i="1"/>
  <c r="BJ55" i="1"/>
  <c r="BK55" i="1"/>
  <c r="BQ55" i="1"/>
  <c r="AC56" i="1"/>
  <c r="AD56" i="1"/>
  <c r="AJ56" i="1"/>
  <c r="AK56" i="1"/>
  <c r="AL56" i="1"/>
  <c r="AQ56" i="1"/>
  <c r="AS56" i="1"/>
  <c r="AT56" i="1"/>
  <c r="AZ56" i="1"/>
  <c r="BA56" i="1"/>
  <c r="BB56" i="1"/>
  <c r="BI56" i="1"/>
  <c r="BJ56" i="1"/>
  <c r="BK56" i="1"/>
  <c r="BQ56" i="1"/>
  <c r="AC57" i="1"/>
  <c r="AD57" i="1"/>
  <c r="AJ57" i="1"/>
  <c r="AK57" i="1"/>
  <c r="AL57" i="1"/>
  <c r="AQ57" i="1"/>
  <c r="AS57" i="1"/>
  <c r="AT57" i="1"/>
  <c r="AZ57" i="1"/>
  <c r="BA57" i="1"/>
  <c r="BB57" i="1"/>
  <c r="BI57" i="1"/>
  <c r="BJ57" i="1"/>
  <c r="BK57" i="1"/>
  <c r="BQ57" i="1"/>
  <c r="AC58" i="1"/>
  <c r="AD58" i="1"/>
  <c r="AJ58" i="1"/>
  <c r="AK58" i="1"/>
  <c r="AL58" i="1"/>
  <c r="AQ58" i="1"/>
  <c r="AS58" i="1"/>
  <c r="AT58" i="1"/>
  <c r="AZ58" i="1"/>
  <c r="BA58" i="1"/>
  <c r="BB58" i="1"/>
  <c r="BI58" i="1"/>
  <c r="BJ58" i="1"/>
  <c r="BK58" i="1"/>
  <c r="BQ58" i="1"/>
  <c r="AD10" i="1"/>
  <c r="AL10" i="1"/>
  <c r="AS10" i="1"/>
  <c r="AT10" i="1"/>
  <c r="AZ10" i="1"/>
  <c r="BA10" i="1"/>
  <c r="BB10" i="1"/>
  <c r="BI10" i="1"/>
  <c r="BJ10" i="1"/>
  <c r="BK10" i="1"/>
  <c r="BQ10" i="1"/>
  <c r="AD11" i="1"/>
  <c r="AL11" i="1"/>
  <c r="AS11" i="1"/>
  <c r="AT11" i="1"/>
  <c r="AZ11" i="1"/>
  <c r="BA11" i="1"/>
  <c r="BB11" i="1"/>
  <c r="BI11" i="1"/>
  <c r="BJ11" i="1"/>
  <c r="BK11" i="1"/>
  <c r="BQ11" i="1"/>
  <c r="AD12" i="1"/>
  <c r="AL12" i="1"/>
  <c r="AS12" i="1"/>
  <c r="AT12" i="1"/>
  <c r="AZ12" i="1"/>
  <c r="BA12" i="1"/>
  <c r="BB12" i="1"/>
  <c r="BI12" i="1"/>
  <c r="BJ12" i="1"/>
  <c r="BK12" i="1"/>
  <c r="BQ12" i="1"/>
  <c r="AD13" i="1"/>
  <c r="AL13" i="1"/>
  <c r="AS13" i="1"/>
  <c r="AT13" i="1"/>
  <c r="AZ13" i="1"/>
  <c r="BA13" i="1"/>
  <c r="BB13" i="1"/>
  <c r="BI13" i="1"/>
  <c r="BJ13" i="1"/>
  <c r="BK13" i="1"/>
  <c r="BQ13" i="1"/>
  <c r="AD14" i="1"/>
  <c r="AL14" i="1"/>
  <c r="AS14" i="1"/>
  <c r="AT14" i="1"/>
  <c r="AZ14" i="1"/>
  <c r="BA14" i="1"/>
  <c r="BB14" i="1"/>
  <c r="BI14" i="1"/>
  <c r="BJ14" i="1"/>
  <c r="BK14" i="1"/>
  <c r="BQ14" i="1"/>
  <c r="AD15" i="1"/>
  <c r="AL15" i="1"/>
  <c r="AS15" i="1"/>
  <c r="AT15" i="1"/>
  <c r="AZ15" i="1"/>
  <c r="BA15" i="1"/>
  <c r="BB15" i="1"/>
  <c r="BI15" i="1"/>
  <c r="BJ15" i="1"/>
  <c r="BK15" i="1"/>
  <c r="BQ15" i="1"/>
  <c r="AD16" i="1"/>
  <c r="AL16" i="1"/>
  <c r="AS16" i="1"/>
  <c r="AT16" i="1"/>
  <c r="AZ16" i="1"/>
  <c r="BA16" i="1"/>
  <c r="BB16" i="1"/>
  <c r="BI16" i="1"/>
  <c r="BJ16" i="1"/>
  <c r="BK16" i="1"/>
  <c r="BQ16" i="1"/>
  <c r="AD17" i="1"/>
  <c r="AL17" i="1"/>
  <c r="AS17" i="1"/>
  <c r="AT17" i="1"/>
  <c r="AZ17" i="1"/>
  <c r="BA17" i="1"/>
  <c r="BB17" i="1"/>
  <c r="BI17" i="1"/>
  <c r="BJ17" i="1"/>
  <c r="BK17" i="1"/>
  <c r="BQ17" i="1"/>
  <c r="AD18" i="1"/>
  <c r="AL18" i="1"/>
  <c r="AS18" i="1"/>
  <c r="AT18" i="1"/>
  <c r="AZ18" i="1"/>
  <c r="BA18" i="1"/>
  <c r="BB18" i="1"/>
  <c r="BI18" i="1"/>
  <c r="BJ18" i="1"/>
  <c r="BK18" i="1"/>
  <c r="BQ18" i="1"/>
  <c r="AD19" i="1"/>
  <c r="AL19" i="1"/>
  <c r="AS19" i="1"/>
  <c r="AT19" i="1"/>
  <c r="AZ19" i="1"/>
  <c r="BA19" i="1"/>
  <c r="BB19" i="1"/>
  <c r="BI19" i="1"/>
  <c r="BJ19" i="1"/>
  <c r="BK19" i="1"/>
  <c r="BQ19" i="1"/>
  <c r="AD20" i="1"/>
  <c r="AL20" i="1"/>
  <c r="AS20" i="1"/>
  <c r="AT20" i="1"/>
  <c r="AZ20" i="1"/>
  <c r="BA20" i="1"/>
  <c r="BB20" i="1"/>
  <c r="BI20" i="1"/>
  <c r="BJ20" i="1"/>
  <c r="BK20" i="1"/>
  <c r="BQ20" i="1"/>
  <c r="AD21" i="1"/>
  <c r="AL21" i="1"/>
  <c r="AS21" i="1"/>
  <c r="AT21" i="1"/>
  <c r="AZ21" i="1"/>
  <c r="BA21" i="1"/>
  <c r="BB21" i="1"/>
  <c r="BI21" i="1"/>
  <c r="BJ21" i="1"/>
  <c r="BK21" i="1"/>
  <c r="BQ21" i="1"/>
  <c r="AC22" i="1"/>
  <c r="AD22" i="1"/>
  <c r="AJ22" i="1"/>
  <c r="AK22" i="1"/>
  <c r="AL22" i="1"/>
  <c r="AQ22" i="1"/>
  <c r="AS22" i="1"/>
  <c r="AT22" i="1"/>
  <c r="AZ22" i="1"/>
  <c r="BA22" i="1"/>
  <c r="BB22" i="1"/>
  <c r="BI22" i="1"/>
  <c r="BJ22" i="1"/>
  <c r="BK22" i="1"/>
  <c r="BQ22" i="1"/>
  <c r="AC23" i="1"/>
  <c r="AD23" i="1"/>
  <c r="AJ23" i="1"/>
  <c r="AK23" i="1"/>
  <c r="AL23" i="1"/>
  <c r="AQ23" i="1"/>
  <c r="AS23" i="1"/>
  <c r="AT23" i="1"/>
  <c r="AZ23" i="1"/>
  <c r="BA23" i="1"/>
  <c r="BB23" i="1"/>
  <c r="BI23" i="1"/>
  <c r="BJ23" i="1"/>
  <c r="BK23" i="1"/>
  <c r="BQ23" i="1"/>
  <c r="AC24" i="1"/>
  <c r="AD24" i="1"/>
  <c r="AJ24" i="1"/>
  <c r="AK24" i="1"/>
  <c r="AL24" i="1"/>
  <c r="AQ24" i="1"/>
  <c r="AS24" i="1"/>
  <c r="AT24" i="1"/>
  <c r="AZ24" i="1"/>
  <c r="BA24" i="1"/>
  <c r="BB24" i="1"/>
  <c r="BI24" i="1"/>
  <c r="BJ24" i="1"/>
  <c r="BK24" i="1"/>
  <c r="BQ24" i="1"/>
  <c r="AC25" i="1"/>
  <c r="AD25" i="1"/>
  <c r="AJ25" i="1"/>
  <c r="AK25" i="1"/>
  <c r="AL25" i="1"/>
  <c r="AQ25" i="1"/>
  <c r="AS25" i="1"/>
  <c r="AT25" i="1"/>
  <c r="AZ25" i="1"/>
  <c r="BA25" i="1"/>
  <c r="BB25" i="1"/>
  <c r="BI25" i="1"/>
  <c r="BJ25" i="1"/>
  <c r="BK25" i="1"/>
  <c r="BQ25" i="1"/>
  <c r="AC26" i="1"/>
  <c r="AD26" i="1"/>
  <c r="AJ26" i="1"/>
  <c r="AK26" i="1"/>
  <c r="AL26" i="1"/>
  <c r="AQ26" i="1"/>
  <c r="AS26" i="1"/>
  <c r="AT26" i="1"/>
  <c r="AZ26" i="1"/>
  <c r="BA26" i="1"/>
  <c r="BB26" i="1"/>
  <c r="BI26" i="1"/>
  <c r="BJ26" i="1"/>
  <c r="BK26" i="1"/>
  <c r="BQ26" i="1"/>
  <c r="AC27" i="1"/>
  <c r="AD27" i="1"/>
  <c r="AJ27" i="1"/>
  <c r="AK27" i="1"/>
  <c r="AL27" i="1"/>
  <c r="AQ27" i="1"/>
  <c r="AS27" i="1"/>
  <c r="AT27" i="1"/>
  <c r="AZ27" i="1"/>
  <c r="BA27" i="1"/>
  <c r="BB27" i="1"/>
  <c r="BI27" i="1"/>
  <c r="BJ27" i="1"/>
  <c r="BK27" i="1"/>
  <c r="BQ27" i="1"/>
  <c r="AC28" i="1"/>
  <c r="AD28" i="1"/>
  <c r="AJ28" i="1"/>
  <c r="AK28" i="1"/>
  <c r="AL28" i="1"/>
  <c r="AQ28" i="1"/>
  <c r="AS28" i="1"/>
  <c r="AT28" i="1"/>
  <c r="AZ28" i="1"/>
  <c r="BA28" i="1"/>
  <c r="BB28" i="1"/>
  <c r="BI28" i="1"/>
  <c r="BJ28" i="1"/>
  <c r="BK28" i="1"/>
  <c r="BQ28" i="1"/>
  <c r="AC29" i="1"/>
  <c r="AD29" i="1"/>
  <c r="AJ29" i="1"/>
  <c r="AK29" i="1"/>
  <c r="AL29" i="1"/>
  <c r="AQ29" i="1"/>
  <c r="AS29" i="1"/>
  <c r="AT29" i="1"/>
  <c r="AZ29" i="1"/>
  <c r="BA29" i="1"/>
  <c r="BB29" i="1"/>
  <c r="BI29" i="1"/>
  <c r="BJ29" i="1"/>
  <c r="BK29" i="1"/>
  <c r="BQ29" i="1"/>
  <c r="AC30" i="1"/>
  <c r="AD30" i="1"/>
  <c r="AJ30" i="1"/>
  <c r="AK30" i="1"/>
  <c r="AL30" i="1"/>
  <c r="AQ30" i="1"/>
  <c r="AS30" i="1"/>
  <c r="AT30" i="1"/>
  <c r="AZ30" i="1"/>
  <c r="BA30" i="1"/>
  <c r="BB30" i="1"/>
  <c r="BI30" i="1"/>
  <c r="BJ30" i="1"/>
  <c r="BK30" i="1"/>
  <c r="BQ30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L10" i="1"/>
  <c r="L11" i="1"/>
  <c r="L12" i="1"/>
  <c r="L13" i="1"/>
  <c r="W13" i="4"/>
  <c r="L14" i="1"/>
  <c r="L15" i="1"/>
  <c r="L16" i="1"/>
  <c r="L17" i="1"/>
  <c r="W17" i="4"/>
  <c r="L18" i="1"/>
  <c r="L19" i="1"/>
  <c r="L20" i="1"/>
  <c r="L21" i="1"/>
  <c r="K22" i="1"/>
  <c r="L22" i="1"/>
  <c r="O22" i="1"/>
  <c r="K23" i="1"/>
  <c r="L23" i="1"/>
  <c r="O23" i="1"/>
  <c r="K24" i="1"/>
  <c r="L24" i="1"/>
  <c r="O24" i="1"/>
  <c r="K25" i="1"/>
  <c r="L25" i="1"/>
  <c r="O25" i="1"/>
  <c r="K26" i="1"/>
  <c r="L26" i="1"/>
  <c r="O26" i="1"/>
  <c r="K27" i="1"/>
  <c r="L27" i="1"/>
  <c r="O27" i="1"/>
  <c r="K28" i="1"/>
  <c r="L28" i="1"/>
  <c r="O28" i="1"/>
  <c r="K29" i="1"/>
  <c r="L29" i="1"/>
  <c r="O29" i="1"/>
  <c r="K30" i="1"/>
  <c r="L30" i="1"/>
  <c r="O30" i="1"/>
  <c r="K31" i="1"/>
  <c r="L31" i="1"/>
  <c r="O31" i="1"/>
  <c r="K32" i="1"/>
  <c r="L32" i="1"/>
  <c r="O32" i="1"/>
  <c r="K33" i="1"/>
  <c r="L33" i="1"/>
  <c r="O33" i="1"/>
  <c r="K34" i="1"/>
  <c r="L34" i="1"/>
  <c r="W34" i="4"/>
  <c r="O34" i="1"/>
  <c r="K35" i="1"/>
  <c r="L35" i="1"/>
  <c r="W35" i="4"/>
  <c r="O35" i="1"/>
  <c r="K36" i="1"/>
  <c r="L36" i="1"/>
  <c r="O36" i="1"/>
  <c r="K37" i="1"/>
  <c r="L37" i="1"/>
  <c r="O37" i="1"/>
  <c r="K38" i="1"/>
  <c r="L38" i="1"/>
  <c r="W38" i="4"/>
  <c r="O38" i="1"/>
  <c r="K39" i="1"/>
  <c r="L39" i="1"/>
  <c r="O39" i="1"/>
  <c r="K40" i="1"/>
  <c r="L40" i="1"/>
  <c r="O40" i="1"/>
  <c r="K41" i="1"/>
  <c r="L41" i="1"/>
  <c r="O41" i="1"/>
  <c r="K42" i="1"/>
  <c r="L42" i="1"/>
  <c r="O42" i="1"/>
  <c r="K43" i="1"/>
  <c r="L43" i="1"/>
  <c r="O43" i="1"/>
  <c r="K44" i="1"/>
  <c r="L44" i="1"/>
  <c r="O44" i="1"/>
  <c r="K45" i="1"/>
  <c r="L45" i="1"/>
  <c r="O45" i="1"/>
  <c r="K46" i="1"/>
  <c r="L46" i="1"/>
  <c r="O46" i="1"/>
  <c r="K47" i="1"/>
  <c r="L47" i="1"/>
  <c r="O47" i="1"/>
  <c r="K48" i="1"/>
  <c r="L48" i="1"/>
  <c r="O48" i="1"/>
  <c r="K49" i="1"/>
  <c r="L49" i="1"/>
  <c r="O49" i="1"/>
  <c r="K50" i="1"/>
  <c r="L50" i="1"/>
  <c r="V50" i="4"/>
  <c r="O50" i="1"/>
  <c r="N50" i="1" s="1"/>
  <c r="K51" i="1"/>
  <c r="L51" i="1"/>
  <c r="O51" i="1"/>
  <c r="K52" i="1"/>
  <c r="L52" i="1"/>
  <c r="O52" i="1"/>
  <c r="K53" i="1"/>
  <c r="L53" i="1"/>
  <c r="O53" i="1"/>
  <c r="K54" i="1"/>
  <c r="L54" i="1"/>
  <c r="O54" i="1"/>
  <c r="K55" i="1"/>
  <c r="L55" i="1"/>
  <c r="O55" i="1"/>
  <c r="K56" i="1"/>
  <c r="L56" i="1"/>
  <c r="V56" i="4"/>
  <c r="O56" i="1"/>
  <c r="K57" i="1"/>
  <c r="L57" i="1"/>
  <c r="W57" i="4"/>
  <c r="O57" i="1"/>
  <c r="N57" i="1" s="1"/>
  <c r="K58" i="1"/>
  <c r="L58" i="1"/>
  <c r="O58" i="1"/>
  <c r="N58" i="1" s="1"/>
  <c r="K59" i="1"/>
  <c r="L59" i="1"/>
  <c r="V59" i="4"/>
  <c r="O59" i="1"/>
  <c r="K60" i="1"/>
  <c r="L60" i="1"/>
  <c r="W60" i="4"/>
  <c r="O60" i="1"/>
  <c r="N60" i="1" s="1"/>
  <c r="K61" i="1"/>
  <c r="L61" i="1"/>
  <c r="W61" i="4"/>
  <c r="O61" i="1"/>
  <c r="K62" i="1"/>
  <c r="L62" i="1"/>
  <c r="O62" i="1"/>
  <c r="N62" i="1" s="1"/>
  <c r="K63" i="1"/>
  <c r="L63" i="1"/>
  <c r="O63" i="1"/>
  <c r="K64" i="1"/>
  <c r="L64" i="1"/>
  <c r="O64" i="1"/>
  <c r="K65" i="1"/>
  <c r="L65" i="1"/>
  <c r="O65" i="1"/>
  <c r="K66" i="1"/>
  <c r="L66" i="1"/>
  <c r="V66" i="4"/>
  <c r="O66" i="1"/>
  <c r="N66" i="1" s="1"/>
  <c r="K67" i="1"/>
  <c r="L67" i="1"/>
  <c r="V67" i="4"/>
  <c r="O67" i="1"/>
  <c r="K68" i="1"/>
  <c r="L68" i="1"/>
  <c r="V68" i="4"/>
  <c r="O68" i="1"/>
  <c r="K69" i="1"/>
  <c r="L69" i="1"/>
  <c r="V69" i="4"/>
  <c r="O69" i="1"/>
  <c r="K70" i="1"/>
  <c r="L70" i="1"/>
  <c r="O70" i="1"/>
  <c r="K71" i="1"/>
  <c r="L71" i="1"/>
  <c r="O71" i="1"/>
  <c r="N71" i="1" s="1"/>
  <c r="K72" i="1"/>
  <c r="L72" i="1"/>
  <c r="O72" i="1"/>
  <c r="K73" i="1"/>
  <c r="L73" i="1"/>
  <c r="O73" i="1"/>
  <c r="K74" i="1"/>
  <c r="L74" i="1"/>
  <c r="V74" i="4"/>
  <c r="O74" i="1"/>
  <c r="K75" i="1"/>
  <c r="L75" i="1"/>
  <c r="V75" i="4"/>
  <c r="O75" i="1"/>
  <c r="K76" i="1"/>
  <c r="L76" i="1"/>
  <c r="O76" i="1"/>
  <c r="K77" i="1"/>
  <c r="L77" i="1"/>
  <c r="O77" i="1"/>
  <c r="N77" i="1" s="1"/>
  <c r="K78" i="1"/>
  <c r="L78" i="1"/>
  <c r="O78" i="1"/>
  <c r="K79" i="1"/>
  <c r="L79" i="1"/>
  <c r="O79" i="1"/>
  <c r="K80" i="1"/>
  <c r="L80" i="1"/>
  <c r="O80" i="1"/>
  <c r="N80" i="1" s="1"/>
  <c r="K81" i="1"/>
  <c r="L81" i="1"/>
  <c r="O81" i="1"/>
  <c r="K82" i="1"/>
  <c r="L82" i="1"/>
  <c r="O82" i="1"/>
  <c r="K83" i="1"/>
  <c r="L83" i="1"/>
  <c r="O83" i="1"/>
  <c r="K84" i="1"/>
  <c r="L84" i="1"/>
  <c r="O84" i="1"/>
  <c r="K85" i="1"/>
  <c r="L85" i="1"/>
  <c r="O85" i="1"/>
  <c r="K86" i="1"/>
  <c r="N86" i="1" s="1"/>
  <c r="L86" i="1"/>
  <c r="O86" i="1"/>
  <c r="K87" i="1"/>
  <c r="L87" i="1"/>
  <c r="O87" i="1"/>
  <c r="K88" i="1"/>
  <c r="L88" i="1"/>
  <c r="O88" i="1"/>
  <c r="K89" i="1"/>
  <c r="L89" i="1"/>
  <c r="O89" i="1"/>
  <c r="K90" i="1"/>
  <c r="L90" i="1"/>
  <c r="O90" i="1"/>
  <c r="N90" i="1" s="1"/>
  <c r="K91" i="1"/>
  <c r="L91" i="1"/>
  <c r="O91" i="1"/>
  <c r="N91" i="1" s="1"/>
  <c r="K92" i="1"/>
  <c r="AH92" i="1" s="1"/>
  <c r="L92" i="1"/>
  <c r="O92" i="1"/>
  <c r="K93" i="1"/>
  <c r="L93" i="1"/>
  <c r="O93" i="1"/>
  <c r="K94" i="1"/>
  <c r="L94" i="1"/>
  <c r="O94" i="1"/>
  <c r="N94" i="1" s="1"/>
  <c r="K95" i="1"/>
  <c r="L95" i="1"/>
  <c r="O95" i="1"/>
  <c r="K96" i="1"/>
  <c r="L96" i="1"/>
  <c r="O96" i="1"/>
  <c r="K97" i="1"/>
  <c r="L97" i="1"/>
  <c r="O97" i="1"/>
  <c r="K98" i="1"/>
  <c r="L98" i="1"/>
  <c r="O98" i="1"/>
  <c r="K99" i="1"/>
  <c r="L99" i="1"/>
  <c r="O99" i="1"/>
  <c r="N99" i="1" s="1"/>
  <c r="K100" i="1"/>
  <c r="L100" i="1"/>
  <c r="O100" i="1"/>
  <c r="K101" i="1"/>
  <c r="L101" i="1"/>
  <c r="O101" i="1"/>
  <c r="K102" i="1"/>
  <c r="L102" i="1"/>
  <c r="O102" i="1"/>
  <c r="K103" i="1"/>
  <c r="L103" i="1"/>
  <c r="O103" i="1"/>
  <c r="N103" i="1" s="1"/>
  <c r="K104" i="1"/>
  <c r="L104" i="1"/>
  <c r="O104" i="1"/>
  <c r="K105" i="1"/>
  <c r="L105" i="1"/>
  <c r="O105" i="1"/>
  <c r="K106" i="1"/>
  <c r="L106" i="1"/>
  <c r="O106" i="1"/>
  <c r="K107" i="1"/>
  <c r="L107" i="1"/>
  <c r="O107" i="1"/>
  <c r="N107" i="1" s="1"/>
  <c r="K108" i="1"/>
  <c r="N108" i="1" s="1"/>
  <c r="L108" i="1"/>
  <c r="O108" i="1"/>
  <c r="N101" i="1"/>
  <c r="N84" i="1"/>
  <c r="N21" i="1"/>
  <c r="N20" i="1"/>
  <c r="N12" i="1"/>
  <c r="N8" i="4"/>
  <c r="A9" i="4"/>
  <c r="A2" i="6" s="1"/>
  <c r="AD9" i="1"/>
  <c r="AJ5" i="1"/>
  <c r="AL9" i="1"/>
  <c r="AR5" i="1"/>
  <c r="BJ9" i="1"/>
  <c r="BO5" i="1"/>
  <c r="BP115" i="1" s="1"/>
  <c r="BN5" i="1"/>
  <c r="BP5" i="1"/>
  <c r="BQ9" i="1"/>
  <c r="BM5" i="1"/>
  <c r="BO104" i="1" s="1"/>
  <c r="BL5" i="1"/>
  <c r="BJ5" i="1"/>
  <c r="BK9" i="1"/>
  <c r="BQ5" i="1"/>
  <c r="BA9" i="1"/>
  <c r="BF5" i="1"/>
  <c r="BE5" i="1"/>
  <c r="BG5" i="1"/>
  <c r="BI9" i="1"/>
  <c r="BD5" i="1"/>
  <c r="BC5" i="1"/>
  <c r="BB9" i="1"/>
  <c r="BH5" i="1"/>
  <c r="AS9" i="1"/>
  <c r="AW5" i="1"/>
  <c r="AX5" i="1"/>
  <c r="AY111" i="1" s="1"/>
  <c r="AY5" i="1"/>
  <c r="AZ9" i="1"/>
  <c r="AU5" i="1"/>
  <c r="AV5" i="1"/>
  <c r="AX113" i="1" s="1"/>
  <c r="AT9" i="1"/>
  <c r="W9" i="4"/>
  <c r="AD9" i="4"/>
  <c r="A10" i="4"/>
  <c r="A3" i="6" s="1"/>
  <c r="W10" i="4"/>
  <c r="AD10" i="4"/>
  <c r="A11" i="4"/>
  <c r="A4" i="6" s="1"/>
  <c r="AD11" i="4"/>
  <c r="A12" i="4"/>
  <c r="A5" i="6" s="1"/>
  <c r="W12" i="4"/>
  <c r="V12" i="4"/>
  <c r="AD12" i="4"/>
  <c r="A13" i="4"/>
  <c r="A6" i="6" s="1"/>
  <c r="AD13" i="4"/>
  <c r="A14" i="4"/>
  <c r="A7" i="6" s="1"/>
  <c r="W14" i="4"/>
  <c r="AD14" i="4"/>
  <c r="A15" i="4"/>
  <c r="A8" i="6" s="1"/>
  <c r="AD15" i="4"/>
  <c r="A16" i="4"/>
  <c r="A9" i="6" s="1"/>
  <c r="V16" i="4"/>
  <c r="W16" i="4"/>
  <c r="AD16" i="4"/>
  <c r="A17" i="4"/>
  <c r="A10" i="6" s="1"/>
  <c r="AD17" i="4"/>
  <c r="A18" i="4"/>
  <c r="A11" i="6" s="1"/>
  <c r="W18" i="4"/>
  <c r="AD18" i="4"/>
  <c r="A19" i="4"/>
  <c r="A12" i="6" s="1"/>
  <c r="AD19" i="4"/>
  <c r="A20" i="4"/>
  <c r="A13" i="6" s="1"/>
  <c r="V20" i="4"/>
  <c r="W20" i="4"/>
  <c r="AD20" i="4"/>
  <c r="A21" i="4"/>
  <c r="A14" i="6" s="1"/>
  <c r="AD21" i="4"/>
  <c r="A22" i="4"/>
  <c r="A15" i="6" s="1"/>
  <c r="B22" i="4"/>
  <c r="B15" i="6" s="1"/>
  <c r="W22" i="4"/>
  <c r="AD22" i="4"/>
  <c r="A23" i="4"/>
  <c r="A16" i="6" s="1"/>
  <c r="B23" i="4"/>
  <c r="B16" i="6" s="1"/>
  <c r="W23" i="4"/>
  <c r="AD23" i="4"/>
  <c r="A24" i="4"/>
  <c r="A17" i="6" s="1"/>
  <c r="B24" i="4"/>
  <c r="B17" i="6" s="1"/>
  <c r="W24" i="4"/>
  <c r="AD24" i="4"/>
  <c r="A25" i="4"/>
  <c r="A18" i="6" s="1"/>
  <c r="B25" i="4"/>
  <c r="B18" i="6" s="1"/>
  <c r="W25" i="4"/>
  <c r="AD25" i="4"/>
  <c r="A26" i="4"/>
  <c r="A19" i="6" s="1"/>
  <c r="B26" i="4"/>
  <c r="B19" i="6" s="1"/>
  <c r="W26" i="4"/>
  <c r="AD26" i="4"/>
  <c r="A27" i="4"/>
  <c r="A20" i="6" s="1"/>
  <c r="B27" i="4"/>
  <c r="B20" i="6" s="1"/>
  <c r="AD27" i="4"/>
  <c r="A28" i="4"/>
  <c r="A21" i="6" s="1"/>
  <c r="B28" i="4"/>
  <c r="B21" i="6" s="1"/>
  <c r="AD28" i="4"/>
  <c r="A29" i="4"/>
  <c r="A22" i="6" s="1"/>
  <c r="B29" i="4"/>
  <c r="B22" i="6" s="1"/>
  <c r="AD29" i="4"/>
  <c r="A30" i="4"/>
  <c r="A23" i="6" s="1"/>
  <c r="B30" i="4"/>
  <c r="B23" i="6" s="1"/>
  <c r="W30" i="4"/>
  <c r="AD30" i="4"/>
  <c r="A31" i="4"/>
  <c r="A24" i="6" s="1"/>
  <c r="B31" i="4"/>
  <c r="B24" i="6" s="1"/>
  <c r="W31" i="4"/>
  <c r="AD31" i="4"/>
  <c r="A32" i="4"/>
  <c r="A25" i="6" s="1"/>
  <c r="B32" i="4"/>
  <c r="B25" i="6" s="1"/>
  <c r="W32" i="4"/>
  <c r="AD32" i="4"/>
  <c r="A33" i="4"/>
  <c r="A26" i="6" s="1"/>
  <c r="B33" i="4"/>
  <c r="B26" i="6" s="1"/>
  <c r="AD33" i="4"/>
  <c r="A34" i="4"/>
  <c r="B34" i="4"/>
  <c r="AD34" i="4"/>
  <c r="A35" i="4"/>
  <c r="B35" i="4"/>
  <c r="V35" i="4"/>
  <c r="AD35" i="4"/>
  <c r="A36" i="4"/>
  <c r="B36" i="4"/>
  <c r="W36" i="4"/>
  <c r="AD36" i="4"/>
  <c r="A37" i="4"/>
  <c r="B37" i="4"/>
  <c r="AD37" i="4"/>
  <c r="A38" i="4"/>
  <c r="B38" i="4"/>
  <c r="AD38" i="4"/>
  <c r="A39" i="4"/>
  <c r="B39" i="4"/>
  <c r="AD39" i="4"/>
  <c r="A40" i="4"/>
  <c r="B40" i="4"/>
  <c r="AD40" i="4"/>
  <c r="A41" i="4"/>
  <c r="B41" i="4"/>
  <c r="AD41" i="4"/>
  <c r="A42" i="4"/>
  <c r="B42" i="4"/>
  <c r="AD42" i="4"/>
  <c r="A43" i="4"/>
  <c r="B43" i="4"/>
  <c r="AD43" i="4"/>
  <c r="A44" i="4"/>
  <c r="B44" i="4"/>
  <c r="AD44" i="4"/>
  <c r="A45" i="4"/>
  <c r="B45" i="4"/>
  <c r="AD45" i="4"/>
  <c r="A46" i="4"/>
  <c r="B46" i="4"/>
  <c r="AD46" i="4"/>
  <c r="A47" i="4"/>
  <c r="B47" i="4"/>
  <c r="AD47" i="4"/>
  <c r="A48" i="4"/>
  <c r="B48" i="4"/>
  <c r="AD48" i="4"/>
  <c r="A49" i="4"/>
  <c r="B49" i="4"/>
  <c r="AC5" i="1"/>
  <c r="A50" i="4"/>
  <c r="B50" i="4"/>
  <c r="AD50" i="4"/>
  <c r="A51" i="4"/>
  <c r="B51" i="4"/>
  <c r="W51" i="4"/>
  <c r="V51" i="4"/>
  <c r="AD51" i="4"/>
  <c r="A52" i="4"/>
  <c r="B52" i="4"/>
  <c r="V52" i="4"/>
  <c r="W52" i="4"/>
  <c r="AD52" i="4"/>
  <c r="A53" i="4"/>
  <c r="B53" i="4"/>
  <c r="V53" i="4"/>
  <c r="W53" i="4"/>
  <c r="AD53" i="4"/>
  <c r="A54" i="4"/>
  <c r="B54" i="4"/>
  <c r="V54" i="4"/>
  <c r="AD54" i="4"/>
  <c r="A55" i="4"/>
  <c r="B55" i="4"/>
  <c r="V55" i="4"/>
  <c r="AD55" i="4"/>
  <c r="A56" i="4"/>
  <c r="B56" i="4"/>
  <c r="AD56" i="4"/>
  <c r="A57" i="4"/>
  <c r="B57" i="4"/>
  <c r="AD57" i="4"/>
  <c r="A58" i="4"/>
  <c r="B58" i="4"/>
  <c r="V58" i="4"/>
  <c r="AD58" i="4"/>
  <c r="A59" i="4"/>
  <c r="B59" i="4"/>
  <c r="W59" i="4"/>
  <c r="A60" i="4"/>
  <c r="B60" i="4"/>
  <c r="AD60" i="4"/>
  <c r="A61" i="4"/>
  <c r="B61" i="4"/>
  <c r="V61" i="4"/>
  <c r="AD61" i="4"/>
  <c r="A62" i="4"/>
  <c r="B62" i="4"/>
  <c r="V62" i="4"/>
  <c r="AD62" i="4"/>
  <c r="A63" i="4"/>
  <c r="B63" i="4"/>
  <c r="V63" i="4"/>
  <c r="W63" i="4"/>
  <c r="AD63" i="4"/>
  <c r="A64" i="4"/>
  <c r="B64" i="4"/>
  <c r="W64" i="4"/>
  <c r="V64" i="4"/>
  <c r="AD64" i="4"/>
  <c r="A65" i="4"/>
  <c r="B65" i="4"/>
  <c r="V65" i="4"/>
  <c r="AD65" i="4"/>
  <c r="A66" i="4"/>
  <c r="B66" i="4"/>
  <c r="W66" i="4"/>
  <c r="AD66" i="4"/>
  <c r="A67" i="4"/>
  <c r="B67" i="4"/>
  <c r="AD67" i="4"/>
  <c r="A68" i="4"/>
  <c r="B68" i="4"/>
  <c r="AD68" i="4"/>
  <c r="A69" i="4"/>
  <c r="B69" i="4"/>
  <c r="A70" i="4"/>
  <c r="B70" i="4"/>
  <c r="A71" i="4"/>
  <c r="B71" i="4"/>
  <c r="AD71" i="4"/>
  <c r="A72" i="4"/>
  <c r="B72" i="4"/>
  <c r="AD72" i="4"/>
  <c r="A73" i="4"/>
  <c r="B73" i="4"/>
  <c r="V73" i="4"/>
  <c r="AD73" i="4"/>
  <c r="A74" i="4"/>
  <c r="B74" i="4"/>
  <c r="AD74" i="4"/>
  <c r="A75" i="4"/>
  <c r="B75" i="4"/>
  <c r="AD75" i="4"/>
  <c r="AS5" i="1"/>
  <c r="AZ5" i="1"/>
  <c r="BA5" i="1"/>
  <c r="L9" i="1"/>
  <c r="AC81" i="1"/>
  <c r="AD81" i="1"/>
  <c r="AJ81" i="1"/>
  <c r="AK81" i="1"/>
  <c r="AL81" i="1"/>
  <c r="AQ81" i="1"/>
  <c r="AS81" i="1"/>
  <c r="AT81" i="1"/>
  <c r="AZ81" i="1"/>
  <c r="BA81" i="1"/>
  <c r="BB81" i="1"/>
  <c r="BI81" i="1"/>
  <c r="BJ81" i="1"/>
  <c r="BK81" i="1"/>
  <c r="BQ81" i="1"/>
  <c r="AC82" i="1"/>
  <c r="AD82" i="1"/>
  <c r="AJ82" i="1"/>
  <c r="AK82" i="1"/>
  <c r="AL82" i="1"/>
  <c r="AQ82" i="1"/>
  <c r="AS82" i="1"/>
  <c r="AT82" i="1"/>
  <c r="AZ82" i="1"/>
  <c r="BA82" i="1"/>
  <c r="BB82" i="1"/>
  <c r="BI82" i="1"/>
  <c r="BJ82" i="1"/>
  <c r="BK82" i="1"/>
  <c r="BQ82" i="1"/>
  <c r="AC83" i="1"/>
  <c r="AD83" i="1"/>
  <c r="AJ83" i="1"/>
  <c r="AK83" i="1"/>
  <c r="AL83" i="1"/>
  <c r="AQ83" i="1"/>
  <c r="AS83" i="1"/>
  <c r="AT83" i="1"/>
  <c r="AZ83" i="1"/>
  <c r="BA83" i="1"/>
  <c r="BB83" i="1"/>
  <c r="BI83" i="1"/>
  <c r="BJ83" i="1"/>
  <c r="BK83" i="1"/>
  <c r="BQ83" i="1"/>
  <c r="AC84" i="1"/>
  <c r="AD84" i="1"/>
  <c r="AJ84" i="1"/>
  <c r="AK84" i="1"/>
  <c r="AL84" i="1"/>
  <c r="AQ84" i="1"/>
  <c r="AS84" i="1"/>
  <c r="AT84" i="1"/>
  <c r="AZ84" i="1"/>
  <c r="BA84" i="1"/>
  <c r="BB84" i="1"/>
  <c r="BI84" i="1"/>
  <c r="BJ84" i="1"/>
  <c r="BK84" i="1"/>
  <c r="BQ84" i="1"/>
  <c r="AC85" i="1"/>
  <c r="AD85" i="1"/>
  <c r="AJ85" i="1"/>
  <c r="AK85" i="1"/>
  <c r="AL85" i="1"/>
  <c r="AQ85" i="1"/>
  <c r="AS85" i="1"/>
  <c r="AT85" i="1"/>
  <c r="AZ85" i="1"/>
  <c r="BA85" i="1"/>
  <c r="BB85" i="1"/>
  <c r="BI85" i="1"/>
  <c r="BJ85" i="1"/>
  <c r="BK85" i="1"/>
  <c r="BQ85" i="1"/>
  <c r="AC86" i="1"/>
  <c r="AD86" i="1"/>
  <c r="AJ86" i="1"/>
  <c r="AK86" i="1"/>
  <c r="AL86" i="1"/>
  <c r="AQ86" i="1"/>
  <c r="AS86" i="1"/>
  <c r="AT86" i="1"/>
  <c r="AZ86" i="1"/>
  <c r="BA86" i="1"/>
  <c r="BB86" i="1"/>
  <c r="BI86" i="1"/>
  <c r="BJ86" i="1"/>
  <c r="BK86" i="1"/>
  <c r="BQ86" i="1"/>
  <c r="AC87" i="1"/>
  <c r="AD87" i="1"/>
  <c r="AJ87" i="1"/>
  <c r="AK87" i="1"/>
  <c r="AL87" i="1"/>
  <c r="AQ87" i="1"/>
  <c r="AS87" i="1"/>
  <c r="AT87" i="1"/>
  <c r="AZ87" i="1"/>
  <c r="BA87" i="1"/>
  <c r="BB87" i="1"/>
  <c r="BI87" i="1"/>
  <c r="BJ87" i="1"/>
  <c r="BK87" i="1"/>
  <c r="BQ87" i="1"/>
  <c r="AC88" i="1"/>
  <c r="AD88" i="1"/>
  <c r="AJ88" i="1"/>
  <c r="AK88" i="1"/>
  <c r="AL88" i="1"/>
  <c r="AQ88" i="1"/>
  <c r="AS88" i="1"/>
  <c r="AT88" i="1"/>
  <c r="AZ88" i="1"/>
  <c r="BA88" i="1"/>
  <c r="BB88" i="1"/>
  <c r="BI88" i="1"/>
  <c r="BJ88" i="1"/>
  <c r="BK88" i="1"/>
  <c r="BQ88" i="1"/>
  <c r="AC89" i="1"/>
  <c r="AD89" i="1"/>
  <c r="AJ89" i="1"/>
  <c r="AK89" i="1"/>
  <c r="AL89" i="1"/>
  <c r="AQ89" i="1"/>
  <c r="AS89" i="1"/>
  <c r="AT89" i="1"/>
  <c r="AZ89" i="1"/>
  <c r="BA89" i="1"/>
  <c r="BB89" i="1"/>
  <c r="BI89" i="1"/>
  <c r="BJ89" i="1"/>
  <c r="BK89" i="1"/>
  <c r="BQ89" i="1"/>
  <c r="AC90" i="1"/>
  <c r="AD90" i="1"/>
  <c r="AJ90" i="1"/>
  <c r="AK90" i="1"/>
  <c r="AL90" i="1"/>
  <c r="AQ90" i="1"/>
  <c r="AS90" i="1"/>
  <c r="AT90" i="1"/>
  <c r="AZ90" i="1"/>
  <c r="BA90" i="1"/>
  <c r="BB90" i="1"/>
  <c r="BI90" i="1"/>
  <c r="BJ90" i="1"/>
  <c r="BK90" i="1"/>
  <c r="BQ90" i="1"/>
  <c r="AC91" i="1"/>
  <c r="AD91" i="1"/>
  <c r="AJ91" i="1"/>
  <c r="AK91" i="1"/>
  <c r="AL91" i="1"/>
  <c r="AQ91" i="1"/>
  <c r="AS91" i="1"/>
  <c r="AT91" i="1"/>
  <c r="AZ91" i="1"/>
  <c r="BA91" i="1"/>
  <c r="BB91" i="1"/>
  <c r="BI91" i="1"/>
  <c r="BJ91" i="1"/>
  <c r="BK91" i="1"/>
  <c r="BQ91" i="1"/>
  <c r="AC92" i="1"/>
  <c r="AD92" i="1"/>
  <c r="AJ92" i="1"/>
  <c r="AE92" i="1" s="1"/>
  <c r="AF92" i="1" s="1"/>
  <c r="AK92" i="1"/>
  <c r="AL92" i="1"/>
  <c r="AQ92" i="1"/>
  <c r="AS92" i="1"/>
  <c r="AT92" i="1"/>
  <c r="AZ92" i="1"/>
  <c r="BA92" i="1"/>
  <c r="BB92" i="1"/>
  <c r="BI92" i="1"/>
  <c r="BJ92" i="1"/>
  <c r="BK92" i="1"/>
  <c r="BQ92" i="1"/>
  <c r="AC93" i="1"/>
  <c r="AD93" i="1"/>
  <c r="AJ93" i="1"/>
  <c r="AK93" i="1"/>
  <c r="AL93" i="1"/>
  <c r="AQ93" i="1"/>
  <c r="AS93" i="1"/>
  <c r="AT93" i="1"/>
  <c r="AZ93" i="1"/>
  <c r="BA93" i="1"/>
  <c r="BB93" i="1"/>
  <c r="BI93" i="1"/>
  <c r="BJ93" i="1"/>
  <c r="BK93" i="1"/>
  <c r="BQ93" i="1"/>
  <c r="AC94" i="1"/>
  <c r="AD94" i="1"/>
  <c r="AJ94" i="1"/>
  <c r="AK94" i="1"/>
  <c r="AL94" i="1"/>
  <c r="AQ94" i="1"/>
  <c r="AS94" i="1"/>
  <c r="AT94" i="1"/>
  <c r="AZ94" i="1"/>
  <c r="BA94" i="1"/>
  <c r="BB94" i="1"/>
  <c r="BI94" i="1"/>
  <c r="BJ94" i="1"/>
  <c r="BK94" i="1"/>
  <c r="BQ94" i="1"/>
  <c r="AC95" i="1"/>
  <c r="AD95" i="1"/>
  <c r="AJ95" i="1"/>
  <c r="AK95" i="1"/>
  <c r="AL95" i="1"/>
  <c r="AQ95" i="1"/>
  <c r="AS95" i="1"/>
  <c r="AT95" i="1"/>
  <c r="AZ95" i="1"/>
  <c r="BA95" i="1"/>
  <c r="BB95" i="1"/>
  <c r="BI95" i="1"/>
  <c r="BJ95" i="1"/>
  <c r="BK95" i="1"/>
  <c r="BQ95" i="1"/>
  <c r="AC96" i="1"/>
  <c r="AD96" i="1"/>
  <c r="AJ96" i="1"/>
  <c r="AK96" i="1"/>
  <c r="AL96" i="1"/>
  <c r="AQ96" i="1"/>
  <c r="AS96" i="1"/>
  <c r="AT96" i="1"/>
  <c r="AZ96" i="1"/>
  <c r="BA96" i="1"/>
  <c r="BB96" i="1"/>
  <c r="BI96" i="1"/>
  <c r="BJ96" i="1"/>
  <c r="BK96" i="1"/>
  <c r="BQ96" i="1"/>
  <c r="AC97" i="1"/>
  <c r="AD97" i="1"/>
  <c r="AJ97" i="1"/>
  <c r="AK97" i="1"/>
  <c r="AL97" i="1"/>
  <c r="AQ97" i="1"/>
  <c r="AS97" i="1"/>
  <c r="AT97" i="1"/>
  <c r="AZ97" i="1"/>
  <c r="BA97" i="1"/>
  <c r="BB97" i="1"/>
  <c r="BI97" i="1"/>
  <c r="BJ97" i="1"/>
  <c r="BK97" i="1"/>
  <c r="BQ97" i="1"/>
  <c r="AC98" i="1"/>
  <c r="AD98" i="1"/>
  <c r="AJ98" i="1"/>
  <c r="AK98" i="1"/>
  <c r="AL98" i="1"/>
  <c r="AQ98" i="1"/>
  <c r="AS98" i="1"/>
  <c r="AT98" i="1"/>
  <c r="AZ98" i="1"/>
  <c r="BA98" i="1"/>
  <c r="BB98" i="1"/>
  <c r="BI98" i="1"/>
  <c r="BJ98" i="1"/>
  <c r="BK98" i="1"/>
  <c r="BQ98" i="1"/>
  <c r="AC99" i="1"/>
  <c r="AD99" i="1"/>
  <c r="AJ99" i="1"/>
  <c r="AK99" i="1"/>
  <c r="AL99" i="1"/>
  <c r="AQ99" i="1"/>
  <c r="AS99" i="1"/>
  <c r="AT99" i="1"/>
  <c r="AZ99" i="1"/>
  <c r="BA99" i="1"/>
  <c r="BB99" i="1"/>
  <c r="BI99" i="1"/>
  <c r="BJ99" i="1"/>
  <c r="BK99" i="1"/>
  <c r="BQ99" i="1"/>
  <c r="AC100" i="1"/>
  <c r="AD100" i="1"/>
  <c r="AJ100" i="1"/>
  <c r="AK100" i="1"/>
  <c r="AL100" i="1"/>
  <c r="AQ100" i="1"/>
  <c r="AS100" i="1"/>
  <c r="AT100" i="1"/>
  <c r="AZ100" i="1"/>
  <c r="BA100" i="1"/>
  <c r="BB100" i="1"/>
  <c r="BI100" i="1"/>
  <c r="BJ100" i="1"/>
  <c r="BK100" i="1"/>
  <c r="BQ100" i="1"/>
  <c r="AC101" i="1"/>
  <c r="AD101" i="1"/>
  <c r="AJ101" i="1"/>
  <c r="AK101" i="1"/>
  <c r="AL101" i="1"/>
  <c r="AQ101" i="1"/>
  <c r="AS101" i="1"/>
  <c r="AT101" i="1"/>
  <c r="AZ101" i="1"/>
  <c r="BA101" i="1"/>
  <c r="BB101" i="1"/>
  <c r="BI101" i="1"/>
  <c r="BJ101" i="1"/>
  <c r="BK101" i="1"/>
  <c r="BQ101" i="1"/>
  <c r="AC102" i="1"/>
  <c r="AD102" i="1"/>
  <c r="AJ102" i="1"/>
  <c r="AK102" i="1"/>
  <c r="AL102" i="1"/>
  <c r="AQ102" i="1"/>
  <c r="AS102" i="1"/>
  <c r="AT102" i="1"/>
  <c r="AZ102" i="1"/>
  <c r="BA102" i="1"/>
  <c r="BB102" i="1"/>
  <c r="BI102" i="1"/>
  <c r="BJ102" i="1"/>
  <c r="BK102" i="1"/>
  <c r="BQ102" i="1"/>
  <c r="AC103" i="1"/>
  <c r="AD103" i="1"/>
  <c r="AJ103" i="1"/>
  <c r="AK103" i="1"/>
  <c r="AL103" i="1"/>
  <c r="AQ103" i="1"/>
  <c r="AS103" i="1"/>
  <c r="AT103" i="1"/>
  <c r="AZ103" i="1"/>
  <c r="BA103" i="1"/>
  <c r="BB103" i="1"/>
  <c r="BI103" i="1"/>
  <c r="BJ103" i="1"/>
  <c r="BK103" i="1"/>
  <c r="BQ103" i="1"/>
  <c r="AC104" i="1"/>
  <c r="AD104" i="1"/>
  <c r="AJ104" i="1"/>
  <c r="AK104" i="1"/>
  <c r="AL104" i="1"/>
  <c r="AQ104" i="1"/>
  <c r="AS104" i="1"/>
  <c r="AT104" i="1"/>
  <c r="AZ104" i="1"/>
  <c r="BA104" i="1"/>
  <c r="BB104" i="1"/>
  <c r="BI104" i="1"/>
  <c r="BJ104" i="1"/>
  <c r="BK104" i="1"/>
  <c r="BQ104" i="1"/>
  <c r="AC105" i="1"/>
  <c r="AD105" i="1"/>
  <c r="AJ105" i="1"/>
  <c r="AK105" i="1"/>
  <c r="AL105" i="1"/>
  <c r="AQ105" i="1"/>
  <c r="AS105" i="1"/>
  <c r="AT105" i="1"/>
  <c r="AZ105" i="1"/>
  <c r="BA105" i="1"/>
  <c r="BB105" i="1"/>
  <c r="BI105" i="1"/>
  <c r="BJ105" i="1"/>
  <c r="BK105" i="1"/>
  <c r="BQ105" i="1"/>
  <c r="AC106" i="1"/>
  <c r="AD106" i="1"/>
  <c r="AJ106" i="1"/>
  <c r="AK106" i="1"/>
  <c r="AL106" i="1"/>
  <c r="AQ106" i="1"/>
  <c r="AS106" i="1"/>
  <c r="AT106" i="1"/>
  <c r="AZ106" i="1"/>
  <c r="BA106" i="1"/>
  <c r="BB106" i="1"/>
  <c r="BI106" i="1"/>
  <c r="BJ106" i="1"/>
  <c r="BK106" i="1"/>
  <c r="BQ106" i="1"/>
  <c r="AC107" i="1"/>
  <c r="AD107" i="1"/>
  <c r="AJ107" i="1"/>
  <c r="AK107" i="1"/>
  <c r="AL107" i="1"/>
  <c r="AQ107" i="1"/>
  <c r="AS107" i="1"/>
  <c r="AT107" i="1"/>
  <c r="AZ107" i="1"/>
  <c r="BA107" i="1"/>
  <c r="BB107" i="1"/>
  <c r="BI107" i="1"/>
  <c r="BJ107" i="1"/>
  <c r="BK107" i="1"/>
  <c r="BQ107" i="1"/>
  <c r="AC108" i="1"/>
  <c r="AD108" i="1"/>
  <c r="AJ108" i="1"/>
  <c r="AK108" i="1"/>
  <c r="AL108" i="1"/>
  <c r="AQ108" i="1"/>
  <c r="AS108" i="1"/>
  <c r="AT108" i="1"/>
  <c r="AZ108" i="1"/>
  <c r="BA108" i="1"/>
  <c r="BB108" i="1"/>
  <c r="BI108" i="1"/>
  <c r="BJ108" i="1"/>
  <c r="BK108" i="1"/>
  <c r="BQ108" i="1"/>
  <c r="L109" i="1"/>
  <c r="O109" i="1"/>
  <c r="N109" i="1" s="1"/>
  <c r="AC109" i="1"/>
  <c r="AD109" i="1"/>
  <c r="AJ109" i="1"/>
  <c r="AK109" i="1"/>
  <c r="AL109" i="1"/>
  <c r="AQ109" i="1"/>
  <c r="AS109" i="1"/>
  <c r="AT109" i="1"/>
  <c r="AY109" i="1"/>
  <c r="AZ109" i="1"/>
  <c r="BA109" i="1"/>
  <c r="BB109" i="1"/>
  <c r="BI109" i="1"/>
  <c r="BJ109" i="1"/>
  <c r="BK109" i="1"/>
  <c r="BQ109" i="1"/>
  <c r="L110" i="1"/>
  <c r="O110" i="1"/>
  <c r="N110" i="1"/>
  <c r="AC110" i="1"/>
  <c r="AD110" i="1"/>
  <c r="AJ110" i="1"/>
  <c r="AK110" i="1"/>
  <c r="AL110" i="1"/>
  <c r="AQ110" i="1"/>
  <c r="AS110" i="1"/>
  <c r="AT110" i="1"/>
  <c r="AZ110" i="1"/>
  <c r="BA110" i="1"/>
  <c r="BB110" i="1"/>
  <c r="BI110" i="1"/>
  <c r="BJ110" i="1"/>
  <c r="BK110" i="1"/>
  <c r="BQ110" i="1"/>
  <c r="L111" i="1"/>
  <c r="O111" i="1"/>
  <c r="N111" i="1" s="1"/>
  <c r="AC111" i="1"/>
  <c r="AD111" i="1"/>
  <c r="AJ111" i="1"/>
  <c r="AK111" i="1"/>
  <c r="AL111" i="1"/>
  <c r="AQ111" i="1"/>
  <c r="AO111" i="1"/>
  <c r="AS111" i="1"/>
  <c r="AT111" i="1"/>
  <c r="AZ111" i="1"/>
  <c r="BA111" i="1"/>
  <c r="BB111" i="1"/>
  <c r="BI111" i="1"/>
  <c r="BJ111" i="1"/>
  <c r="BK111" i="1"/>
  <c r="BQ111" i="1"/>
  <c r="L112" i="1"/>
  <c r="O112" i="1"/>
  <c r="N112" i="1" s="1"/>
  <c r="AC112" i="1"/>
  <c r="AD112" i="1"/>
  <c r="AJ112" i="1"/>
  <c r="AK112" i="1"/>
  <c r="AL112" i="1"/>
  <c r="AQ112" i="1"/>
  <c r="AS112" i="1"/>
  <c r="AT112" i="1"/>
  <c r="AZ112" i="1"/>
  <c r="BA112" i="1"/>
  <c r="BB112" i="1"/>
  <c r="BI112" i="1"/>
  <c r="BJ112" i="1"/>
  <c r="BK112" i="1"/>
  <c r="BQ112" i="1"/>
  <c r="L113" i="1"/>
  <c r="O113" i="1"/>
  <c r="N113" i="1" s="1"/>
  <c r="AC113" i="1"/>
  <c r="AD113" i="1"/>
  <c r="AJ113" i="1"/>
  <c r="AK113" i="1"/>
  <c r="AL113" i="1"/>
  <c r="AQ113" i="1"/>
  <c r="AS113" i="1"/>
  <c r="AT113" i="1"/>
  <c r="AZ113" i="1"/>
  <c r="BA113" i="1"/>
  <c r="BB113" i="1"/>
  <c r="BI113" i="1"/>
  <c r="BJ113" i="1"/>
  <c r="BK113" i="1"/>
  <c r="BQ113" i="1"/>
  <c r="L114" i="1"/>
  <c r="O114" i="1"/>
  <c r="N114" i="1"/>
  <c r="AC114" i="1"/>
  <c r="AD114" i="1"/>
  <c r="AJ114" i="1"/>
  <c r="AK114" i="1"/>
  <c r="AL114" i="1"/>
  <c r="AQ114" i="1"/>
  <c r="AS114" i="1"/>
  <c r="AT114" i="1"/>
  <c r="AZ114" i="1"/>
  <c r="BA114" i="1"/>
  <c r="BB114" i="1"/>
  <c r="BI114" i="1"/>
  <c r="BJ114" i="1"/>
  <c r="BK114" i="1"/>
  <c r="BQ114" i="1"/>
  <c r="L115" i="1"/>
  <c r="O115" i="1"/>
  <c r="N115" i="1" s="1"/>
  <c r="AC115" i="1"/>
  <c r="AD115" i="1"/>
  <c r="AJ115" i="1"/>
  <c r="AK115" i="1"/>
  <c r="AL115" i="1"/>
  <c r="AQ115" i="1"/>
  <c r="AS115" i="1"/>
  <c r="AT115" i="1"/>
  <c r="AZ115" i="1"/>
  <c r="BA115" i="1"/>
  <c r="BB115" i="1"/>
  <c r="BI115" i="1"/>
  <c r="BJ115" i="1"/>
  <c r="BK115" i="1"/>
  <c r="BQ115" i="1"/>
  <c r="L116" i="1"/>
  <c r="O116" i="1"/>
  <c r="AC116" i="1"/>
  <c r="AD116" i="1"/>
  <c r="AJ116" i="1"/>
  <c r="AK116" i="1"/>
  <c r="AL116" i="1"/>
  <c r="AQ116" i="1"/>
  <c r="AS116" i="1"/>
  <c r="AT116" i="1"/>
  <c r="AZ116" i="1"/>
  <c r="BA116" i="1"/>
  <c r="BB116" i="1"/>
  <c r="BI116" i="1"/>
  <c r="BJ116" i="1"/>
  <c r="BK116" i="1"/>
  <c r="BQ116" i="1"/>
  <c r="L117" i="1"/>
  <c r="O117" i="1"/>
  <c r="N117" i="1" s="1"/>
  <c r="AC117" i="1"/>
  <c r="AD117" i="1"/>
  <c r="AJ117" i="1"/>
  <c r="AK117" i="1"/>
  <c r="AL117" i="1"/>
  <c r="AQ117" i="1"/>
  <c r="AS117" i="1"/>
  <c r="AT117" i="1"/>
  <c r="AZ117" i="1"/>
  <c r="BA117" i="1"/>
  <c r="BB117" i="1"/>
  <c r="BI117" i="1"/>
  <c r="BJ117" i="1"/>
  <c r="BK117" i="1"/>
  <c r="BQ117" i="1"/>
  <c r="L118" i="1"/>
  <c r="O118" i="1"/>
  <c r="N118" i="1"/>
  <c r="AC118" i="1"/>
  <c r="AD118" i="1"/>
  <c r="AJ118" i="1"/>
  <c r="AK118" i="1"/>
  <c r="AL118" i="1"/>
  <c r="AQ118" i="1"/>
  <c r="AS118" i="1"/>
  <c r="AT118" i="1"/>
  <c r="AZ118" i="1"/>
  <c r="BA118" i="1"/>
  <c r="BB118" i="1"/>
  <c r="BI118" i="1"/>
  <c r="BJ118" i="1"/>
  <c r="BK118" i="1"/>
  <c r="BQ118" i="1"/>
  <c r="L119" i="1"/>
  <c r="O119" i="1"/>
  <c r="N119" i="1" s="1"/>
  <c r="AC119" i="1"/>
  <c r="AD119" i="1"/>
  <c r="AJ119" i="1"/>
  <c r="AK119" i="1"/>
  <c r="AL119" i="1"/>
  <c r="AQ119" i="1"/>
  <c r="AS119" i="1"/>
  <c r="AT119" i="1"/>
  <c r="AZ119" i="1"/>
  <c r="BA119" i="1"/>
  <c r="BB119" i="1"/>
  <c r="BI119" i="1"/>
  <c r="BJ119" i="1"/>
  <c r="BK119" i="1"/>
  <c r="BQ119" i="1"/>
  <c r="L120" i="1"/>
  <c r="O120" i="1"/>
  <c r="AC120" i="1"/>
  <c r="AD120" i="1"/>
  <c r="AJ120" i="1"/>
  <c r="AK120" i="1"/>
  <c r="AL120" i="1"/>
  <c r="AQ120" i="1"/>
  <c r="AS120" i="1"/>
  <c r="AT120" i="1"/>
  <c r="AZ120" i="1"/>
  <c r="AX120" i="1"/>
  <c r="BA120" i="1"/>
  <c r="BB120" i="1"/>
  <c r="BI120" i="1"/>
  <c r="BJ120" i="1"/>
  <c r="BK120" i="1"/>
  <c r="BQ120" i="1"/>
  <c r="L121" i="1"/>
  <c r="O121" i="1"/>
  <c r="N121" i="1" s="1"/>
  <c r="AC121" i="1"/>
  <c r="AD121" i="1"/>
  <c r="AJ121" i="1"/>
  <c r="AK121" i="1"/>
  <c r="AL121" i="1"/>
  <c r="AQ121" i="1"/>
  <c r="AS121" i="1"/>
  <c r="AT121" i="1"/>
  <c r="AZ121" i="1"/>
  <c r="BA121" i="1"/>
  <c r="BB121" i="1"/>
  <c r="BI121" i="1"/>
  <c r="BJ121" i="1"/>
  <c r="BK121" i="1"/>
  <c r="BQ121" i="1"/>
  <c r="L122" i="1"/>
  <c r="O122" i="1"/>
  <c r="N122" i="1" s="1"/>
  <c r="AC122" i="1"/>
  <c r="AD122" i="1"/>
  <c r="AJ122" i="1"/>
  <c r="AK122" i="1"/>
  <c r="AL122" i="1"/>
  <c r="AQ122" i="1"/>
  <c r="AS122" i="1"/>
  <c r="AT122" i="1"/>
  <c r="AZ122" i="1"/>
  <c r="AX122" i="1"/>
  <c r="BA122" i="1"/>
  <c r="BB122" i="1"/>
  <c r="BI122" i="1"/>
  <c r="BJ122" i="1"/>
  <c r="BK122" i="1"/>
  <c r="BQ122" i="1"/>
  <c r="E6" i="5"/>
  <c r="E52" i="5"/>
  <c r="E53" i="5"/>
  <c r="E54" i="5"/>
  <c r="E55" i="5"/>
  <c r="E56" i="5"/>
  <c r="E57" i="5"/>
  <c r="E58" i="5"/>
  <c r="E59" i="5"/>
  <c r="AY113" i="1"/>
  <c r="BO88" i="1"/>
  <c r="AX119" i="1"/>
  <c r="AH116" i="1"/>
  <c r="AI120" i="1"/>
  <c r="AO37" i="1"/>
  <c r="AI77" i="1"/>
  <c r="AI61" i="1"/>
  <c r="AI79" i="1"/>
  <c r="AI44" i="1"/>
  <c r="AI51" i="1"/>
  <c r="AI45" i="1"/>
  <c r="AI27" i="1"/>
  <c r="AI30" i="1"/>
  <c r="AI84" i="1"/>
  <c r="AI100" i="1"/>
  <c r="AI116" i="1"/>
  <c r="BG43" i="1"/>
  <c r="BG34" i="1"/>
  <c r="BG110" i="1"/>
  <c r="BH77" i="1"/>
  <c r="BH48" i="1"/>
  <c r="BH51" i="1"/>
  <c r="BH19" i="1"/>
  <c r="BH106" i="1"/>
  <c r="AX62" i="1"/>
  <c r="AX77" i="1"/>
  <c r="AX72" i="1"/>
  <c r="AX40" i="1"/>
  <c r="AX55" i="1"/>
  <c r="AX71" i="1"/>
  <c r="AX33" i="1"/>
  <c r="AX56" i="1"/>
  <c r="AX59" i="1"/>
  <c r="AX27" i="1"/>
  <c r="AY71" i="1"/>
  <c r="AY33" i="1"/>
  <c r="AY41" i="1"/>
  <c r="AY54" i="1"/>
  <c r="AY17" i="1"/>
  <c r="AY51" i="1"/>
  <c r="AY19" i="1"/>
  <c r="AY40" i="1"/>
  <c r="AY18" i="1"/>
  <c r="AY60" i="1"/>
  <c r="AY20" i="1"/>
  <c r="BO68" i="1"/>
  <c r="BO69" i="1"/>
  <c r="BO52" i="1"/>
  <c r="BO42" i="1"/>
  <c r="BO27" i="1"/>
  <c r="BO35" i="1"/>
  <c r="BP75" i="1"/>
  <c r="BP43" i="1"/>
  <c r="BP78" i="1"/>
  <c r="BP16" i="1"/>
  <c r="BP50" i="1"/>
  <c r="BP20" i="1"/>
  <c r="AH60" i="1"/>
  <c r="AH70" i="1"/>
  <c r="AH30" i="1"/>
  <c r="AY9" i="1"/>
  <c r="AX103" i="1"/>
  <c r="BG97" i="1"/>
  <c r="BO94" i="1"/>
  <c r="AI103" i="1"/>
  <c r="BH97" i="1"/>
  <c r="AI95" i="1"/>
  <c r="AI94" i="1"/>
  <c r="AI90" i="1"/>
  <c r="AI81" i="1"/>
  <c r="BG107" i="1"/>
  <c r="AI92" i="1"/>
  <c r="AY91" i="1"/>
  <c r="W68" i="4"/>
  <c r="W54" i="4"/>
  <c r="W50" i="4"/>
  <c r="V38" i="4"/>
  <c r="V22" i="4"/>
  <c r="V14" i="4"/>
  <c r="W67" i="4"/>
  <c r="V60" i="4"/>
  <c r="W55" i="4"/>
  <c r="AI82" i="1"/>
  <c r="AX104" i="1"/>
  <c r="AI96" i="1"/>
  <c r="AX93" i="1"/>
  <c r="AI93" i="1"/>
  <c r="AX101" i="1"/>
  <c r="AI101" i="1"/>
  <c r="AP87" i="1"/>
  <c r="BP88" i="1"/>
  <c r="BN88" i="1" s="1"/>
  <c r="AI88" i="1"/>
  <c r="BG92" i="1"/>
  <c r="AH85" i="1"/>
  <c r="AY99" i="1"/>
  <c r="AX92" i="1"/>
  <c r="BG99" i="1"/>
  <c r="W70" i="4"/>
  <c r="V70" i="4"/>
  <c r="W62" i="4"/>
  <c r="V32" i="4"/>
  <c r="V25" i="4"/>
  <c r="V24" i="4"/>
  <c r="W69" i="4"/>
  <c r="W65" i="4"/>
  <c r="V36" i="4"/>
  <c r="V30" i="4"/>
  <c r="V26" i="4"/>
  <c r="V23" i="4"/>
  <c r="V18" i="4"/>
  <c r="V13" i="4"/>
  <c r="W58" i="4"/>
  <c r="V34" i="4"/>
  <c r="V31" i="4"/>
  <c r="V10" i="4"/>
  <c r="AO103" i="1"/>
  <c r="BO101" i="1"/>
  <c r="AO99" i="1"/>
  <c r="BO97" i="1"/>
  <c r="BO95" i="1"/>
  <c r="AO95" i="1"/>
  <c r="BO93" i="1"/>
  <c r="BO92" i="1"/>
  <c r="AO92" i="1"/>
  <c r="AY85" i="1"/>
  <c r="AX84" i="1"/>
  <c r="BH82" i="1"/>
  <c r="AX81" i="1"/>
  <c r="V72" i="4"/>
  <c r="W72" i="4"/>
  <c r="BH86" i="1"/>
  <c r="AY86" i="1"/>
  <c r="AY84" i="1"/>
  <c r="AY81" i="1"/>
  <c r="W75" i="4"/>
  <c r="W74" i="4"/>
  <c r="W73" i="4"/>
  <c r="BO89" i="1"/>
  <c r="BO86" i="1"/>
  <c r="BO84" i="1"/>
  <c r="AO84" i="1"/>
  <c r="BO83" i="1"/>
  <c r="BO81" i="1"/>
  <c r="AO81" i="1"/>
  <c r="V71" i="4"/>
  <c r="W71" i="4"/>
  <c r="V47" i="4"/>
  <c r="W47" i="4"/>
  <c r="V46" i="4"/>
  <c r="W46" i="4"/>
  <c r="V43" i="4"/>
  <c r="W43" i="4"/>
  <c r="V42" i="4"/>
  <c r="W42" i="4"/>
  <c r="V41" i="4"/>
  <c r="W41" i="4"/>
  <c r="V40" i="4"/>
  <c r="W40" i="4"/>
  <c r="V39" i="4"/>
  <c r="W39" i="4"/>
  <c r="W37" i="4"/>
  <c r="V37" i="4"/>
  <c r="W29" i="4"/>
  <c r="V29" i="4"/>
  <c r="V49" i="4"/>
  <c r="W49" i="4"/>
  <c r="V45" i="4"/>
  <c r="W45" i="4"/>
  <c r="V48" i="4"/>
  <c r="W48" i="4"/>
  <c r="V44" i="4"/>
  <c r="W44" i="4"/>
  <c r="W33" i="4"/>
  <c r="V33" i="4"/>
  <c r="W28" i="4"/>
  <c r="V28" i="4"/>
  <c r="W27" i="4"/>
  <c r="V27" i="4"/>
  <c r="W11" i="4"/>
  <c r="V11" i="4"/>
  <c r="V19" i="4"/>
  <c r="W19" i="4"/>
  <c r="W15" i="4"/>
  <c r="V15" i="4"/>
  <c r="V9" i="4"/>
  <c r="BO9" i="1"/>
  <c r="BD97" i="1"/>
  <c r="BF97" i="1" s="1"/>
  <c r="AU51" i="1" l="1"/>
  <c r="AV51" i="1" s="1"/>
  <c r="S51" i="4" s="1"/>
  <c r="AX88" i="1"/>
  <c r="AX87" i="1"/>
  <c r="AY82" i="1"/>
  <c r="AX86" i="1"/>
  <c r="BO103" i="1"/>
  <c r="BP92" i="1"/>
  <c r="AY102" i="1"/>
  <c r="BO85" i="1"/>
  <c r="AX97" i="1"/>
  <c r="AX106" i="1"/>
  <c r="BO96" i="1"/>
  <c r="AY104" i="1"/>
  <c r="AU104" i="1" s="1"/>
  <c r="AV104" i="1" s="1"/>
  <c r="AY96" i="1"/>
  <c r="AG92" i="1"/>
  <c r="AY90" i="1"/>
  <c r="AW90" i="1" s="1"/>
  <c r="AY94" i="1"/>
  <c r="BP103" i="1"/>
  <c r="BL103" i="1" s="1"/>
  <c r="AG30" i="1"/>
  <c r="E30" i="4" s="1"/>
  <c r="BP14" i="1"/>
  <c r="BL14" i="1" s="1"/>
  <c r="BP18" i="1"/>
  <c r="BP46" i="1"/>
  <c r="BP40" i="1"/>
  <c r="BP76" i="1"/>
  <c r="BP66" i="1"/>
  <c r="BO11" i="1"/>
  <c r="BO67" i="1"/>
  <c r="BO74" i="1"/>
  <c r="BL74" i="1" s="1"/>
  <c r="BO44" i="1"/>
  <c r="BO34" i="1"/>
  <c r="BO61" i="1"/>
  <c r="AY36" i="1"/>
  <c r="AU36" i="1" s="1"/>
  <c r="AV36" i="1" s="1"/>
  <c r="S36" i="4" s="1"/>
  <c r="AY15" i="1"/>
  <c r="AY16" i="1"/>
  <c r="AY35" i="1"/>
  <c r="AY57" i="1"/>
  <c r="AY78" i="1"/>
  <c r="AY58" i="1"/>
  <c r="AY48" i="1"/>
  <c r="AY75" i="1"/>
  <c r="AU75" i="1" s="1"/>
  <c r="AV75" i="1" s="1"/>
  <c r="S75" i="4" s="1"/>
  <c r="AY80" i="1"/>
  <c r="AY59" i="1"/>
  <c r="AX26" i="1"/>
  <c r="AX21" i="1"/>
  <c r="AW21" i="1" s="1"/>
  <c r="T21" i="4" s="1"/>
  <c r="S14" i="6" s="1"/>
  <c r="U14" i="6" s="1"/>
  <c r="AX11" i="1"/>
  <c r="AX28" i="1"/>
  <c r="AX41" i="1"/>
  <c r="AW41" i="1" s="1"/>
  <c r="T41" i="4" s="1"/>
  <c r="AX51" i="1"/>
  <c r="AW51" i="1" s="1"/>
  <c r="T51" i="4" s="1"/>
  <c r="AX37" i="1"/>
  <c r="AX60" i="1"/>
  <c r="AX80" i="1"/>
  <c r="AX61" i="1"/>
  <c r="AW61" i="1" s="1"/>
  <c r="T61" i="4" s="1"/>
  <c r="AX115" i="1"/>
  <c r="AX121" i="1"/>
  <c r="AX100" i="1"/>
  <c r="AY101" i="1"/>
  <c r="AU101" i="1" s="1"/>
  <c r="AV101" i="1" s="1"/>
  <c r="AX89" i="1"/>
  <c r="N87" i="1"/>
  <c r="AY14" i="1"/>
  <c r="AX13" i="1"/>
  <c r="AW13" i="1" s="1"/>
  <c r="T13" i="4" s="1"/>
  <c r="S6" i="6" s="1"/>
  <c r="U6" i="6" s="1"/>
  <c r="C7" i="9" s="1"/>
  <c r="AW86" i="1"/>
  <c r="AU81" i="1"/>
  <c r="AV81" i="1" s="1"/>
  <c r="AY87" i="1"/>
  <c r="BO99" i="1"/>
  <c r="BO107" i="1"/>
  <c r="AX95" i="1"/>
  <c r="BP81" i="1"/>
  <c r="AX90" i="1"/>
  <c r="AY88" i="1"/>
  <c r="BP106" i="1"/>
  <c r="AY93" i="1"/>
  <c r="AX99" i="1"/>
  <c r="AW99" i="1" s="1"/>
  <c r="AY95" i="1"/>
  <c r="AY103" i="1"/>
  <c r="AX94" i="1"/>
  <c r="AX107" i="1"/>
  <c r="BP13" i="1"/>
  <c r="BP48" i="1"/>
  <c r="BP42" i="1"/>
  <c r="BP55" i="1"/>
  <c r="BL55" i="1" s="1"/>
  <c r="BP31" i="1"/>
  <c r="BP63" i="1"/>
  <c r="BO17" i="1"/>
  <c r="BO20" i="1"/>
  <c r="BN20" i="1" s="1"/>
  <c r="M20" i="4" s="1"/>
  <c r="BO70" i="1"/>
  <c r="BO41" i="1"/>
  <c r="BO66" i="1"/>
  <c r="AY28" i="1"/>
  <c r="AW28" i="1" s="1"/>
  <c r="T28" i="4" s="1"/>
  <c r="AY21" i="1"/>
  <c r="AY11" i="1"/>
  <c r="AY49" i="1"/>
  <c r="AY31" i="1"/>
  <c r="AW31" i="1" s="1"/>
  <c r="T31" i="4" s="1"/>
  <c r="AY53" i="1"/>
  <c r="AY69" i="1"/>
  <c r="AY68" i="1"/>
  <c r="AY46" i="1"/>
  <c r="AW46" i="1" s="1"/>
  <c r="T46" i="4" s="1"/>
  <c r="AY61" i="1"/>
  <c r="AY79" i="1"/>
  <c r="AY77" i="1"/>
  <c r="AX20" i="1"/>
  <c r="AW20" i="1" s="1"/>
  <c r="T20" i="4" s="1"/>
  <c r="S13" i="6" s="1"/>
  <c r="U13" i="6" s="1"/>
  <c r="AX17" i="1"/>
  <c r="AX54" i="1"/>
  <c r="AX44" i="1"/>
  <c r="AX16" i="1"/>
  <c r="AW16" i="1" s="1"/>
  <c r="T16" i="4" s="1"/>
  <c r="S9" i="6" s="1"/>
  <c r="U9" i="6" s="1"/>
  <c r="C10" i="9" s="1"/>
  <c r="AX49" i="1"/>
  <c r="AX35" i="1"/>
  <c r="AX36" i="1"/>
  <c r="AX70" i="1"/>
  <c r="AU70" i="1" s="1"/>
  <c r="AV70" i="1" s="1"/>
  <c r="S70" i="4" s="1"/>
  <c r="AX63" i="1"/>
  <c r="AX109" i="1"/>
  <c r="AX116" i="1"/>
  <c r="BN81" i="1"/>
  <c r="BG41" i="1"/>
  <c r="BH59" i="1"/>
  <c r="N104" i="1"/>
  <c r="N100" i="1"/>
  <c r="N96" i="1"/>
  <c r="N78" i="1"/>
  <c r="AX76" i="1"/>
  <c r="AW76" i="1" s="1"/>
  <c r="AY74" i="1"/>
  <c r="N72" i="1"/>
  <c r="AY70" i="1"/>
  <c r="AX69" i="1"/>
  <c r="AW69" i="1" s="1"/>
  <c r="T69" i="4" s="1"/>
  <c r="AX68" i="1"/>
  <c r="N54" i="1"/>
  <c r="N44" i="1"/>
  <c r="N40" i="1"/>
  <c r="N33" i="1"/>
  <c r="N16" i="1"/>
  <c r="AW113" i="1"/>
  <c r="AU84" i="1"/>
  <c r="AV84" i="1" s="1"/>
  <c r="AX9" i="1"/>
  <c r="AU9" i="1" s="1"/>
  <c r="AV9" i="1" s="1"/>
  <c r="S9" i="4" s="1"/>
  <c r="R2" i="6" s="1"/>
  <c r="BP102" i="1"/>
  <c r="BP95" i="1"/>
  <c r="BP84" i="1"/>
  <c r="BN84" i="1" s="1"/>
  <c r="BP90" i="1"/>
  <c r="BO87" i="1"/>
  <c r="BP101" i="1"/>
  <c r="AX96" i="1"/>
  <c r="AU96" i="1" s="1"/>
  <c r="AV96" i="1" s="1"/>
  <c r="BP82" i="1"/>
  <c r="BO90" i="1"/>
  <c r="AY97" i="1"/>
  <c r="AY107" i="1"/>
  <c r="BH108" i="1"/>
  <c r="BP28" i="1"/>
  <c r="BP21" i="1"/>
  <c r="BP52" i="1"/>
  <c r="BN52" i="1" s="1"/>
  <c r="M52" i="4" s="1"/>
  <c r="BP45" i="1"/>
  <c r="BP79" i="1"/>
  <c r="BO12" i="1"/>
  <c r="BO28" i="1"/>
  <c r="BL28" i="1" s="1"/>
  <c r="BO49" i="1"/>
  <c r="BO56" i="1"/>
  <c r="BO73" i="1"/>
  <c r="BO71" i="1"/>
  <c r="AY27" i="1"/>
  <c r="AY12" i="1"/>
  <c r="AY34" i="1"/>
  <c r="AY55" i="1"/>
  <c r="AU55" i="1" s="1"/>
  <c r="AV55" i="1" s="1"/>
  <c r="S55" i="4" s="1"/>
  <c r="AY23" i="1"/>
  <c r="AY45" i="1"/>
  <c r="AY66" i="1"/>
  <c r="AY56" i="1"/>
  <c r="AW56" i="1" s="1"/>
  <c r="T56" i="4" s="1"/>
  <c r="AY44" i="1"/>
  <c r="AU44" i="1" s="1"/>
  <c r="AV44" i="1" s="1"/>
  <c r="S44" i="4" s="1"/>
  <c r="AY62" i="1"/>
  <c r="AY76" i="1"/>
  <c r="AY63" i="1"/>
  <c r="AX48" i="1"/>
  <c r="AX58" i="1"/>
  <c r="AX34" i="1"/>
  <c r="AX42" i="1"/>
  <c r="AX12" i="1"/>
  <c r="AX45" i="1"/>
  <c r="AX79" i="1"/>
  <c r="AX78" i="1"/>
  <c r="AW78" i="1" s="1"/>
  <c r="AX66" i="1"/>
  <c r="AU66" i="1" s="1"/>
  <c r="AV66" i="1" s="1"/>
  <c r="S66" i="4" s="1"/>
  <c r="AX114" i="1"/>
  <c r="AX117" i="1"/>
  <c r="AX112" i="1"/>
  <c r="AY121" i="1"/>
  <c r="N105" i="1"/>
  <c r="N79" i="1"/>
  <c r="N55" i="1"/>
  <c r="N49" i="1"/>
  <c r="N45" i="1"/>
  <c r="N41" i="1"/>
  <c r="N36" i="1"/>
  <c r="N28" i="1"/>
  <c r="N26" i="1"/>
  <c r="N9" i="1"/>
  <c r="C17" i="5"/>
  <c r="E17" i="5" s="1"/>
  <c r="C9" i="5"/>
  <c r="BN106" i="1"/>
  <c r="AX29" i="1"/>
  <c r="N29" i="1"/>
  <c r="BH10" i="1"/>
  <c r="BH87" i="1"/>
  <c r="AP104" i="1"/>
  <c r="AH50" i="1"/>
  <c r="BN43" i="1"/>
  <c r="M43" i="4" s="1"/>
  <c r="BH91" i="1"/>
  <c r="BH36" i="1"/>
  <c r="BG30" i="1"/>
  <c r="AO118" i="1"/>
  <c r="AO71" i="1"/>
  <c r="BO112" i="1"/>
  <c r="BO122" i="1"/>
  <c r="BO110" i="1"/>
  <c r="BO114" i="1"/>
  <c r="BO106" i="1"/>
  <c r="BO117" i="1"/>
  <c r="BO109" i="1"/>
  <c r="BO119" i="1"/>
  <c r="BO113" i="1"/>
  <c r="BO60" i="1"/>
  <c r="BO72" i="1"/>
  <c r="BL72" i="1" s="1"/>
  <c r="BO77" i="1"/>
  <c r="BO40" i="1"/>
  <c r="BL40" i="1" s="1"/>
  <c r="BO79" i="1"/>
  <c r="BO46" i="1"/>
  <c r="BL46" i="1" s="1"/>
  <c r="BO54" i="1"/>
  <c r="BO18" i="1"/>
  <c r="BO32" i="1"/>
  <c r="BO76" i="1"/>
  <c r="BN76" i="1" s="1"/>
  <c r="BO30" i="1"/>
  <c r="BO53" i="1"/>
  <c r="BO13" i="1"/>
  <c r="BO15" i="1"/>
  <c r="BO55" i="1"/>
  <c r="BO108" i="1"/>
  <c r="BP122" i="1"/>
  <c r="BN122" i="1" s="1"/>
  <c r="BP118" i="1"/>
  <c r="BP62" i="1"/>
  <c r="BP69" i="1"/>
  <c r="BN69" i="1" s="1"/>
  <c r="M69" i="4" s="1"/>
  <c r="BP59" i="1"/>
  <c r="BP35" i="1"/>
  <c r="BN35" i="1" s="1"/>
  <c r="M35" i="4" s="1"/>
  <c r="BP36" i="1"/>
  <c r="BP51" i="1"/>
  <c r="BP11" i="1"/>
  <c r="BL11" i="1" s="1"/>
  <c r="BP44" i="1"/>
  <c r="BN44" i="1" s="1"/>
  <c r="M44" i="4" s="1"/>
  <c r="BP74" i="1"/>
  <c r="BP57" i="1"/>
  <c r="BP27" i="1"/>
  <c r="BP56" i="1"/>
  <c r="BL56" i="1" s="1"/>
  <c r="BM56" i="1" s="1"/>
  <c r="L56" i="4" s="1"/>
  <c r="BP34" i="1"/>
  <c r="BP33" i="1"/>
  <c r="BP17" i="1"/>
  <c r="BL17" i="1" s="1"/>
  <c r="BP99" i="1"/>
  <c r="BN99" i="1" s="1"/>
  <c r="BP86" i="1"/>
  <c r="AX30" i="1"/>
  <c r="N30" i="1"/>
  <c r="AX15" i="1"/>
  <c r="AW15" i="1" s="1"/>
  <c r="T15" i="4" s="1"/>
  <c r="S8" i="6" s="1"/>
  <c r="U8" i="6" s="1"/>
  <c r="C9" i="9" s="1"/>
  <c r="N15" i="1"/>
  <c r="BC97" i="1"/>
  <c r="BE97" i="1" s="1"/>
  <c r="CB74" i="1"/>
  <c r="CB72" i="1"/>
  <c r="BH78" i="1"/>
  <c r="BH62" i="1"/>
  <c r="BH41" i="1"/>
  <c r="BH50" i="1"/>
  <c r="BH18" i="1"/>
  <c r="BH49" i="1"/>
  <c r="BH33" i="1"/>
  <c r="BH27" i="1"/>
  <c r="BH17" i="1"/>
  <c r="BH55" i="1"/>
  <c r="BH88" i="1"/>
  <c r="BD88" i="1" s="1"/>
  <c r="BF88" i="1" s="1"/>
  <c r="BH113" i="1"/>
  <c r="BH118" i="1"/>
  <c r="BH66" i="1"/>
  <c r="BH69" i="1"/>
  <c r="BC69" i="1" s="1"/>
  <c r="BE69" i="1" s="1"/>
  <c r="P69" i="4" s="1"/>
  <c r="Z69" i="4" s="1"/>
  <c r="AA69" i="4" s="1"/>
  <c r="BH42" i="1"/>
  <c r="BH52" i="1"/>
  <c r="BH70" i="1"/>
  <c r="BH43" i="1"/>
  <c r="BC43" i="1" s="1"/>
  <c r="BE43" i="1" s="1"/>
  <c r="P43" i="4" s="1"/>
  <c r="Z43" i="4" s="1"/>
  <c r="AA43" i="4" s="1"/>
  <c r="BH45" i="1"/>
  <c r="BH40" i="1"/>
  <c r="BH11" i="1"/>
  <c r="BH12" i="1"/>
  <c r="BH94" i="1"/>
  <c r="BH114" i="1"/>
  <c r="BH71" i="1"/>
  <c r="BH79" i="1"/>
  <c r="BH57" i="1"/>
  <c r="BH30" i="1"/>
  <c r="BC30" i="1" s="1"/>
  <c r="BE30" i="1" s="1"/>
  <c r="P30" i="4" s="1"/>
  <c r="BH13" i="1"/>
  <c r="BH29" i="1"/>
  <c r="BD29" i="1" s="1"/>
  <c r="BF29" i="1" s="1"/>
  <c r="Q29" i="4" s="1"/>
  <c r="BH101" i="1"/>
  <c r="BH90" i="1"/>
  <c r="BH104" i="1"/>
  <c r="AO62" i="1"/>
  <c r="AO63" i="1"/>
  <c r="AO50" i="1"/>
  <c r="AO28" i="1"/>
  <c r="AO108" i="1"/>
  <c r="AO121" i="1"/>
  <c r="AO68" i="1"/>
  <c r="AO33" i="1"/>
  <c r="AO76" i="1"/>
  <c r="AO94" i="1"/>
  <c r="AM94" i="1" s="1"/>
  <c r="AO34" i="1"/>
  <c r="AO49" i="1"/>
  <c r="AO96" i="1"/>
  <c r="AO88" i="1"/>
  <c r="AO16" i="1"/>
  <c r="BH84" i="1"/>
  <c r="BG83" i="1"/>
  <c r="BN103" i="1"/>
  <c r="AO104" i="1"/>
  <c r="AH40" i="1"/>
  <c r="CB73" i="1"/>
  <c r="BH58" i="1"/>
  <c r="BH44" i="1"/>
  <c r="BG9" i="1"/>
  <c r="BG54" i="1"/>
  <c r="BG118" i="1"/>
  <c r="AH108" i="1"/>
  <c r="AH67" i="1"/>
  <c r="AH37" i="1"/>
  <c r="AH75" i="1"/>
  <c r="AH29" i="1"/>
  <c r="AI85" i="1"/>
  <c r="AG85" i="1" s="1"/>
  <c r="AI110" i="1"/>
  <c r="AI118" i="1"/>
  <c r="AI31" i="1"/>
  <c r="AI40" i="1"/>
  <c r="AG40" i="1" s="1"/>
  <c r="E40" i="4" s="1"/>
  <c r="AI63" i="1"/>
  <c r="AG63" i="1" s="1"/>
  <c r="E63" i="4" s="1"/>
  <c r="AI35" i="1"/>
  <c r="AI78" i="1"/>
  <c r="AI50" i="1"/>
  <c r="AG50" i="1" s="1"/>
  <c r="E50" i="4" s="1"/>
  <c r="AI53" i="1"/>
  <c r="AI49" i="1"/>
  <c r="AI59" i="1"/>
  <c r="AI111" i="1"/>
  <c r="AI113" i="1"/>
  <c r="AE113" i="1" s="1"/>
  <c r="AF113" i="1" s="1"/>
  <c r="AI109" i="1"/>
  <c r="AI117" i="1"/>
  <c r="AI119" i="1"/>
  <c r="AI122" i="1"/>
  <c r="AI115" i="1"/>
  <c r="AI69" i="1"/>
  <c r="AI60" i="1"/>
  <c r="AE60" i="1" s="1"/>
  <c r="AF60" i="1" s="1"/>
  <c r="D60" i="4" s="1"/>
  <c r="AI75" i="1"/>
  <c r="AG75" i="1" s="1"/>
  <c r="E75" i="4" s="1"/>
  <c r="AI43" i="1"/>
  <c r="AI80" i="1"/>
  <c r="AI52" i="1"/>
  <c r="AI29" i="1"/>
  <c r="AI28" i="1"/>
  <c r="AI36" i="1"/>
  <c r="AI112" i="1"/>
  <c r="AI114" i="1"/>
  <c r="AI33" i="1"/>
  <c r="AI34" i="1"/>
  <c r="AI48" i="1"/>
  <c r="AI73" i="1"/>
  <c r="AI106" i="1"/>
  <c r="AI107" i="1"/>
  <c r="AI86" i="1"/>
  <c r="AI17" i="1"/>
  <c r="AU54" i="1"/>
  <c r="AV54" i="1" s="1"/>
  <c r="S54" i="4" s="1"/>
  <c r="AO83" i="1"/>
  <c r="AO86" i="1"/>
  <c r="BG82" i="1"/>
  <c r="BC82" i="1" s="1"/>
  <c r="BE82" i="1" s="1"/>
  <c r="BG85" i="1"/>
  <c r="BH89" i="1"/>
  <c r="BG81" i="1"/>
  <c r="BD81" i="1" s="1"/>
  <c r="BF81" i="1" s="1"/>
  <c r="AO93" i="1"/>
  <c r="AO97" i="1"/>
  <c r="AO101" i="1"/>
  <c r="AO107" i="1"/>
  <c r="AI99" i="1"/>
  <c r="BO82" i="1"/>
  <c r="BN82" i="1" s="1"/>
  <c r="BP97" i="1"/>
  <c r="BN97" i="1" s="1"/>
  <c r="BG88" i="1"/>
  <c r="BC88" i="1" s="1"/>
  <c r="BE88" i="1" s="1"/>
  <c r="AO87" i="1"/>
  <c r="AM87" i="1" s="1"/>
  <c r="AW104" i="1"/>
  <c r="BP93" i="1"/>
  <c r="BP96" i="1"/>
  <c r="BN96" i="1" s="1"/>
  <c r="BP104" i="1"/>
  <c r="AI104" i="1"/>
  <c r="AI97" i="1"/>
  <c r="AU103" i="1"/>
  <c r="BO100" i="1"/>
  <c r="BP107" i="1"/>
  <c r="BP9" i="1"/>
  <c r="BN9" i="1" s="1"/>
  <c r="M9" i="4" s="1"/>
  <c r="AH28" i="1"/>
  <c r="AG28" i="1" s="1"/>
  <c r="E28" i="4" s="1"/>
  <c r="AH77" i="1"/>
  <c r="AG77" i="1" s="1"/>
  <c r="BP19" i="1"/>
  <c r="BP58" i="1"/>
  <c r="BP30" i="1"/>
  <c r="BN30" i="1" s="1"/>
  <c r="M30" i="4" s="1"/>
  <c r="BP37" i="1"/>
  <c r="BP12" i="1"/>
  <c r="BP71" i="1"/>
  <c r="BP68" i="1"/>
  <c r="BL68" i="1" s="1"/>
  <c r="BM68" i="1" s="1"/>
  <c r="L68" i="4" s="1"/>
  <c r="BP53" i="1"/>
  <c r="BN53" i="1" s="1"/>
  <c r="M53" i="4" s="1"/>
  <c r="BP80" i="1"/>
  <c r="BP67" i="1"/>
  <c r="BN67" i="1" s="1"/>
  <c r="M67" i="4" s="1"/>
  <c r="BP73" i="1"/>
  <c r="BN73" i="1" s="1"/>
  <c r="M73" i="4" s="1"/>
  <c r="BO29" i="1"/>
  <c r="BO31" i="1"/>
  <c r="BN31" i="1" s="1"/>
  <c r="M31" i="4" s="1"/>
  <c r="BO16" i="1"/>
  <c r="BO45" i="1"/>
  <c r="BN45" i="1" s="1"/>
  <c r="M45" i="4" s="1"/>
  <c r="BO51" i="1"/>
  <c r="BL51" i="1" s="1"/>
  <c r="BO36" i="1"/>
  <c r="BO14" i="1"/>
  <c r="BO50" i="1"/>
  <c r="BN50" i="1" s="1"/>
  <c r="M50" i="4" s="1"/>
  <c r="BO39" i="1"/>
  <c r="BO62" i="1"/>
  <c r="BO63" i="1"/>
  <c r="BO64" i="1"/>
  <c r="AW12" i="1"/>
  <c r="T12" i="4" s="1"/>
  <c r="S5" i="6" s="1"/>
  <c r="U5" i="6" s="1"/>
  <c r="C6" i="9" s="1"/>
  <c r="AY13" i="1"/>
  <c r="AW63" i="1"/>
  <c r="T63" i="4" s="1"/>
  <c r="AX14" i="1"/>
  <c r="AU14" i="1" s="1"/>
  <c r="AV14" i="1" s="1"/>
  <c r="S14" i="4" s="1"/>
  <c r="R7" i="6" s="1"/>
  <c r="AX74" i="1"/>
  <c r="AW74" i="1" s="1"/>
  <c r="T74" i="4" s="1"/>
  <c r="AU60" i="1"/>
  <c r="AV60" i="1" s="1"/>
  <c r="S60" i="4" s="1"/>
  <c r="CB49" i="1"/>
  <c r="BH21" i="1"/>
  <c r="BH68" i="1"/>
  <c r="BH74" i="1"/>
  <c r="BH75" i="1"/>
  <c r="BG108" i="1"/>
  <c r="BD108" i="1" s="1"/>
  <c r="BF108" i="1" s="1"/>
  <c r="BG28" i="1"/>
  <c r="BG29" i="1"/>
  <c r="AI87" i="1"/>
  <c r="AI58" i="1"/>
  <c r="AI76" i="1"/>
  <c r="AI62" i="1"/>
  <c r="AO45" i="1"/>
  <c r="AO60" i="1"/>
  <c r="BO120" i="1"/>
  <c r="BO115" i="1"/>
  <c r="BG73" i="1"/>
  <c r="AX73" i="1"/>
  <c r="AU73" i="1" s="1"/>
  <c r="AV73" i="1" s="1"/>
  <c r="S73" i="4" s="1"/>
  <c r="AY73" i="1"/>
  <c r="AI64" i="1"/>
  <c r="AX64" i="1"/>
  <c r="AW64" i="1" s="1"/>
  <c r="T64" i="4" s="1"/>
  <c r="AY64" i="1"/>
  <c r="AO57" i="1"/>
  <c r="AX57" i="1"/>
  <c r="AI56" i="1"/>
  <c r="AX52" i="1"/>
  <c r="AY52" i="1"/>
  <c r="AX50" i="1"/>
  <c r="AY50" i="1"/>
  <c r="AU50" i="1" s="1"/>
  <c r="AV50" i="1" s="1"/>
  <c r="S50" i="4" s="1"/>
  <c r="AI46" i="1"/>
  <c r="AX46" i="1"/>
  <c r="AI42" i="1"/>
  <c r="AY42" i="1"/>
  <c r="N37" i="1"/>
  <c r="AY37" i="1"/>
  <c r="AW37" i="1" s="1"/>
  <c r="T37" i="4" s="1"/>
  <c r="N31" i="1"/>
  <c r="AX31" i="1"/>
  <c r="BG76" i="1"/>
  <c r="BG46" i="1"/>
  <c r="BG17" i="1"/>
  <c r="BG45" i="1"/>
  <c r="BD45" i="1" s="1"/>
  <c r="BF45" i="1" s="1"/>
  <c r="Q45" i="4" s="1"/>
  <c r="BG40" i="1"/>
  <c r="BC40" i="1" s="1"/>
  <c r="BE40" i="1" s="1"/>
  <c r="P40" i="4" s="1"/>
  <c r="Z40" i="4" s="1"/>
  <c r="AA40" i="4" s="1"/>
  <c r="BG60" i="1"/>
  <c r="BG20" i="1"/>
  <c r="BG98" i="1"/>
  <c r="BG120" i="1"/>
  <c r="BG111" i="1"/>
  <c r="BG39" i="1"/>
  <c r="BG48" i="1"/>
  <c r="BD48" i="1" s="1"/>
  <c r="BF48" i="1" s="1"/>
  <c r="Q48" i="4" s="1"/>
  <c r="BG66" i="1"/>
  <c r="BG53" i="1"/>
  <c r="BG49" i="1"/>
  <c r="BG14" i="1"/>
  <c r="BG27" i="1"/>
  <c r="BD27" i="1" s="1"/>
  <c r="BF27" i="1" s="1"/>
  <c r="Q27" i="4" s="1"/>
  <c r="BG109" i="1"/>
  <c r="BG122" i="1"/>
  <c r="BG112" i="1"/>
  <c r="BG59" i="1"/>
  <c r="BC59" i="1" s="1"/>
  <c r="BE59" i="1" s="1"/>
  <c r="P59" i="4" s="1"/>
  <c r="Z59" i="4" s="1"/>
  <c r="AA59" i="4" s="1"/>
  <c r="BG70" i="1"/>
  <c r="BG31" i="1"/>
  <c r="BG36" i="1"/>
  <c r="BC36" i="1" s="1"/>
  <c r="BE36" i="1" s="1"/>
  <c r="P36" i="4" s="1"/>
  <c r="Z36" i="4" s="1"/>
  <c r="AA36" i="4" s="1"/>
  <c r="BG119" i="1"/>
  <c r="BG90" i="1"/>
  <c r="BG93" i="1"/>
  <c r="BG101" i="1"/>
  <c r="BC101" i="1" s="1"/>
  <c r="BE101" i="1" s="1"/>
  <c r="BG95" i="1"/>
  <c r="BH81" i="1"/>
  <c r="BG87" i="1"/>
  <c r="BH85" i="1"/>
  <c r="BG94" i="1"/>
  <c r="BH95" i="1"/>
  <c r="BH99" i="1"/>
  <c r="AW84" i="1"/>
  <c r="AW81" i="1"/>
  <c r="BH9" i="1"/>
  <c r="BH83" i="1"/>
  <c r="BD83" i="1" s="1"/>
  <c r="BF83" i="1" s="1"/>
  <c r="BG84" i="1"/>
  <c r="BG86" i="1"/>
  <c r="AO90" i="1"/>
  <c r="BL92" i="1"/>
  <c r="BM92" i="1" s="1"/>
  <c r="BL90" i="1"/>
  <c r="BM90" i="1" s="1"/>
  <c r="BH96" i="1"/>
  <c r="BG106" i="1"/>
  <c r="BD106" i="1" s="1"/>
  <c r="BF106" i="1" s="1"/>
  <c r="BG96" i="1"/>
  <c r="BC96" i="1" s="1"/>
  <c r="BE96" i="1" s="1"/>
  <c r="BG104" i="1"/>
  <c r="BO91" i="1"/>
  <c r="BG103" i="1"/>
  <c r="BP94" i="1"/>
  <c r="BL94" i="1" s="1"/>
  <c r="BM94" i="1" s="1"/>
  <c r="AH42" i="1"/>
  <c r="AE42" i="1" s="1"/>
  <c r="AF42" i="1" s="1"/>
  <c r="D42" i="4" s="1"/>
  <c r="BP41" i="1"/>
  <c r="BP60" i="1"/>
  <c r="BN60" i="1" s="1"/>
  <c r="M60" i="4" s="1"/>
  <c r="BP29" i="1"/>
  <c r="BP72" i="1"/>
  <c r="BP54" i="1"/>
  <c r="BP70" i="1"/>
  <c r="BL70" i="1" s="1"/>
  <c r="BM70" i="1" s="1"/>
  <c r="L70" i="4" s="1"/>
  <c r="BP15" i="1"/>
  <c r="BP49" i="1"/>
  <c r="BP77" i="1"/>
  <c r="BN77" i="1" s="1"/>
  <c r="BP64" i="1"/>
  <c r="BP61" i="1"/>
  <c r="BO21" i="1"/>
  <c r="BL21" i="1" s="1"/>
  <c r="N21" i="4" s="1"/>
  <c r="BO19" i="1"/>
  <c r="BO58" i="1"/>
  <c r="BL58" i="1" s="1"/>
  <c r="BO33" i="1"/>
  <c r="BL33" i="1" s="1"/>
  <c r="BO43" i="1"/>
  <c r="BO80" i="1"/>
  <c r="BO57" i="1"/>
  <c r="BN57" i="1" s="1"/>
  <c r="M57" i="4" s="1"/>
  <c r="BO48" i="1"/>
  <c r="BL48" i="1" s="1"/>
  <c r="BO75" i="1"/>
  <c r="BO37" i="1"/>
  <c r="BO78" i="1"/>
  <c r="BN78" i="1" s="1"/>
  <c r="BO59" i="1"/>
  <c r="BN59" i="1" s="1"/>
  <c r="M59" i="4" s="1"/>
  <c r="AY30" i="1"/>
  <c r="AY29" i="1"/>
  <c r="AU29" i="1" s="1"/>
  <c r="AV29" i="1" s="1"/>
  <c r="S29" i="4" s="1"/>
  <c r="AW59" i="1"/>
  <c r="T59" i="4" s="1"/>
  <c r="BH115" i="1"/>
  <c r="BH31" i="1"/>
  <c r="BD31" i="1" s="1"/>
  <c r="BF31" i="1" s="1"/>
  <c r="Q31" i="4" s="1"/>
  <c r="BH53" i="1"/>
  <c r="BC53" i="1" s="1"/>
  <c r="BE53" i="1" s="1"/>
  <c r="P53" i="4" s="1"/>
  <c r="Z53" i="4" s="1"/>
  <c r="AA53" i="4" s="1"/>
  <c r="BH56" i="1"/>
  <c r="BH37" i="1"/>
  <c r="BG100" i="1"/>
  <c r="BG21" i="1"/>
  <c r="BG51" i="1"/>
  <c r="BD51" i="1" s="1"/>
  <c r="BF51" i="1" s="1"/>
  <c r="Q51" i="4" s="1"/>
  <c r="BG62" i="1"/>
  <c r="AI74" i="1"/>
  <c r="AI70" i="1"/>
  <c r="AE70" i="1" s="1"/>
  <c r="AF70" i="1" s="1"/>
  <c r="D70" i="4" s="1"/>
  <c r="AO79" i="1"/>
  <c r="BP91" i="1"/>
  <c r="BP120" i="1"/>
  <c r="BN120" i="1" s="1"/>
  <c r="N75" i="1"/>
  <c r="AX75" i="1"/>
  <c r="AW75" i="1" s="1"/>
  <c r="T75" i="4" s="1"/>
  <c r="AU74" i="1"/>
  <c r="AV74" i="1" s="1"/>
  <c r="S74" i="4" s="1"/>
  <c r="AX67" i="1"/>
  <c r="AY67" i="1"/>
  <c r="N19" i="1"/>
  <c r="AX19" i="1"/>
  <c r="AU19" i="1" s="1"/>
  <c r="AV19" i="1" s="1"/>
  <c r="S19" i="4" s="1"/>
  <c r="R12" i="6" s="1"/>
  <c r="T12" i="6" s="1"/>
  <c r="B13" i="9" s="1"/>
  <c r="N53" i="1"/>
  <c r="AX53" i="1"/>
  <c r="AW53" i="1" s="1"/>
  <c r="T53" i="4" s="1"/>
  <c r="N43" i="1"/>
  <c r="AX43" i="1"/>
  <c r="AY43" i="1"/>
  <c r="AI39" i="1"/>
  <c r="AI38" i="1"/>
  <c r="AG38" i="1" s="1"/>
  <c r="E38" i="4" s="1"/>
  <c r="AI32" i="1"/>
  <c r="AE32" i="1" s="1"/>
  <c r="AF32" i="1" s="1"/>
  <c r="D32" i="4" s="1"/>
  <c r="CB78" i="1"/>
  <c r="AX18" i="1"/>
  <c r="N18" i="1"/>
  <c r="AW45" i="1"/>
  <c r="T45" i="4" s="1"/>
  <c r="AW33" i="1"/>
  <c r="T33" i="4" s="1"/>
  <c r="AW71" i="1"/>
  <c r="T71" i="4" s="1"/>
  <c r="BD118" i="1"/>
  <c r="BF118" i="1" s="1"/>
  <c r="BC108" i="1"/>
  <c r="BE108" i="1" s="1"/>
  <c r="N74" i="1"/>
  <c r="AI71" i="1"/>
  <c r="AE71" i="1" s="1"/>
  <c r="AF71" i="1" s="1"/>
  <c r="D71" i="4" s="1"/>
  <c r="N69" i="1"/>
  <c r="N68" i="1"/>
  <c r="N67" i="1"/>
  <c r="AI66" i="1"/>
  <c r="AI54" i="1"/>
  <c r="AO48" i="1"/>
  <c r="AO40" i="1"/>
  <c r="N14" i="1"/>
  <c r="AU34" i="1"/>
  <c r="AV34" i="1" s="1"/>
  <c r="S34" i="4" s="1"/>
  <c r="AW79" i="1"/>
  <c r="AW121" i="1"/>
  <c r="N17" i="1"/>
  <c r="AI16" i="1"/>
  <c r="N17" i="4"/>
  <c r="BM17" i="1"/>
  <c r="L17" i="4" s="1"/>
  <c r="BN86" i="1"/>
  <c r="BL86" i="1"/>
  <c r="BM86" i="1" s="1"/>
  <c r="BD86" i="1"/>
  <c r="BF86" i="1" s="1"/>
  <c r="BC86" i="1"/>
  <c r="BE86" i="1" s="1"/>
  <c r="AW102" i="1"/>
  <c r="AU68" i="1"/>
  <c r="AV68" i="1" s="1"/>
  <c r="S68" i="4" s="1"/>
  <c r="AX102" i="1"/>
  <c r="AO102" i="1"/>
  <c r="BH102" i="1"/>
  <c r="AI102" i="1"/>
  <c r="AO98" i="1"/>
  <c r="AX98" i="1"/>
  <c r="AI89" i="1"/>
  <c r="AY89" i="1"/>
  <c r="AU89" i="1" s="1"/>
  <c r="AV89" i="1" s="1"/>
  <c r="BG89" i="1"/>
  <c r="BD89" i="1" s="1"/>
  <c r="BF89" i="1" s="1"/>
  <c r="AO89" i="1"/>
  <c r="AH83" i="1"/>
  <c r="AI83" i="1"/>
  <c r="AX83" i="1"/>
  <c r="AY83" i="1"/>
  <c r="BP83" i="1"/>
  <c r="AX65" i="1"/>
  <c r="BO65" i="1"/>
  <c r="BP65" i="1"/>
  <c r="AY65" i="1"/>
  <c r="AU65" i="1" s="1"/>
  <c r="AV65" i="1" s="1"/>
  <c r="S65" i="4" s="1"/>
  <c r="BM11" i="1"/>
  <c r="L11" i="4" s="1"/>
  <c r="N11" i="4"/>
  <c r="BM21" i="1"/>
  <c r="L21" i="4" s="1"/>
  <c r="BC81" i="1"/>
  <c r="BE81" i="1" s="1"/>
  <c r="BN92" i="1"/>
  <c r="AW103" i="1"/>
  <c r="BN13" i="1"/>
  <c r="M13" i="4" s="1"/>
  <c r="BL13" i="1"/>
  <c r="AW44" i="1"/>
  <c r="T44" i="4" s="1"/>
  <c r="BC83" i="1"/>
  <c r="BE83" i="1" s="1"/>
  <c r="BC89" i="1"/>
  <c r="BE89" i="1" s="1"/>
  <c r="AU86" i="1"/>
  <c r="AV86" i="1" s="1"/>
  <c r="AE40" i="1"/>
  <c r="AF40" i="1" s="1"/>
  <c r="D40" i="4" s="1"/>
  <c r="AH10" i="1"/>
  <c r="AH15" i="1"/>
  <c r="AH20" i="1"/>
  <c r="AH14" i="1"/>
  <c r="AH9" i="1"/>
  <c r="AH111" i="1"/>
  <c r="AH95" i="1"/>
  <c r="AG95" i="1" s="1"/>
  <c r="AH122" i="1"/>
  <c r="AH120" i="1"/>
  <c r="AE120" i="1" s="1"/>
  <c r="AF120" i="1" s="1"/>
  <c r="AH118" i="1"/>
  <c r="AH121" i="1"/>
  <c r="AH119" i="1"/>
  <c r="AH115" i="1"/>
  <c r="AE115" i="1" s="1"/>
  <c r="AF115" i="1" s="1"/>
  <c r="AH106" i="1"/>
  <c r="AE106" i="1" s="1"/>
  <c r="AF106" i="1" s="1"/>
  <c r="AH89" i="1"/>
  <c r="AH113" i="1"/>
  <c r="AH100" i="1"/>
  <c r="AE100" i="1" s="1"/>
  <c r="AF100" i="1" s="1"/>
  <c r="AH107" i="1"/>
  <c r="AH109" i="1"/>
  <c r="AH102" i="1"/>
  <c r="AH11" i="1"/>
  <c r="AH13" i="1"/>
  <c r="AH21" i="1"/>
  <c r="AH103" i="1"/>
  <c r="AG103" i="1" s="1"/>
  <c r="AH112" i="1"/>
  <c r="AH98" i="1"/>
  <c r="BL9" i="1"/>
  <c r="AH88" i="1"/>
  <c r="AG88" i="1" s="1"/>
  <c r="AH96" i="1"/>
  <c r="AH81" i="1"/>
  <c r="AE81" i="1" s="1"/>
  <c r="AF81" i="1" s="1"/>
  <c r="AH94" i="1"/>
  <c r="AE94" i="1" s="1"/>
  <c r="AF94" i="1" s="1"/>
  <c r="AH57" i="1"/>
  <c r="AH51" i="1"/>
  <c r="AG51" i="1" s="1"/>
  <c r="E51" i="4" s="1"/>
  <c r="AH27" i="1"/>
  <c r="AE27" i="1" s="1"/>
  <c r="AF27" i="1" s="1"/>
  <c r="D27" i="4" s="1"/>
  <c r="AH58" i="1"/>
  <c r="AH71" i="1"/>
  <c r="AG71" i="1" s="1"/>
  <c r="E71" i="4" s="1"/>
  <c r="AH79" i="1"/>
  <c r="AE79" i="1" s="1"/>
  <c r="AF79" i="1" s="1"/>
  <c r="AH56" i="1"/>
  <c r="AH48" i="1"/>
  <c r="AH33" i="1"/>
  <c r="AG33" i="1" s="1"/>
  <c r="E33" i="4" s="1"/>
  <c r="AH72" i="1"/>
  <c r="AH68" i="1"/>
  <c r="AH80" i="1"/>
  <c r="AE80" i="1" s="1"/>
  <c r="AF80" i="1" s="1"/>
  <c r="AH63" i="1"/>
  <c r="AE63" i="1" s="1"/>
  <c r="AF63" i="1" s="1"/>
  <c r="D63" i="4" s="1"/>
  <c r="BP10" i="1"/>
  <c r="BP32" i="1"/>
  <c r="BN32" i="1" s="1"/>
  <c r="M32" i="4" s="1"/>
  <c r="BP38" i="1"/>
  <c r="BN17" i="1"/>
  <c r="M17" i="4" s="1"/>
  <c r="AY32" i="1"/>
  <c r="AW32" i="1" s="1"/>
  <c r="T32" i="4" s="1"/>
  <c r="AY10" i="1"/>
  <c r="AX32" i="1"/>
  <c r="CB70" i="1"/>
  <c r="BH73" i="1"/>
  <c r="BG10" i="1"/>
  <c r="BG56" i="1"/>
  <c r="BD56" i="1" s="1"/>
  <c r="BF56" i="1" s="1"/>
  <c r="Q56" i="4" s="1"/>
  <c r="AH117" i="1"/>
  <c r="AE117" i="1" s="1"/>
  <c r="AF117" i="1" s="1"/>
  <c r="BL120" i="1"/>
  <c r="BM120" i="1" s="1"/>
  <c r="AH99" i="1"/>
  <c r="BP114" i="1"/>
  <c r="BL114" i="1" s="1"/>
  <c r="BM114" i="1" s="1"/>
  <c r="BP113" i="1"/>
  <c r="BP109" i="1"/>
  <c r="BP89" i="1"/>
  <c r="BN89" i="1" s="1"/>
  <c r="BP100" i="1"/>
  <c r="BP112" i="1"/>
  <c r="BP108" i="1"/>
  <c r="BP111" i="1"/>
  <c r="BP119" i="1"/>
  <c r="BL119" i="1" s="1"/>
  <c r="BM119" i="1" s="1"/>
  <c r="BP110" i="1"/>
  <c r="BP98" i="1"/>
  <c r="BP116" i="1"/>
  <c r="BP121" i="1"/>
  <c r="BP117" i="1"/>
  <c r="N97" i="1"/>
  <c r="N82" i="1"/>
  <c r="N64" i="1"/>
  <c r="N46" i="1"/>
  <c r="BL82" i="1"/>
  <c r="BM82" i="1" s="1"/>
  <c r="AH82" i="1"/>
  <c r="AH87" i="1"/>
  <c r="AH93" i="1"/>
  <c r="AH104" i="1"/>
  <c r="AH34" i="1"/>
  <c r="AH38" i="1"/>
  <c r="AH66" i="1"/>
  <c r="AE66" i="1" s="1"/>
  <c r="AF66" i="1" s="1"/>
  <c r="D66" i="4" s="1"/>
  <c r="AH73" i="1"/>
  <c r="AH55" i="1"/>
  <c r="AH53" i="1"/>
  <c r="AH69" i="1"/>
  <c r="AG69" i="1" s="1"/>
  <c r="E69" i="4" s="1"/>
  <c r="AH54" i="1"/>
  <c r="AH46" i="1"/>
  <c r="AH31" i="1"/>
  <c r="AG31" i="1" s="1"/>
  <c r="E31" i="4" s="1"/>
  <c r="AH39" i="1"/>
  <c r="AG39" i="1" s="1"/>
  <c r="E39" i="4" s="1"/>
  <c r="AH65" i="1"/>
  <c r="AH76" i="1"/>
  <c r="AH64" i="1"/>
  <c r="AE64" i="1" s="1"/>
  <c r="AF64" i="1" s="1"/>
  <c r="D64" i="4" s="1"/>
  <c r="BN18" i="1"/>
  <c r="M18" i="4" s="1"/>
  <c r="BL19" i="1"/>
  <c r="BO10" i="1"/>
  <c r="BL52" i="1"/>
  <c r="BL66" i="1"/>
  <c r="BM66" i="1" s="1"/>
  <c r="L66" i="4" s="1"/>
  <c r="AY38" i="1"/>
  <c r="AY39" i="1"/>
  <c r="AX10" i="1"/>
  <c r="AU10" i="1" s="1"/>
  <c r="AV10" i="1" s="1"/>
  <c r="S10" i="4" s="1"/>
  <c r="R3" i="6" s="1"/>
  <c r="AX38" i="1"/>
  <c r="BH32" i="1"/>
  <c r="BG32" i="1"/>
  <c r="AI57" i="1"/>
  <c r="AE57" i="1" s="1"/>
  <c r="AF57" i="1" s="1"/>
  <c r="D57" i="4" s="1"/>
  <c r="AO46" i="1"/>
  <c r="AH110" i="1"/>
  <c r="AU113" i="1"/>
  <c r="AV113" i="1" s="1"/>
  <c r="AY108" i="1"/>
  <c r="AU108" i="1" s="1"/>
  <c r="AV108" i="1" s="1"/>
  <c r="AY98" i="1"/>
  <c r="AY122" i="1"/>
  <c r="AU122" i="1" s="1"/>
  <c r="AV122" i="1" s="1"/>
  <c r="AY118" i="1"/>
  <c r="AY116" i="1"/>
  <c r="AW116" i="1" s="1"/>
  <c r="AY114" i="1"/>
  <c r="AY117" i="1"/>
  <c r="AY110" i="1"/>
  <c r="AY92" i="1"/>
  <c r="AY100" i="1"/>
  <c r="AY120" i="1"/>
  <c r="AW120" i="1" s="1"/>
  <c r="BG116" i="1"/>
  <c r="BG64" i="1"/>
  <c r="BG79" i="1"/>
  <c r="BG115" i="1"/>
  <c r="BD115" i="1" s="1"/>
  <c r="BF115" i="1" s="1"/>
  <c r="BG74" i="1"/>
  <c r="BG72" i="1"/>
  <c r="BG80" i="1"/>
  <c r="BG65" i="1"/>
  <c r="BG42" i="1"/>
  <c r="BG50" i="1"/>
  <c r="BD50" i="1" s="1"/>
  <c r="BF50" i="1" s="1"/>
  <c r="Q50" i="4" s="1"/>
  <c r="BG63" i="1"/>
  <c r="BG58" i="1"/>
  <c r="BD58" i="1" s="1"/>
  <c r="BF58" i="1" s="1"/>
  <c r="Q58" i="4" s="1"/>
  <c r="BG69" i="1"/>
  <c r="BG67" i="1"/>
  <c r="BG57" i="1"/>
  <c r="BC57" i="1" s="1"/>
  <c r="BE57" i="1" s="1"/>
  <c r="P57" i="4" s="1"/>
  <c r="BG35" i="1"/>
  <c r="BG16" i="1"/>
  <c r="BG11" i="1"/>
  <c r="BG12" i="1"/>
  <c r="BG113" i="1"/>
  <c r="BC113" i="1" s="1"/>
  <c r="BE113" i="1" s="1"/>
  <c r="BG77" i="1"/>
  <c r="BC77" i="1" s="1"/>
  <c r="BE77" i="1" s="1"/>
  <c r="BG75" i="1"/>
  <c r="BC75" i="1" s="1"/>
  <c r="BE75" i="1" s="1"/>
  <c r="P75" i="4" s="1"/>
  <c r="Z75" i="4" s="1"/>
  <c r="AA75" i="4" s="1"/>
  <c r="BG33" i="1"/>
  <c r="BG61" i="1"/>
  <c r="BG44" i="1"/>
  <c r="BD44" i="1" s="1"/>
  <c r="BF44" i="1" s="1"/>
  <c r="Q44" i="4" s="1"/>
  <c r="BG52" i="1"/>
  <c r="BD52" i="1" s="1"/>
  <c r="BF52" i="1" s="1"/>
  <c r="Q52" i="4" s="1"/>
  <c r="BG68" i="1"/>
  <c r="BG13" i="1"/>
  <c r="BG78" i="1"/>
  <c r="BD78" i="1" s="1"/>
  <c r="BF78" i="1" s="1"/>
  <c r="BG71" i="1"/>
  <c r="BC71" i="1" s="1"/>
  <c r="BE71" i="1" s="1"/>
  <c r="P71" i="4" s="1"/>
  <c r="Z71" i="4" s="1"/>
  <c r="AA71" i="4" s="1"/>
  <c r="BG19" i="1"/>
  <c r="BG37" i="1"/>
  <c r="BD37" i="1" s="1"/>
  <c r="BF37" i="1" s="1"/>
  <c r="Q37" i="4" s="1"/>
  <c r="BG18" i="1"/>
  <c r="BG15" i="1"/>
  <c r="BH112" i="1"/>
  <c r="BH110" i="1"/>
  <c r="BC110" i="1" s="1"/>
  <c r="BE110" i="1" s="1"/>
  <c r="AH91" i="1"/>
  <c r="AI91" i="1"/>
  <c r="AE91" i="1" s="1"/>
  <c r="AF91" i="1" s="1"/>
  <c r="AO91" i="1"/>
  <c r="N89" i="1"/>
  <c r="N83" i="1"/>
  <c r="AY72" i="1"/>
  <c r="AU72" i="1" s="1"/>
  <c r="AV72" i="1" s="1"/>
  <c r="S72" i="4" s="1"/>
  <c r="AO72" i="1"/>
  <c r="AI72" i="1"/>
  <c r="AG72" i="1" s="1"/>
  <c r="E72" i="4" s="1"/>
  <c r="N65" i="1"/>
  <c r="N47" i="1"/>
  <c r="AO41" i="1"/>
  <c r="AI41" i="1"/>
  <c r="N39" i="1"/>
  <c r="AH19" i="1"/>
  <c r="B7" i="6"/>
  <c r="A8" i="9" s="1"/>
  <c r="F3" i="9" s="1"/>
  <c r="C11" i="5"/>
  <c r="E11" i="5" s="1"/>
  <c r="AW9" i="1"/>
  <c r="T9" i="4" s="1"/>
  <c r="S2" i="6" s="1"/>
  <c r="U2" i="6" s="1"/>
  <c r="C3" i="9" s="1"/>
  <c r="AH86" i="1"/>
  <c r="AE101" i="1"/>
  <c r="AF101" i="1" s="1"/>
  <c r="AH101" i="1"/>
  <c r="AG101" i="1" s="1"/>
  <c r="AH90" i="1"/>
  <c r="AE90" i="1" s="1"/>
  <c r="AF90" i="1" s="1"/>
  <c r="AE103" i="1"/>
  <c r="AF103" i="1" s="1"/>
  <c r="AH61" i="1"/>
  <c r="AG61" i="1" s="1"/>
  <c r="E61" i="4" s="1"/>
  <c r="AH35" i="1"/>
  <c r="AG35" i="1" s="1"/>
  <c r="E35" i="4" s="1"/>
  <c r="AH49" i="1"/>
  <c r="AG49" i="1" s="1"/>
  <c r="E49" i="4" s="1"/>
  <c r="AH59" i="1"/>
  <c r="AH43" i="1"/>
  <c r="AG43" i="1" s="1"/>
  <c r="E43" i="4" s="1"/>
  <c r="AH45" i="1"/>
  <c r="AE45" i="1" s="1"/>
  <c r="AF45" i="1" s="1"/>
  <c r="D45" i="4" s="1"/>
  <c r="AH41" i="1"/>
  <c r="AG41" i="1" s="1"/>
  <c r="E41" i="4" s="1"/>
  <c r="AH52" i="1"/>
  <c r="AH44" i="1"/>
  <c r="AE44" i="1" s="1"/>
  <c r="AF44" i="1" s="1"/>
  <c r="D44" i="4" s="1"/>
  <c r="AH78" i="1"/>
  <c r="AE78" i="1" s="1"/>
  <c r="AF78" i="1" s="1"/>
  <c r="AH36" i="1"/>
  <c r="AE36" i="1" s="1"/>
  <c r="AF36" i="1" s="1"/>
  <c r="D36" i="4" s="1"/>
  <c r="AH62" i="1"/>
  <c r="AE62" i="1" s="1"/>
  <c r="AF62" i="1" s="1"/>
  <c r="D62" i="4" s="1"/>
  <c r="AH74" i="1"/>
  <c r="BP39" i="1"/>
  <c r="BN39" i="1" s="1"/>
  <c r="M39" i="4" s="1"/>
  <c r="BO38" i="1"/>
  <c r="BN38" i="1" s="1"/>
  <c r="M38" i="4" s="1"/>
  <c r="BL36" i="1"/>
  <c r="AU17" i="1"/>
  <c r="AV17" i="1" s="1"/>
  <c r="S17" i="4" s="1"/>
  <c r="R10" i="6" s="1"/>
  <c r="AX39" i="1"/>
  <c r="BD113" i="1"/>
  <c r="BF113" i="1" s="1"/>
  <c r="BH38" i="1"/>
  <c r="BG38" i="1"/>
  <c r="AU114" i="1"/>
  <c r="AV114" i="1" s="1"/>
  <c r="AH114" i="1"/>
  <c r="AE114" i="1" s="1"/>
  <c r="AF114" i="1" s="1"/>
  <c r="CB69" i="1"/>
  <c r="CB88" i="1"/>
  <c r="CB89" i="1"/>
  <c r="AH97" i="1"/>
  <c r="AG97" i="1" s="1"/>
  <c r="BM103" i="1"/>
  <c r="CB75" i="1"/>
  <c r="CB71" i="1"/>
  <c r="CB59" i="1"/>
  <c r="AE30" i="1"/>
  <c r="AF30" i="1" s="1"/>
  <c r="D30" i="4" s="1"/>
  <c r="AU28" i="1"/>
  <c r="AV28" i="1" s="1"/>
  <c r="S28" i="4" s="1"/>
  <c r="BN19" i="1"/>
  <c r="M19" i="4" s="1"/>
  <c r="BL18" i="1"/>
  <c r="BM18" i="1" s="1"/>
  <c r="L18" i="4" s="1"/>
  <c r="AU18" i="1"/>
  <c r="AV18" i="1" s="1"/>
  <c r="S18" i="4" s="1"/>
  <c r="R11" i="6" s="1"/>
  <c r="T11" i="6" s="1"/>
  <c r="B12" i="9" s="1"/>
  <c r="AW17" i="1"/>
  <c r="T17" i="4" s="1"/>
  <c r="S10" i="6" s="1"/>
  <c r="U10" i="6" s="1"/>
  <c r="C11" i="9" s="1"/>
  <c r="BN15" i="1"/>
  <c r="M15" i="4" s="1"/>
  <c r="BN11" i="1"/>
  <c r="M11" i="4" s="1"/>
  <c r="BL10" i="1"/>
  <c r="AW58" i="1"/>
  <c r="T58" i="4" s="1"/>
  <c r="AW54" i="1"/>
  <c r="T54" i="4" s="1"/>
  <c r="AG117" i="1"/>
  <c r="BN115" i="1"/>
  <c r="BC115" i="1"/>
  <c r="BE115" i="1" s="1"/>
  <c r="AE85" i="1"/>
  <c r="AF85" i="1" s="1"/>
  <c r="BL81" i="1"/>
  <c r="BM81" i="1" s="1"/>
  <c r="N95" i="1"/>
  <c r="N88" i="1"/>
  <c r="AH84" i="1"/>
  <c r="AE84" i="1" s="1"/>
  <c r="AF84" i="1" s="1"/>
  <c r="N81" i="1"/>
  <c r="N76" i="1"/>
  <c r="N70" i="1"/>
  <c r="N63" i="1"/>
  <c r="N56" i="1"/>
  <c r="N51" i="1"/>
  <c r="N38" i="1"/>
  <c r="BP25" i="1"/>
  <c r="AU121" i="1"/>
  <c r="AV121" i="1" s="1"/>
  <c r="AU120" i="1"/>
  <c r="AV120" i="1" s="1"/>
  <c r="BL97" i="1"/>
  <c r="BM97" i="1" s="1"/>
  <c r="AW97" i="1"/>
  <c r="AU95" i="1"/>
  <c r="AV95" i="1" s="1"/>
  <c r="BN94" i="1"/>
  <c r="BC94" i="1"/>
  <c r="BE94" i="1" s="1"/>
  <c r="AG94" i="1"/>
  <c r="BN90" i="1"/>
  <c r="BC90" i="1"/>
  <c r="BE90" i="1" s="1"/>
  <c r="BL89" i="1"/>
  <c r="BM89" i="1" s="1"/>
  <c r="AW89" i="1"/>
  <c r="BL88" i="1"/>
  <c r="BM88" i="1" s="1"/>
  <c r="AE88" i="1"/>
  <c r="AF88" i="1" s="1"/>
  <c r="AU87" i="1"/>
  <c r="AV87" i="1" s="1"/>
  <c r="N102" i="1"/>
  <c r="N98" i="1"/>
  <c r="N85" i="1"/>
  <c r="N73" i="1"/>
  <c r="N42" i="1"/>
  <c r="N32" i="1"/>
  <c r="AG80" i="1"/>
  <c r="AY106" i="1"/>
  <c r="BP85" i="1"/>
  <c r="BP87" i="1"/>
  <c r="BN87" i="1" s="1"/>
  <c r="N61" i="1"/>
  <c r="N35" i="1"/>
  <c r="N34" i="1"/>
  <c r="AH18" i="1"/>
  <c r="AO18" i="1"/>
  <c r="AH17" i="1"/>
  <c r="BD53" i="1"/>
  <c r="BF53" i="1" s="1"/>
  <c r="Q53" i="4" s="1"/>
  <c r="AG52" i="1"/>
  <c r="E52" i="4" s="1"/>
  <c r="AE51" i="1"/>
  <c r="AU49" i="1"/>
  <c r="AV49" i="1" s="1"/>
  <c r="S49" i="4" s="1"/>
  <c r="BC44" i="1"/>
  <c r="BE44" i="1" s="1"/>
  <c r="P44" i="4" s="1"/>
  <c r="Z44" i="4" s="1"/>
  <c r="AA44" i="4" s="1"/>
  <c r="AG44" i="1"/>
  <c r="E44" i="4" s="1"/>
  <c r="BL43" i="1"/>
  <c r="AE43" i="1"/>
  <c r="AU41" i="1"/>
  <c r="AV41" i="1" s="1"/>
  <c r="S41" i="4" s="1"/>
  <c r="BN40" i="1"/>
  <c r="M40" i="4" s="1"/>
  <c r="AW38" i="1"/>
  <c r="T38" i="4" s="1"/>
  <c r="BN36" i="1"/>
  <c r="M36" i="4" s="1"/>
  <c r="AU35" i="1"/>
  <c r="AW34" i="1"/>
  <c r="T34" i="4" s="1"/>
  <c r="AU33" i="1"/>
  <c r="AV33" i="1" s="1"/>
  <c r="S33" i="4" s="1"/>
  <c r="AG32" i="1"/>
  <c r="E32" i="4" s="1"/>
  <c r="BL31" i="1"/>
  <c r="BM31" i="1" s="1"/>
  <c r="L31" i="4" s="1"/>
  <c r="AE31" i="1"/>
  <c r="AF31" i="1" s="1"/>
  <c r="D31" i="4" s="1"/>
  <c r="AW80" i="1"/>
  <c r="AU79" i="1"/>
  <c r="AV79" i="1" s="1"/>
  <c r="BC78" i="1"/>
  <c r="BE78" i="1" s="1"/>
  <c r="BL77" i="1"/>
  <c r="BM77" i="1" s="1"/>
  <c r="BL75" i="1"/>
  <c r="N75" i="4" s="1"/>
  <c r="BL71" i="1"/>
  <c r="N71" i="4" s="1"/>
  <c r="AU71" i="1"/>
  <c r="AV71" i="1" s="1"/>
  <c r="S71" i="4" s="1"/>
  <c r="BC70" i="1"/>
  <c r="BE70" i="1" s="1"/>
  <c r="P70" i="4" s="1"/>
  <c r="Z70" i="4" s="1"/>
  <c r="AA70" i="4" s="1"/>
  <c r="AG70" i="1"/>
  <c r="E70" i="4" s="1"/>
  <c r="BL69" i="1"/>
  <c r="BL67" i="1"/>
  <c r="N67" i="4" s="1"/>
  <c r="AU67" i="1"/>
  <c r="AV67" i="1" s="1"/>
  <c r="S67" i="4" s="1"/>
  <c r="BN66" i="1"/>
  <c r="M66" i="4" s="1"/>
  <c r="BL65" i="1"/>
  <c r="BM65" i="1" s="1"/>
  <c r="L65" i="4" s="1"/>
  <c r="AG62" i="1"/>
  <c r="E62" i="4" s="1"/>
  <c r="AE61" i="1"/>
  <c r="AF61" i="1" s="1"/>
  <c r="D61" i="4" s="1"/>
  <c r="AW60" i="1"/>
  <c r="T60" i="4" s="1"/>
  <c r="AU59" i="1"/>
  <c r="AV59" i="1" s="1"/>
  <c r="S59" i="4" s="1"/>
  <c r="C10" i="5"/>
  <c r="E10" i="5" s="1"/>
  <c r="N10" i="1"/>
  <c r="AH16" i="1"/>
  <c r="AH12" i="1"/>
  <c r="Z30" i="4"/>
  <c r="AA30" i="4" s="1"/>
  <c r="N31" i="4"/>
  <c r="N70" i="4"/>
  <c r="AW98" i="1"/>
  <c r="AU98" i="1"/>
  <c r="AV98" i="1" s="1"/>
  <c r="AU69" i="1"/>
  <c r="AV69" i="1" s="1"/>
  <c r="S69" i="4" s="1"/>
  <c r="AW62" i="1"/>
  <c r="T62" i="4" s="1"/>
  <c r="AU62" i="1"/>
  <c r="AV62" i="1" s="1"/>
  <c r="S62" i="4" s="1"/>
  <c r="BC68" i="1"/>
  <c r="BE68" i="1" s="1"/>
  <c r="P68" i="4" s="1"/>
  <c r="Z68" i="4" s="1"/>
  <c r="AA68" i="4" s="1"/>
  <c r="BD68" i="1"/>
  <c r="BF68" i="1" s="1"/>
  <c r="Q68" i="4" s="1"/>
  <c r="BN113" i="1"/>
  <c r="BL113" i="1"/>
  <c r="BM113" i="1" s="1"/>
  <c r="N116" i="1"/>
  <c r="AG116" i="1"/>
  <c r="AE116" i="1"/>
  <c r="AF116" i="1" s="1"/>
  <c r="N48" i="1"/>
  <c r="AW48" i="1"/>
  <c r="T48" i="4" s="1"/>
  <c r="BO47" i="1"/>
  <c r="AO47" i="1"/>
  <c r="AI47" i="1"/>
  <c r="BH47" i="1"/>
  <c r="AY47" i="1"/>
  <c r="AH47" i="1"/>
  <c r="AX47" i="1"/>
  <c r="BG47" i="1"/>
  <c r="BP47" i="1"/>
  <c r="BN47" i="1" s="1"/>
  <c r="M47" i="4" s="1"/>
  <c r="N27" i="1"/>
  <c r="AI26" i="1"/>
  <c r="BG26" i="1"/>
  <c r="BP26" i="1"/>
  <c r="BH26" i="1"/>
  <c r="AH26" i="1"/>
  <c r="AY26" i="1"/>
  <c r="AI24" i="1"/>
  <c r="BG24" i="1"/>
  <c r="AX24" i="1"/>
  <c r="BH24" i="1"/>
  <c r="BP24" i="1"/>
  <c r="AY24" i="1"/>
  <c r="BO24" i="1"/>
  <c r="AI23" i="1"/>
  <c r="BG23" i="1"/>
  <c r="N23" i="1"/>
  <c r="BH23" i="1"/>
  <c r="AO23" i="1"/>
  <c r="AH23" i="1"/>
  <c r="AX23" i="1"/>
  <c r="AW23" i="1" s="1"/>
  <c r="T23" i="4" s="1"/>
  <c r="S16" i="6" s="1"/>
  <c r="U16" i="6" s="1"/>
  <c r="AU30" i="1"/>
  <c r="AV30" i="1" s="1"/>
  <c r="S30" i="4" s="1"/>
  <c r="AW30" i="1"/>
  <c r="T30" i="4" s="1"/>
  <c r="BC29" i="1"/>
  <c r="BE29" i="1" s="1"/>
  <c r="P29" i="4" s="1"/>
  <c r="Z29" i="4" s="1"/>
  <c r="AA29" i="4" s="1"/>
  <c r="BC27" i="1"/>
  <c r="BE27" i="1" s="1"/>
  <c r="P27" i="4" s="1"/>
  <c r="Z27" i="4" s="1"/>
  <c r="AA27" i="4" s="1"/>
  <c r="BD17" i="1"/>
  <c r="BF17" i="1" s="1"/>
  <c r="Q17" i="4" s="1"/>
  <c r="BC17" i="1"/>
  <c r="BE17" i="1" s="1"/>
  <c r="P17" i="4" s="1"/>
  <c r="BC58" i="1"/>
  <c r="BE58" i="1" s="1"/>
  <c r="P58" i="4" s="1"/>
  <c r="Z58" i="4" s="1"/>
  <c r="AA58" i="4" s="1"/>
  <c r="AF51" i="1"/>
  <c r="D51" i="4" s="1"/>
  <c r="BN48" i="1"/>
  <c r="M48" i="4" s="1"/>
  <c r="AU45" i="1"/>
  <c r="AV45" i="1" s="1"/>
  <c r="S45" i="4" s="1"/>
  <c r="AF43" i="1"/>
  <c r="D43" i="4" s="1"/>
  <c r="BN41" i="1"/>
  <c r="M41" i="4" s="1"/>
  <c r="BL41" i="1"/>
  <c r="AU37" i="1"/>
  <c r="AV37" i="1" s="1"/>
  <c r="S37" i="4" s="1"/>
  <c r="AV35" i="1"/>
  <c r="S35" i="4" s="1"/>
  <c r="AU31" i="1"/>
  <c r="AV31" i="1" s="1"/>
  <c r="S31" i="4" s="1"/>
  <c r="AG79" i="1"/>
  <c r="AU77" i="1"/>
  <c r="AV77" i="1" s="1"/>
  <c r="AW77" i="1"/>
  <c r="N65" i="4"/>
  <c r="BL59" i="1"/>
  <c r="E12" i="5"/>
  <c r="AA2" i="6"/>
  <c r="T2" i="6"/>
  <c r="B3" i="9" s="1"/>
  <c r="AA12" i="6"/>
  <c r="AW35" i="1"/>
  <c r="T35" i="4" s="1"/>
  <c r="AU48" i="1"/>
  <c r="AV48" i="1" s="1"/>
  <c r="S48" i="4" s="1"/>
  <c r="BD30" i="1"/>
  <c r="BF30" i="1" s="1"/>
  <c r="Q30" i="4" s="1"/>
  <c r="BP23" i="1"/>
  <c r="N66" i="4"/>
  <c r="AW27" i="1"/>
  <c r="T27" i="4" s="1"/>
  <c r="S20" i="6" s="1"/>
  <c r="U20" i="6" s="1"/>
  <c r="AU27" i="1"/>
  <c r="AV27" i="1" s="1"/>
  <c r="S27" i="4" s="1"/>
  <c r="R20" i="6" s="1"/>
  <c r="AW11" i="1"/>
  <c r="T11" i="4" s="1"/>
  <c r="S4" i="6" s="1"/>
  <c r="U4" i="6" s="1"/>
  <c r="C5" i="9" s="1"/>
  <c r="AU11" i="1"/>
  <c r="AV11" i="1" s="1"/>
  <c r="S11" i="4" s="1"/>
  <c r="R4" i="6" s="1"/>
  <c r="AU40" i="1"/>
  <c r="AV40" i="1" s="1"/>
  <c r="S40" i="4" s="1"/>
  <c r="AW40" i="1"/>
  <c r="T40" i="4" s="1"/>
  <c r="AU63" i="1"/>
  <c r="AV63" i="1" s="1"/>
  <c r="S63" i="4" s="1"/>
  <c r="AN104" i="1"/>
  <c r="AM104" i="1"/>
  <c r="AW88" i="1"/>
  <c r="AU88" i="1"/>
  <c r="AV88" i="1" s="1"/>
  <c r="BG25" i="1"/>
  <c r="AI25" i="1"/>
  <c r="AY25" i="1"/>
  <c r="AH25" i="1"/>
  <c r="BH25" i="1"/>
  <c r="AX25" i="1"/>
  <c r="AI22" i="1"/>
  <c r="AY22" i="1"/>
  <c r="BP22" i="1"/>
  <c r="BO22" i="1"/>
  <c r="AX22" i="1"/>
  <c r="AH22" i="1"/>
  <c r="CB87" i="1"/>
  <c r="CB83" i="1"/>
  <c r="BN28" i="1"/>
  <c r="M28" i="4" s="1"/>
  <c r="BN27" i="1"/>
  <c r="M27" i="4" s="1"/>
  <c r="BL16" i="1"/>
  <c r="BN16" i="1"/>
  <c r="M16" i="4" s="1"/>
  <c r="AU12" i="1"/>
  <c r="AV12" i="1" s="1"/>
  <c r="S12" i="4" s="1"/>
  <c r="R5" i="6" s="1"/>
  <c r="BL49" i="1"/>
  <c r="BN49" i="1"/>
  <c r="M49" i="4" s="1"/>
  <c r="AW43" i="1"/>
  <c r="T43" i="4" s="1"/>
  <c r="BC42" i="1"/>
  <c r="BE42" i="1" s="1"/>
  <c r="P42" i="4" s="1"/>
  <c r="Z42" i="4" s="1"/>
  <c r="AA42" i="4" s="1"/>
  <c r="BD42" i="1"/>
  <c r="BF42" i="1" s="1"/>
  <c r="Q42" i="4" s="1"/>
  <c r="BN79" i="1"/>
  <c r="BL79" i="1"/>
  <c r="BM79" i="1" s="1"/>
  <c r="AW68" i="1"/>
  <c r="T68" i="4" s="1"/>
  <c r="BN63" i="1"/>
  <c r="M63" i="4" s="1"/>
  <c r="BL63" i="1"/>
  <c r="AG59" i="1"/>
  <c r="E59" i="4" s="1"/>
  <c r="AE59" i="1"/>
  <c r="AP13" i="1"/>
  <c r="AP18" i="1"/>
  <c r="AP19" i="1"/>
  <c r="AP108" i="1"/>
  <c r="AP115" i="1"/>
  <c r="AP118" i="1"/>
  <c r="AP112" i="1"/>
  <c r="AP60" i="1"/>
  <c r="AP66" i="1"/>
  <c r="AP75" i="1"/>
  <c r="AP68" i="1"/>
  <c r="AN68" i="1" s="1"/>
  <c r="J68" i="4" s="1"/>
  <c r="AP38" i="1"/>
  <c r="AP47" i="1"/>
  <c r="AP55" i="1"/>
  <c r="AP32" i="1"/>
  <c r="AP37" i="1"/>
  <c r="AP80" i="1"/>
  <c r="AP42" i="1"/>
  <c r="AP76" i="1"/>
  <c r="AP25" i="1"/>
  <c r="AP46" i="1"/>
  <c r="AN46" i="1" s="1"/>
  <c r="J46" i="4" s="1"/>
  <c r="AP58" i="1"/>
  <c r="AP26" i="1"/>
  <c r="AP30" i="1"/>
  <c r="AP121" i="1"/>
  <c r="AP89" i="1"/>
  <c r="AP10" i="1"/>
  <c r="AP14" i="1"/>
  <c r="AP20" i="1"/>
  <c r="AP61" i="1"/>
  <c r="AP70" i="1"/>
  <c r="AP79" i="1"/>
  <c r="AP51" i="1"/>
  <c r="AP77" i="1"/>
  <c r="AP43" i="1"/>
  <c r="AP27" i="1"/>
  <c r="AP56" i="1"/>
  <c r="AP50" i="1"/>
  <c r="AP57" i="1"/>
  <c r="AP120" i="1"/>
  <c r="AP83" i="1"/>
  <c r="AP11" i="1"/>
  <c r="AP9" i="1"/>
  <c r="AP114" i="1"/>
  <c r="AP100" i="1"/>
  <c r="AP92" i="1"/>
  <c r="AP119" i="1"/>
  <c r="AP62" i="1"/>
  <c r="AP72" i="1"/>
  <c r="AN72" i="1" s="1"/>
  <c r="J72" i="4" s="1"/>
  <c r="AP73" i="1"/>
  <c r="AP40" i="1"/>
  <c r="AP53" i="1"/>
  <c r="AP33" i="1"/>
  <c r="AP64" i="1"/>
  <c r="AP44" i="1"/>
  <c r="AP39" i="1"/>
  <c r="AP78" i="1"/>
  <c r="AP84" i="1"/>
  <c r="AP102" i="1"/>
  <c r="AP15" i="1"/>
  <c r="AP21" i="1"/>
  <c r="AP117" i="1"/>
  <c r="AP113" i="1"/>
  <c r="AP59" i="1"/>
  <c r="AP49" i="1"/>
  <c r="AP36" i="1"/>
  <c r="AP71" i="1"/>
  <c r="AP48" i="1"/>
  <c r="AP29" i="1"/>
  <c r="AP122" i="1"/>
  <c r="AP97" i="1"/>
  <c r="AP96" i="1"/>
  <c r="AP93" i="1"/>
  <c r="AP99" i="1"/>
  <c r="AP65" i="1"/>
  <c r="AP31" i="1"/>
  <c r="AP63" i="1"/>
  <c r="AP74" i="1"/>
  <c r="AP54" i="1"/>
  <c r="AP22" i="1"/>
  <c r="AP109" i="1"/>
  <c r="AP111" i="1"/>
  <c r="AP107" i="1"/>
  <c r="AP105" i="1"/>
  <c r="AP90" i="1"/>
  <c r="AP86" i="1"/>
  <c r="AP88" i="1"/>
  <c r="AP98" i="1"/>
  <c r="AP45" i="1"/>
  <c r="AP52" i="1"/>
  <c r="AP28" i="1"/>
  <c r="AP103" i="1"/>
  <c r="AP85" i="1"/>
  <c r="AP116" i="1"/>
  <c r="AP69" i="1"/>
  <c r="AP67" i="1"/>
  <c r="AP24" i="1"/>
  <c r="AP110" i="1"/>
  <c r="AP95" i="1"/>
  <c r="AP101" i="1"/>
  <c r="AP35" i="1"/>
  <c r="AP23" i="1"/>
  <c r="AP91" i="1"/>
  <c r="AP34" i="1"/>
  <c r="AN34" i="1" s="1"/>
  <c r="J34" i="4" s="1"/>
  <c r="AP81" i="1"/>
  <c r="AP82" i="1"/>
  <c r="AP41" i="1"/>
  <c r="AP106" i="1"/>
  <c r="BM75" i="1"/>
  <c r="L75" i="4" s="1"/>
  <c r="AW87" i="1"/>
  <c r="AV103" i="1"/>
  <c r="BN75" i="1"/>
  <c r="M75" i="4" s="1"/>
  <c r="AN94" i="1"/>
  <c r="BN95" i="1"/>
  <c r="BL95" i="1"/>
  <c r="BM95" i="1" s="1"/>
  <c r="AH24" i="1"/>
  <c r="BO23" i="1"/>
  <c r="BO25" i="1"/>
  <c r="BO26" i="1"/>
  <c r="BD101" i="1"/>
  <c r="BF101" i="1" s="1"/>
  <c r="BG22" i="1"/>
  <c r="AG111" i="1"/>
  <c r="AE49" i="1"/>
  <c r="AG64" i="1"/>
  <c r="E64" i="4" s="1"/>
  <c r="BL91" i="1"/>
  <c r="BM91" i="1" s="1"/>
  <c r="BN91" i="1"/>
  <c r="AE107" i="1"/>
  <c r="AF107" i="1" s="1"/>
  <c r="AG107" i="1"/>
  <c r="BL62" i="1"/>
  <c r="AU109" i="1"/>
  <c r="AV109" i="1" s="1"/>
  <c r="AW109" i="1"/>
  <c r="BD69" i="1"/>
  <c r="BF69" i="1" s="1"/>
  <c r="Q69" i="4" s="1"/>
  <c r="BN12" i="1"/>
  <c r="M12" i="4" s="1"/>
  <c r="BL12" i="1"/>
  <c r="BL42" i="1"/>
  <c r="BN42" i="1"/>
  <c r="M42" i="4" s="1"/>
  <c r="BL64" i="1"/>
  <c r="AU97" i="1"/>
  <c r="AV97" i="1" s="1"/>
  <c r="AA10" i="6"/>
  <c r="T10" i="6"/>
  <c r="B11" i="9" s="1"/>
  <c r="N120" i="1"/>
  <c r="N106" i="1"/>
  <c r="BL106" i="1"/>
  <c r="BM106" i="1" s="1"/>
  <c r="AH105" i="1"/>
  <c r="AX105" i="1"/>
  <c r="AY105" i="1"/>
  <c r="BH105" i="1"/>
  <c r="BO105" i="1"/>
  <c r="BG105" i="1"/>
  <c r="BP105" i="1"/>
  <c r="AI105" i="1"/>
  <c r="AO105" i="1"/>
  <c r="AW18" i="1"/>
  <c r="T18" i="4" s="1"/>
  <c r="S11" i="6" s="1"/>
  <c r="U11" i="6" s="1"/>
  <c r="C12" i="9" s="1"/>
  <c r="AI55" i="1"/>
  <c r="BG55" i="1"/>
  <c r="N24" i="1"/>
  <c r="AO10" i="1"/>
  <c r="AO11" i="1"/>
  <c r="AO14" i="1"/>
  <c r="AO15" i="1"/>
  <c r="AO20" i="1"/>
  <c r="AO21" i="1"/>
  <c r="AO9" i="1"/>
  <c r="AO109" i="1"/>
  <c r="AO110" i="1"/>
  <c r="AO61" i="1"/>
  <c r="AO64" i="1"/>
  <c r="AO67" i="1"/>
  <c r="AO75" i="1"/>
  <c r="AO36" i="1"/>
  <c r="AO70" i="1"/>
  <c r="AO35" i="1"/>
  <c r="AO52" i="1"/>
  <c r="AO69" i="1"/>
  <c r="AO39" i="1"/>
  <c r="AO26" i="1"/>
  <c r="AO55" i="1"/>
  <c r="AO22" i="1"/>
  <c r="AO80" i="1"/>
  <c r="AO27" i="1"/>
  <c r="AO82" i="1"/>
  <c r="AO114" i="1"/>
  <c r="AO116" i="1"/>
  <c r="AO106" i="1"/>
  <c r="AO119" i="1"/>
  <c r="AO65" i="1"/>
  <c r="AO78" i="1"/>
  <c r="AO77" i="1"/>
  <c r="AO38" i="1"/>
  <c r="AO31" i="1"/>
  <c r="AO54" i="1"/>
  <c r="AO44" i="1"/>
  <c r="AO53" i="1"/>
  <c r="AO58" i="1"/>
  <c r="AO24" i="1"/>
  <c r="AO29" i="1"/>
  <c r="AM29" i="1" s="1"/>
  <c r="I29" i="4" s="1"/>
  <c r="AO100" i="1"/>
  <c r="AO115" i="1"/>
  <c r="AO17" i="1"/>
  <c r="AO122" i="1"/>
  <c r="AO112" i="1"/>
  <c r="AM112" i="1" s="1"/>
  <c r="AO59" i="1"/>
  <c r="AO66" i="1"/>
  <c r="AO74" i="1"/>
  <c r="AO32" i="1"/>
  <c r="AO43" i="1"/>
  <c r="AO42" i="1"/>
  <c r="AO56" i="1"/>
  <c r="AO51" i="1"/>
  <c r="AO30" i="1"/>
  <c r="AO73" i="1"/>
  <c r="AO25" i="1"/>
  <c r="AO85" i="1"/>
  <c r="AM85" i="1" s="1"/>
  <c r="AO113" i="1"/>
  <c r="AO117" i="1"/>
  <c r="AO12" i="1"/>
  <c r="AO13" i="1"/>
  <c r="AO19" i="1"/>
  <c r="BH60" i="1"/>
  <c r="BH61" i="1"/>
  <c r="BH34" i="1"/>
  <c r="BH72" i="1"/>
  <c r="BH39" i="1"/>
  <c r="BH46" i="1"/>
  <c r="BH54" i="1"/>
  <c r="BH14" i="1"/>
  <c r="BH80" i="1"/>
  <c r="BH76" i="1"/>
  <c r="BH20" i="1"/>
  <c r="BH67" i="1"/>
  <c r="BH65" i="1"/>
  <c r="BH28" i="1"/>
  <c r="BH16" i="1"/>
  <c r="BH15" i="1"/>
  <c r="BH35" i="1"/>
  <c r="BH22" i="1"/>
  <c r="BH100" i="1"/>
  <c r="BH117" i="1"/>
  <c r="BH119" i="1"/>
  <c r="BH64" i="1"/>
  <c r="BH63" i="1"/>
  <c r="BH98" i="1"/>
  <c r="BH111" i="1"/>
  <c r="BH120" i="1"/>
  <c r="BL115" i="1"/>
  <c r="BM115" i="1" s="1"/>
  <c r="BG102" i="1"/>
  <c r="BG117" i="1"/>
  <c r="BG114" i="1"/>
  <c r="BH109" i="1"/>
  <c r="BH107" i="1"/>
  <c r="BH122" i="1"/>
  <c r="BH121" i="1"/>
  <c r="N25" i="1"/>
  <c r="N22" i="1"/>
  <c r="V21" i="4"/>
  <c r="W21" i="4"/>
  <c r="BL27" i="1"/>
  <c r="N27" i="4" s="1"/>
  <c r="B9" i="6"/>
  <c r="A10" i="9" s="1"/>
  <c r="C13" i="5"/>
  <c r="E13" i="5" s="1"/>
  <c r="AI12" i="1"/>
  <c r="AP12" i="1"/>
  <c r="BL122" i="1"/>
  <c r="BM122" i="1" s="1"/>
  <c r="AW114" i="1"/>
  <c r="BH103" i="1"/>
  <c r="BH93" i="1"/>
  <c r="BH92" i="1"/>
  <c r="CB92" i="1"/>
  <c r="BG91" i="1"/>
  <c r="BC91" i="1" s="1"/>
  <c r="BE91" i="1" s="1"/>
  <c r="V57" i="4"/>
  <c r="W56" i="4"/>
  <c r="N59" i="1"/>
  <c r="N52" i="1"/>
  <c r="AI10" i="1"/>
  <c r="AG10" i="1" s="1"/>
  <c r="E10" i="4" s="1"/>
  <c r="AI11" i="1"/>
  <c r="AI14" i="1"/>
  <c r="AG14" i="1" s="1"/>
  <c r="E14" i="4" s="1"/>
  <c r="AI15" i="1"/>
  <c r="AI20" i="1"/>
  <c r="AI21" i="1"/>
  <c r="AI9" i="1"/>
  <c r="AI13" i="1"/>
  <c r="AI18" i="1"/>
  <c r="AG18" i="1" s="1"/>
  <c r="E18" i="4" s="1"/>
  <c r="AI19" i="1"/>
  <c r="AI98" i="1"/>
  <c r="AI108" i="1"/>
  <c r="AI121" i="1"/>
  <c r="AI68" i="1"/>
  <c r="AI67" i="1"/>
  <c r="AI37" i="1"/>
  <c r="AI65" i="1"/>
  <c r="AG65" i="1" s="1"/>
  <c r="E65" i="4" s="1"/>
  <c r="BG121" i="1"/>
  <c r="BH116" i="1"/>
  <c r="BD116" i="1" s="1"/>
  <c r="BF116" i="1" s="1"/>
  <c r="V17" i="4"/>
  <c r="AX111" i="1"/>
  <c r="AX82" i="1"/>
  <c r="AX85" i="1"/>
  <c r="AX110" i="1"/>
  <c r="AU110" i="1" s="1"/>
  <c r="AV110" i="1" s="1"/>
  <c r="AX118" i="1"/>
  <c r="AW118" i="1" s="1"/>
  <c r="AX108" i="1"/>
  <c r="AX91" i="1"/>
  <c r="AW91" i="1" s="1"/>
  <c r="BO102" i="1"/>
  <c r="BO98" i="1"/>
  <c r="BO116" i="1"/>
  <c r="BO111" i="1"/>
  <c r="BO121" i="1"/>
  <c r="BO118" i="1"/>
  <c r="N93" i="1"/>
  <c r="N92" i="1"/>
  <c r="B10" i="6"/>
  <c r="A11" i="9" s="1"/>
  <c r="C14" i="5"/>
  <c r="E14" i="5" s="1"/>
  <c r="N13" i="1"/>
  <c r="AE13" i="1"/>
  <c r="AF13" i="1" s="1"/>
  <c r="D13" i="4" s="1"/>
  <c r="AY119" i="1"/>
  <c r="AW119" i="1" s="1"/>
  <c r="AY115" i="1"/>
  <c r="AY112" i="1"/>
  <c r="AP17" i="1"/>
  <c r="AP16" i="1"/>
  <c r="AN16" i="1" s="1"/>
  <c r="J16" i="4" s="1"/>
  <c r="E9" i="5"/>
  <c r="BM33" i="1" l="1"/>
  <c r="L33" i="4" s="1"/>
  <c r="N33" i="4"/>
  <c r="BM55" i="1"/>
  <c r="L55" i="4" s="1"/>
  <c r="N55" i="4"/>
  <c r="AM109" i="1"/>
  <c r="BN55" i="1"/>
  <c r="M55" i="4" s="1"/>
  <c r="AG113" i="1"/>
  <c r="AE75" i="1"/>
  <c r="AF75" i="1" s="1"/>
  <c r="D75" i="4" s="1"/>
  <c r="BL26" i="1"/>
  <c r="AU61" i="1"/>
  <c r="AV61" i="1" s="1"/>
  <c r="S61" i="4" s="1"/>
  <c r="BD96" i="1"/>
  <c r="BF96" i="1" s="1"/>
  <c r="AM58" i="1"/>
  <c r="I58" i="4" s="1"/>
  <c r="AW55" i="1"/>
  <c r="T55" i="4" s="1"/>
  <c r="N68" i="4"/>
  <c r="AW36" i="1"/>
  <c r="T36" i="4" s="1"/>
  <c r="AE28" i="1"/>
  <c r="AF28" i="1" s="1"/>
  <c r="D28" i="4" s="1"/>
  <c r="BL73" i="1"/>
  <c r="AE33" i="1"/>
  <c r="AF33" i="1" s="1"/>
  <c r="D33" i="4" s="1"/>
  <c r="AW50" i="1"/>
  <c r="T50" i="4" s="1"/>
  <c r="AU16" i="1"/>
  <c r="AV16" i="1" s="1"/>
  <c r="S16" i="4" s="1"/>
  <c r="R9" i="6" s="1"/>
  <c r="T9" i="6" s="1"/>
  <c r="B10" i="9" s="1"/>
  <c r="AG53" i="1"/>
  <c r="E53" i="4" s="1"/>
  <c r="AE38" i="1"/>
  <c r="AF38" i="1" s="1"/>
  <c r="D38" i="4" s="1"/>
  <c r="AW101" i="1"/>
  <c r="BD36" i="1"/>
  <c r="BF36" i="1" s="1"/>
  <c r="Q36" i="4" s="1"/>
  <c r="BC10" i="1"/>
  <c r="BE10" i="1" s="1"/>
  <c r="P10" i="4" s="1"/>
  <c r="Z10" i="4" s="1"/>
  <c r="AA10" i="4" s="1"/>
  <c r="BL50" i="1"/>
  <c r="BN64" i="1"/>
  <c r="M64" i="4" s="1"/>
  <c r="AW57" i="1"/>
  <c r="T57" i="4" s="1"/>
  <c r="AU13" i="1"/>
  <c r="AV13" i="1" s="1"/>
  <c r="S13" i="4" s="1"/>
  <c r="R6" i="6" s="1"/>
  <c r="BN14" i="1"/>
  <c r="M14" i="4" s="1"/>
  <c r="BN71" i="1"/>
  <c r="M71" i="4" s="1"/>
  <c r="AE48" i="1"/>
  <c r="AF48" i="1" s="1"/>
  <c r="D48" i="4" s="1"/>
  <c r="AE119" i="1"/>
  <c r="AF119" i="1" s="1"/>
  <c r="AE111" i="1"/>
  <c r="AF111" i="1" s="1"/>
  <c r="BC9" i="1"/>
  <c r="BE9" i="1" s="1"/>
  <c r="P9" i="4" s="1"/>
  <c r="Z9" i="4" s="1"/>
  <c r="AA9" i="4" s="1"/>
  <c r="BD104" i="1"/>
  <c r="BF104" i="1" s="1"/>
  <c r="BD13" i="1"/>
  <c r="BF13" i="1" s="1"/>
  <c r="Q13" i="4" s="1"/>
  <c r="BD71" i="1"/>
  <c r="BF71" i="1" s="1"/>
  <c r="Q71" i="4" s="1"/>
  <c r="BD11" i="1"/>
  <c r="BF11" i="1" s="1"/>
  <c r="Q11" i="4" s="1"/>
  <c r="BC49" i="1"/>
  <c r="BE49" i="1" s="1"/>
  <c r="P49" i="4" s="1"/>
  <c r="Z49" i="4" s="1"/>
  <c r="AA49" i="4" s="1"/>
  <c r="BD62" i="1"/>
  <c r="BF62" i="1" s="1"/>
  <c r="Q62" i="4" s="1"/>
  <c r="BN21" i="1"/>
  <c r="M21" i="4" s="1"/>
  <c r="AU76" i="1"/>
  <c r="AV76" i="1" s="1"/>
  <c r="AW66" i="1"/>
  <c r="T66" i="4" s="1"/>
  <c r="BN101" i="1"/>
  <c r="BL101" i="1"/>
  <c r="BM101" i="1" s="1"/>
  <c r="AW49" i="1"/>
  <c r="T49" i="4" s="1"/>
  <c r="AW93" i="1"/>
  <c r="AU93" i="1"/>
  <c r="AV93" i="1" s="1"/>
  <c r="AU56" i="1"/>
  <c r="AV56" i="1" s="1"/>
  <c r="S56" i="4" s="1"/>
  <c r="AU90" i="1"/>
  <c r="AV90" i="1" s="1"/>
  <c r="BN68" i="1"/>
  <c r="M68" i="4" s="1"/>
  <c r="BN33" i="1"/>
  <c r="M33" i="4" s="1"/>
  <c r="BC48" i="1"/>
  <c r="BE48" i="1" s="1"/>
  <c r="P48" i="4" s="1"/>
  <c r="Z48" i="4" s="1"/>
  <c r="AA48" i="4" s="1"/>
  <c r="BL20" i="1"/>
  <c r="AE26" i="1"/>
  <c r="AF26" i="1" s="1"/>
  <c r="D26" i="4" s="1"/>
  <c r="AG120" i="1"/>
  <c r="AW70" i="1"/>
  <c r="T70" i="4" s="1"/>
  <c r="BN74" i="1"/>
  <c r="M74" i="4" s="1"/>
  <c r="AG36" i="1"/>
  <c r="E36" i="4" s="1"/>
  <c r="BL45" i="1"/>
  <c r="BM45" i="1" s="1"/>
  <c r="L45" i="4" s="1"/>
  <c r="AE97" i="1"/>
  <c r="AF97" i="1" s="1"/>
  <c r="AU20" i="1"/>
  <c r="AV20" i="1" s="1"/>
  <c r="S20" i="4" s="1"/>
  <c r="R13" i="6" s="1"/>
  <c r="T13" i="6" s="1"/>
  <c r="BL30" i="1"/>
  <c r="BD38" i="1"/>
  <c r="BF38" i="1" s="1"/>
  <c r="Q38" i="4" s="1"/>
  <c r="AE41" i="1"/>
  <c r="AF41" i="1" s="1"/>
  <c r="D41" i="4" s="1"/>
  <c r="AE110" i="1"/>
  <c r="AF110" i="1" s="1"/>
  <c r="BD32" i="1"/>
  <c r="BF32" i="1" s="1"/>
  <c r="Q32" i="4" s="1"/>
  <c r="AG87" i="1"/>
  <c r="AW10" i="1"/>
  <c r="T10" i="4" s="1"/>
  <c r="S3" i="6" s="1"/>
  <c r="U3" i="6" s="1"/>
  <c r="C4" i="9" s="1"/>
  <c r="AE56" i="1"/>
  <c r="AF56" i="1" s="1"/>
  <c r="D56" i="4" s="1"/>
  <c r="AE20" i="1"/>
  <c r="AF20" i="1" s="1"/>
  <c r="D20" i="4" s="1"/>
  <c r="AU102" i="1"/>
  <c r="AV102" i="1" s="1"/>
  <c r="AU43" i="1"/>
  <c r="AV43" i="1" s="1"/>
  <c r="S43" i="4" s="1"/>
  <c r="AG74" i="1"/>
  <c r="E74" i="4" s="1"/>
  <c r="AU46" i="1"/>
  <c r="AV46" i="1" s="1"/>
  <c r="S46" i="4" s="1"/>
  <c r="AG29" i="1"/>
  <c r="E29" i="4" s="1"/>
  <c r="AU99" i="1"/>
  <c r="AV99" i="1" s="1"/>
  <c r="AU58" i="1"/>
  <c r="AV58" i="1" s="1"/>
  <c r="S58" i="4" s="1"/>
  <c r="AW96" i="1"/>
  <c r="AU107" i="1"/>
  <c r="AV107" i="1" s="1"/>
  <c r="AW107" i="1"/>
  <c r="BL84" i="1"/>
  <c r="BM84" i="1" s="1"/>
  <c r="AG9" i="1"/>
  <c r="E9" i="4" s="1"/>
  <c r="AW82" i="1"/>
  <c r="AG11" i="1"/>
  <c r="E11" i="4" s="1"/>
  <c r="BN72" i="1"/>
  <c r="M72" i="4" s="1"/>
  <c r="AN96" i="1"/>
  <c r="BL47" i="1"/>
  <c r="AU116" i="1"/>
  <c r="AV116" i="1" s="1"/>
  <c r="AG17" i="1"/>
  <c r="E17" i="4" s="1"/>
  <c r="AG100" i="1"/>
  <c r="BC33" i="1"/>
  <c r="BE33" i="1" s="1"/>
  <c r="P33" i="4" s="1"/>
  <c r="Z33" i="4" s="1"/>
  <c r="AA33" i="4" s="1"/>
  <c r="BC12" i="1"/>
  <c r="BE12" i="1" s="1"/>
  <c r="P12" i="4" s="1"/>
  <c r="Z12" i="4" s="1"/>
  <c r="AA12" i="4" s="1"/>
  <c r="BC79" i="1"/>
  <c r="BE79" i="1" s="1"/>
  <c r="AE73" i="1"/>
  <c r="AF73" i="1" s="1"/>
  <c r="D73" i="4" s="1"/>
  <c r="BC51" i="1"/>
  <c r="BE51" i="1" s="1"/>
  <c r="P51" i="4" s="1"/>
  <c r="Z51" i="4" s="1"/>
  <c r="AA51" i="4" s="1"/>
  <c r="AU64" i="1"/>
  <c r="AV64" i="1" s="1"/>
  <c r="S64" i="4" s="1"/>
  <c r="BC21" i="1"/>
  <c r="BE21" i="1" s="1"/>
  <c r="P21" i="4" s="1"/>
  <c r="BN29" i="1"/>
  <c r="M29" i="4" s="1"/>
  <c r="BL37" i="1"/>
  <c r="BM37" i="1" s="1"/>
  <c r="L37" i="4" s="1"/>
  <c r="AU21" i="1"/>
  <c r="AV21" i="1" s="1"/>
  <c r="S21" i="4" s="1"/>
  <c r="R14" i="6" s="1"/>
  <c r="T14" i="6" s="1"/>
  <c r="AW95" i="1"/>
  <c r="AU80" i="1"/>
  <c r="AV80" i="1" s="1"/>
  <c r="AU78" i="1"/>
  <c r="AV78" i="1" s="1"/>
  <c r="AW94" i="1"/>
  <c r="AU94" i="1"/>
  <c r="AV94" i="1" s="1"/>
  <c r="AA11" i="6"/>
  <c r="AA9" i="6"/>
  <c r="BM40" i="1"/>
  <c r="L40" i="4" s="1"/>
  <c r="N40" i="4"/>
  <c r="AA7" i="6"/>
  <c r="T7" i="6"/>
  <c r="B8" i="9" s="1"/>
  <c r="BM51" i="1"/>
  <c r="L51" i="4" s="1"/>
  <c r="N51" i="4"/>
  <c r="BM46" i="1"/>
  <c r="L46" i="4" s="1"/>
  <c r="N46" i="4"/>
  <c r="BD84" i="1"/>
  <c r="BF84" i="1" s="1"/>
  <c r="BC84" i="1"/>
  <c r="BE84" i="1" s="1"/>
  <c r="BN46" i="1"/>
  <c r="M46" i="4" s="1"/>
  <c r="C26" i="5"/>
  <c r="H17" i="5" s="1"/>
  <c r="AE14" i="1"/>
  <c r="AF14" i="1" s="1"/>
  <c r="D14" i="4" s="1"/>
  <c r="AW108" i="1"/>
  <c r="AG19" i="1"/>
  <c r="E19" i="4" s="1"/>
  <c r="AG21" i="1"/>
  <c r="E21" i="4" s="1"/>
  <c r="AG27" i="1"/>
  <c r="E27" i="4" s="1"/>
  <c r="AE95" i="1"/>
  <c r="AF95" i="1" s="1"/>
  <c r="AG60" i="1"/>
  <c r="E60" i="4" s="1"/>
  <c r="G60" i="4" s="1"/>
  <c r="Y60" i="4" s="1"/>
  <c r="AG91" i="1"/>
  <c r="BN58" i="1"/>
  <c r="M58" i="4" s="1"/>
  <c r="BN37" i="1"/>
  <c r="M37" i="4" s="1"/>
  <c r="N18" i="4"/>
  <c r="BN22" i="1"/>
  <c r="M22" i="4" s="1"/>
  <c r="AW73" i="1"/>
  <c r="T73" i="4" s="1"/>
  <c r="N45" i="4"/>
  <c r="BC50" i="1"/>
  <c r="BE50" i="1" s="1"/>
  <c r="P50" i="4" s="1"/>
  <c r="Z50" i="4" s="1"/>
  <c r="AA50" i="4" s="1"/>
  <c r="AG47" i="1"/>
  <c r="E47" i="4" s="1"/>
  <c r="AU91" i="1"/>
  <c r="AV91" i="1" s="1"/>
  <c r="AW72" i="1"/>
  <c r="T72" i="4" s="1"/>
  <c r="AE77" i="1"/>
  <c r="AF77" i="1" s="1"/>
  <c r="AE35" i="1"/>
  <c r="AF35" i="1" s="1"/>
  <c r="D35" i="4" s="1"/>
  <c r="BL39" i="1"/>
  <c r="BM39" i="1" s="1"/>
  <c r="L39" i="4" s="1"/>
  <c r="BC52" i="1"/>
  <c r="BE52" i="1" s="1"/>
  <c r="P52" i="4" s="1"/>
  <c r="Z52" i="4" s="1"/>
  <c r="AA52" i="4" s="1"/>
  <c r="AE87" i="1"/>
  <c r="AF87" i="1" s="1"/>
  <c r="AW29" i="1"/>
  <c r="T29" i="4" s="1"/>
  <c r="BC31" i="1"/>
  <c r="BE31" i="1" s="1"/>
  <c r="P31" i="4" s="1"/>
  <c r="Z31" i="4" s="1"/>
  <c r="AA31" i="4" s="1"/>
  <c r="AE74" i="1"/>
  <c r="AF74" i="1" s="1"/>
  <c r="D74" i="4" s="1"/>
  <c r="BL44" i="1"/>
  <c r="BM44" i="1" s="1"/>
  <c r="L44" i="4" s="1"/>
  <c r="AG106" i="1"/>
  <c r="BL76" i="1"/>
  <c r="BM76" i="1" s="1"/>
  <c r="N56" i="4"/>
  <c r="BL60" i="1"/>
  <c r="BN54" i="1"/>
  <c r="M54" i="4" s="1"/>
  <c r="BL54" i="1"/>
  <c r="BD9" i="1"/>
  <c r="BF9" i="1" s="1"/>
  <c r="Q9" i="4" s="1"/>
  <c r="BD99" i="1"/>
  <c r="BF99" i="1" s="1"/>
  <c r="BC99" i="1"/>
  <c r="BE99" i="1" s="1"/>
  <c r="AW42" i="1"/>
  <c r="T42" i="4" s="1"/>
  <c r="AU42" i="1"/>
  <c r="AV42" i="1" s="1"/>
  <c r="S42" i="4" s="1"/>
  <c r="BD90" i="1"/>
  <c r="BF90" i="1" s="1"/>
  <c r="BD40" i="1"/>
  <c r="BF40" i="1" s="1"/>
  <c r="Q40" i="4" s="1"/>
  <c r="BC118" i="1"/>
  <c r="BE118" i="1" s="1"/>
  <c r="BD87" i="1"/>
  <c r="BF87" i="1" s="1"/>
  <c r="BC87" i="1"/>
  <c r="BE87" i="1" s="1"/>
  <c r="BD43" i="1"/>
  <c r="BF43" i="1" s="1"/>
  <c r="Q43" i="4" s="1"/>
  <c r="BC116" i="1"/>
  <c r="BE116" i="1" s="1"/>
  <c r="AG81" i="1"/>
  <c r="BD85" i="1"/>
  <c r="BF85" i="1" s="1"/>
  <c r="BC85" i="1"/>
  <c r="BE85" i="1" s="1"/>
  <c r="BL104" i="1"/>
  <c r="BM104" i="1" s="1"/>
  <c r="BN104" i="1"/>
  <c r="BD66" i="1"/>
  <c r="BF66" i="1" s="1"/>
  <c r="Q66" i="4" s="1"/>
  <c r="BL99" i="1"/>
  <c r="BM99" i="1" s="1"/>
  <c r="BD82" i="1"/>
  <c r="BF82" i="1" s="1"/>
  <c r="BD119" i="1"/>
  <c r="BF119" i="1" s="1"/>
  <c r="BC106" i="1"/>
  <c r="BE106" i="1" s="1"/>
  <c r="BD59" i="1"/>
  <c r="BF59" i="1" s="1"/>
  <c r="Q59" i="4" s="1"/>
  <c r="BL32" i="1"/>
  <c r="BN70" i="1"/>
  <c r="M70" i="4" s="1"/>
  <c r="AE50" i="1"/>
  <c r="AF50" i="1" s="1"/>
  <c r="D50" i="4" s="1"/>
  <c r="AN60" i="1"/>
  <c r="J60" i="4" s="1"/>
  <c r="AG48" i="1"/>
  <c r="E48" i="4" s="1"/>
  <c r="BL53" i="1"/>
  <c r="BL57" i="1"/>
  <c r="N57" i="4" s="1"/>
  <c r="AE22" i="1"/>
  <c r="AF22" i="1" s="1"/>
  <c r="D22" i="4" s="1"/>
  <c r="AW14" i="1"/>
  <c r="T14" i="4" s="1"/>
  <c r="S7" i="6" s="1"/>
  <c r="U7" i="6" s="1"/>
  <c r="C8" i="9" s="1"/>
  <c r="BC38" i="1"/>
  <c r="BE38" i="1" s="1"/>
  <c r="P38" i="4" s="1"/>
  <c r="Z38" i="4" s="1"/>
  <c r="AA38" i="4" s="1"/>
  <c r="BD21" i="1"/>
  <c r="BF21" i="1" s="1"/>
  <c r="Q21" i="4" s="1"/>
  <c r="AG16" i="1"/>
  <c r="E16" i="4" s="1"/>
  <c r="BC62" i="1"/>
  <c r="BE62" i="1" s="1"/>
  <c r="P62" i="4" s="1"/>
  <c r="Z62" i="4" s="1"/>
  <c r="AA62" i="4" s="1"/>
  <c r="BC66" i="1"/>
  <c r="BE66" i="1" s="1"/>
  <c r="P66" i="4" s="1"/>
  <c r="Z66" i="4" s="1"/>
  <c r="AA66" i="4" s="1"/>
  <c r="BD75" i="1"/>
  <c r="BF75" i="1" s="1"/>
  <c r="Q75" i="4" s="1"/>
  <c r="AG56" i="1"/>
  <c r="E56" i="4" s="1"/>
  <c r="AE52" i="1"/>
  <c r="AF52" i="1" s="1"/>
  <c r="D52" i="4" s="1"/>
  <c r="G72" i="4"/>
  <c r="Y72" i="4" s="1"/>
  <c r="BC13" i="1"/>
  <c r="BE13" i="1" s="1"/>
  <c r="P13" i="4" s="1"/>
  <c r="Z13" i="4" s="1"/>
  <c r="AA13" i="4" s="1"/>
  <c r="AU39" i="1"/>
  <c r="AV39" i="1" s="1"/>
  <c r="S39" i="4" s="1"/>
  <c r="BN100" i="1"/>
  <c r="AG115" i="1"/>
  <c r="AU15" i="1"/>
  <c r="AV15" i="1" s="1"/>
  <c r="S15" i="4" s="1"/>
  <c r="R8" i="6" s="1"/>
  <c r="BC95" i="1"/>
  <c r="BE95" i="1" s="1"/>
  <c r="BD95" i="1"/>
  <c r="BF95" i="1" s="1"/>
  <c r="AG42" i="1"/>
  <c r="E42" i="4" s="1"/>
  <c r="BL93" i="1"/>
  <c r="BM93" i="1" s="1"/>
  <c r="BN93" i="1"/>
  <c r="BD94" i="1"/>
  <c r="BF94" i="1" s="1"/>
  <c r="BC45" i="1"/>
  <c r="BE45" i="1" s="1"/>
  <c r="P45" i="4" s="1"/>
  <c r="Z45" i="4" s="1"/>
  <c r="AA45" i="4" s="1"/>
  <c r="BN51" i="1"/>
  <c r="M51" i="4" s="1"/>
  <c r="AU53" i="1"/>
  <c r="AV53" i="1" s="1"/>
  <c r="S53" i="4" s="1"/>
  <c r="AW19" i="1"/>
  <c r="T19" i="4" s="1"/>
  <c r="S12" i="6" s="1"/>
  <c r="U12" i="6" s="1"/>
  <c r="C13" i="9" s="1"/>
  <c r="BM27" i="1"/>
  <c r="L27" i="4" s="1"/>
  <c r="AE9" i="1"/>
  <c r="AF9" i="1" s="1"/>
  <c r="D9" i="4" s="1"/>
  <c r="BD15" i="1"/>
  <c r="BF15" i="1" s="1"/>
  <c r="Q15" i="4" s="1"/>
  <c r="AG55" i="1"/>
  <c r="E55" i="4" s="1"/>
  <c r="BN25" i="1"/>
  <c r="M25" i="4" s="1"/>
  <c r="AN87" i="1"/>
  <c r="AG45" i="1"/>
  <c r="E45" i="4" s="1"/>
  <c r="BL35" i="1"/>
  <c r="BD49" i="1"/>
  <c r="BF49" i="1" s="1"/>
  <c r="Q49" i="4" s="1"/>
  <c r="BL87" i="1"/>
  <c r="BM87" i="1" s="1"/>
  <c r="BN56" i="1"/>
  <c r="M56" i="4" s="1"/>
  <c r="BC11" i="1"/>
  <c r="BE11" i="1" s="1"/>
  <c r="P11" i="4" s="1"/>
  <c r="Z11" i="4" s="1"/>
  <c r="AA11" i="4" s="1"/>
  <c r="AU38" i="1"/>
  <c r="AV38" i="1" s="1"/>
  <c r="S38" i="4" s="1"/>
  <c r="BN116" i="1"/>
  <c r="AE99" i="1"/>
  <c r="AF99" i="1" s="1"/>
  <c r="AG119" i="1"/>
  <c r="AG83" i="1"/>
  <c r="AG73" i="1"/>
  <c r="E73" i="4" s="1"/>
  <c r="BC104" i="1"/>
  <c r="BE104" i="1" s="1"/>
  <c r="AW67" i="1"/>
  <c r="T67" i="4" s="1"/>
  <c r="BN61" i="1"/>
  <c r="M61" i="4" s="1"/>
  <c r="BL61" i="1"/>
  <c r="BL15" i="1"/>
  <c r="BL29" i="1"/>
  <c r="BD70" i="1"/>
  <c r="BF70" i="1" s="1"/>
  <c r="Q70" i="4" s="1"/>
  <c r="AW52" i="1"/>
  <c r="T52" i="4" s="1"/>
  <c r="AU52" i="1"/>
  <c r="AV52" i="1" s="1"/>
  <c r="S52" i="4" s="1"/>
  <c r="BN80" i="1"/>
  <c r="BL80" i="1"/>
  <c r="BM80" i="1" s="1"/>
  <c r="BN107" i="1"/>
  <c r="BL107" i="1"/>
  <c r="BM107" i="1" s="1"/>
  <c r="AU57" i="1"/>
  <c r="AV57" i="1" s="1"/>
  <c r="S57" i="4" s="1"/>
  <c r="AE29" i="1"/>
  <c r="AF29" i="1" s="1"/>
  <c r="D29" i="4" s="1"/>
  <c r="F29" i="4" s="1"/>
  <c r="BD41" i="1"/>
  <c r="BF41" i="1" s="1"/>
  <c r="Q41" i="4" s="1"/>
  <c r="BC41" i="1"/>
  <c r="BE41" i="1" s="1"/>
  <c r="P41" i="4" s="1"/>
  <c r="Z41" i="4" s="1"/>
  <c r="AA41" i="4" s="1"/>
  <c r="BN34" i="1"/>
  <c r="M34" i="4" s="1"/>
  <c r="BL34" i="1"/>
  <c r="BN62" i="1"/>
  <c r="M62" i="4" s="1"/>
  <c r="BL96" i="1"/>
  <c r="BM96" i="1" s="1"/>
  <c r="BL78" i="1"/>
  <c r="BM78" i="1" s="1"/>
  <c r="BN83" i="1"/>
  <c r="BL83" i="1"/>
  <c r="BM83" i="1" s="1"/>
  <c r="AG89" i="1"/>
  <c r="BL85" i="1"/>
  <c r="BM85" i="1" s="1"/>
  <c r="BN85" i="1"/>
  <c r="N52" i="4"/>
  <c r="BM52" i="1"/>
  <c r="L52" i="4" s="1"/>
  <c r="AE93" i="1"/>
  <c r="AF93" i="1" s="1"/>
  <c r="AG93" i="1"/>
  <c r="AG96" i="1"/>
  <c r="AE96" i="1"/>
  <c r="AF96" i="1" s="1"/>
  <c r="AG102" i="1"/>
  <c r="AE102" i="1"/>
  <c r="AF102" i="1" s="1"/>
  <c r="AG20" i="1"/>
  <c r="E20" i="4" s="1"/>
  <c r="AE83" i="1"/>
  <c r="AE72" i="1"/>
  <c r="AF72" i="1" s="1"/>
  <c r="D72" i="4" s="1"/>
  <c r="AG66" i="1"/>
  <c r="E66" i="4" s="1"/>
  <c r="G46" i="4"/>
  <c r="Y46" i="4" s="1"/>
  <c r="BM71" i="1"/>
  <c r="L71" i="4" s="1"/>
  <c r="AE69" i="1"/>
  <c r="AF69" i="1" s="1"/>
  <c r="D69" i="4" s="1"/>
  <c r="AE17" i="1"/>
  <c r="AF17" i="1" s="1"/>
  <c r="D17" i="4" s="1"/>
  <c r="BN119" i="1"/>
  <c r="AE16" i="1"/>
  <c r="AF16" i="1" s="1"/>
  <c r="D16" i="4" s="1"/>
  <c r="BC112" i="1"/>
  <c r="BE112" i="1" s="1"/>
  <c r="BD112" i="1"/>
  <c r="BF112" i="1" s="1"/>
  <c r="BD19" i="1"/>
  <c r="BF19" i="1" s="1"/>
  <c r="Q19" i="4" s="1"/>
  <c r="BC19" i="1"/>
  <c r="BE19" i="1" s="1"/>
  <c r="P19" i="4" s="1"/>
  <c r="Z19" i="4" s="1"/>
  <c r="AA19" i="4" s="1"/>
  <c r="AW100" i="1"/>
  <c r="AU100" i="1"/>
  <c r="AV100" i="1" s="1"/>
  <c r="BN10" i="1"/>
  <c r="M10" i="4" s="1"/>
  <c r="AE118" i="1"/>
  <c r="AF118" i="1" s="1"/>
  <c r="AG118" i="1"/>
  <c r="BM13" i="1"/>
  <c r="L13" i="4" s="1"/>
  <c r="N13" i="4"/>
  <c r="BD110" i="1"/>
  <c r="BF110" i="1" s="1"/>
  <c r="AE53" i="1"/>
  <c r="AF53" i="1" s="1"/>
  <c r="D53" i="4" s="1"/>
  <c r="BD10" i="1"/>
  <c r="BF10" i="1" s="1"/>
  <c r="Q10" i="4" s="1"/>
  <c r="AN38" i="1"/>
  <c r="J38" i="4" s="1"/>
  <c r="G38" i="4" s="1"/>
  <c r="Y38" i="4" s="1"/>
  <c r="BM67" i="1"/>
  <c r="L67" i="4" s="1"/>
  <c r="AM72" i="1"/>
  <c r="I72" i="4" s="1"/>
  <c r="N37" i="4"/>
  <c r="N39" i="4"/>
  <c r="BC23" i="1"/>
  <c r="BE23" i="1" s="1"/>
  <c r="P23" i="4" s="1"/>
  <c r="Z23" i="4" s="1"/>
  <c r="AA23" i="4" s="1"/>
  <c r="AU32" i="1"/>
  <c r="AV32" i="1" s="1"/>
  <c r="S32" i="4" s="1"/>
  <c r="BM69" i="1"/>
  <c r="L69" i="4" s="1"/>
  <c r="N69" i="4"/>
  <c r="BM73" i="1"/>
  <c r="L73" i="4" s="1"/>
  <c r="N73" i="4"/>
  <c r="BD79" i="1"/>
  <c r="BF79" i="1" s="1"/>
  <c r="BD33" i="1"/>
  <c r="BF33" i="1" s="1"/>
  <c r="Q33" i="4" s="1"/>
  <c r="AE39" i="1"/>
  <c r="AF39" i="1" s="1"/>
  <c r="D39" i="4" s="1"/>
  <c r="AG90" i="1"/>
  <c r="BD57" i="1"/>
  <c r="BF57" i="1" s="1"/>
  <c r="Q57" i="4" s="1"/>
  <c r="BM14" i="1"/>
  <c r="L14" i="4" s="1"/>
  <c r="N14" i="4"/>
  <c r="BM30" i="1"/>
  <c r="L30" i="4" s="1"/>
  <c r="N30" i="4"/>
  <c r="AE86" i="1"/>
  <c r="AF86" i="1" s="1"/>
  <c r="AG86" i="1"/>
  <c r="AW92" i="1"/>
  <c r="AU92" i="1"/>
  <c r="AV92" i="1" s="1"/>
  <c r="AG57" i="1"/>
  <c r="E57" i="4" s="1"/>
  <c r="BM74" i="1"/>
  <c r="L74" i="4" s="1"/>
  <c r="N74" i="4"/>
  <c r="AE76" i="1"/>
  <c r="AF76" i="1" s="1"/>
  <c r="AG76" i="1"/>
  <c r="AG46" i="1"/>
  <c r="E46" i="4" s="1"/>
  <c r="AE46" i="1"/>
  <c r="AF46" i="1" s="1"/>
  <c r="D46" i="4" s="1"/>
  <c r="AG34" i="1"/>
  <c r="E34" i="4" s="1"/>
  <c r="G34" i="4" s="1"/>
  <c r="Y34" i="4" s="1"/>
  <c r="AE34" i="1"/>
  <c r="AF34" i="1" s="1"/>
  <c r="D34" i="4" s="1"/>
  <c r="BN108" i="1"/>
  <c r="BL108" i="1"/>
  <c r="BM108" i="1" s="1"/>
  <c r="BL109" i="1"/>
  <c r="BM109" i="1" s="1"/>
  <c r="BN109" i="1"/>
  <c r="BD77" i="1"/>
  <c r="BF77" i="1" s="1"/>
  <c r="BL38" i="1"/>
  <c r="AG58" i="1"/>
  <c r="E58" i="4" s="1"/>
  <c r="AE58" i="1"/>
  <c r="AF58" i="1" s="1"/>
  <c r="D58" i="4" s="1"/>
  <c r="F58" i="4" s="1"/>
  <c r="AG112" i="1"/>
  <c r="AE112" i="1"/>
  <c r="AF112" i="1" s="1"/>
  <c r="AG99" i="1"/>
  <c r="AG114" i="1"/>
  <c r="BN65" i="1"/>
  <c r="M65" i="4" s="1"/>
  <c r="AU83" i="1"/>
  <c r="AV83" i="1" s="1"/>
  <c r="AW83" i="1"/>
  <c r="BC37" i="1"/>
  <c r="BE37" i="1" s="1"/>
  <c r="P37" i="4" s="1"/>
  <c r="Z37" i="4" s="1"/>
  <c r="AA37" i="4" s="1"/>
  <c r="N10" i="4"/>
  <c r="BM10" i="1"/>
  <c r="L10" i="4" s="1"/>
  <c r="AU117" i="1"/>
  <c r="AV117" i="1" s="1"/>
  <c r="AW117" i="1"/>
  <c r="AG82" i="1"/>
  <c r="AE82" i="1"/>
  <c r="AF82" i="1" s="1"/>
  <c r="N9" i="4"/>
  <c r="BM9" i="1"/>
  <c r="L9" i="4" s="1"/>
  <c r="AE109" i="1"/>
  <c r="AF109" i="1" s="1"/>
  <c r="AG109" i="1"/>
  <c r="AW122" i="1"/>
  <c r="AW24" i="1"/>
  <c r="T24" i="4" s="1"/>
  <c r="S17" i="6" s="1"/>
  <c r="U17" i="6" s="1"/>
  <c r="AU106" i="1"/>
  <c r="AV106" i="1" s="1"/>
  <c r="AW106" i="1"/>
  <c r="G16" i="4"/>
  <c r="Y16" i="4" s="1"/>
  <c r="BN111" i="1"/>
  <c r="BN114" i="1"/>
  <c r="AG13" i="1"/>
  <c r="E13" i="4" s="1"/>
  <c r="AG15" i="1"/>
  <c r="E15" i="4" s="1"/>
  <c r="AN17" i="1"/>
  <c r="J17" i="4" s="1"/>
  <c r="G17" i="4" s="1"/>
  <c r="E10" i="6" s="1"/>
  <c r="G10" i="6" s="1"/>
  <c r="AE10" i="1"/>
  <c r="AF10" i="1" s="1"/>
  <c r="D10" i="4" s="1"/>
  <c r="BL116" i="1"/>
  <c r="BM116" i="1" s="1"/>
  <c r="AU118" i="1"/>
  <c r="AV118" i="1" s="1"/>
  <c r="AW65" i="1"/>
  <c r="T65" i="4" s="1"/>
  <c r="AN112" i="1"/>
  <c r="AG78" i="1"/>
  <c r="BC32" i="1"/>
  <c r="BE32" i="1" s="1"/>
  <c r="P32" i="4" s="1"/>
  <c r="Z32" i="4" s="1"/>
  <c r="AA32" i="4" s="1"/>
  <c r="AW39" i="1"/>
  <c r="T39" i="4" s="1"/>
  <c r="N43" i="4"/>
  <c r="BM43" i="1"/>
  <c r="L43" i="4" s="1"/>
  <c r="AE89" i="1"/>
  <c r="AF89" i="1" s="1"/>
  <c r="AG84" i="1"/>
  <c r="BC56" i="1"/>
  <c r="BE56" i="1" s="1"/>
  <c r="P56" i="4" s="1"/>
  <c r="Z56" i="4" s="1"/>
  <c r="AA56" i="4" s="1"/>
  <c r="BD12" i="1"/>
  <c r="BF12" i="1" s="1"/>
  <c r="Q12" i="4" s="1"/>
  <c r="BM36" i="1"/>
  <c r="L36" i="4" s="1"/>
  <c r="N36" i="4"/>
  <c r="BL100" i="1"/>
  <c r="BM100" i="1" s="1"/>
  <c r="BD18" i="1"/>
  <c r="BF18" i="1" s="1"/>
  <c r="Q18" i="4" s="1"/>
  <c r="BC18" i="1"/>
  <c r="BE18" i="1" s="1"/>
  <c r="P18" i="4" s="1"/>
  <c r="Z18" i="4" s="1"/>
  <c r="AA18" i="4" s="1"/>
  <c r="BD74" i="1"/>
  <c r="BF74" i="1" s="1"/>
  <c r="Q74" i="4" s="1"/>
  <c r="BC74" i="1"/>
  <c r="BE74" i="1" s="1"/>
  <c r="P74" i="4" s="1"/>
  <c r="Z74" i="4" s="1"/>
  <c r="AA74" i="4" s="1"/>
  <c r="BM19" i="1"/>
  <c r="L19" i="4" s="1"/>
  <c r="N19" i="4"/>
  <c r="AE54" i="1"/>
  <c r="AF54" i="1" s="1"/>
  <c r="D54" i="4" s="1"/>
  <c r="AG54" i="1"/>
  <c r="E54" i="4" s="1"/>
  <c r="AG104" i="1"/>
  <c r="AE104" i="1"/>
  <c r="AF104" i="1" s="1"/>
  <c r="BL117" i="1"/>
  <c r="BM117" i="1" s="1"/>
  <c r="BN117" i="1"/>
  <c r="BN110" i="1"/>
  <c r="BL110" i="1"/>
  <c r="BM110" i="1" s="1"/>
  <c r="BN112" i="1"/>
  <c r="BL112" i="1"/>
  <c r="BM112" i="1" s="1"/>
  <c r="BC73" i="1"/>
  <c r="BE73" i="1" s="1"/>
  <c r="P73" i="4" s="1"/>
  <c r="Z73" i="4" s="1"/>
  <c r="AA73" i="4" s="1"/>
  <c r="BD73" i="1"/>
  <c r="BF73" i="1" s="1"/>
  <c r="Q73" i="4" s="1"/>
  <c r="BM50" i="1"/>
  <c r="L50" i="4" s="1"/>
  <c r="N50" i="4"/>
  <c r="AE122" i="1"/>
  <c r="AF122" i="1" s="1"/>
  <c r="AG122" i="1"/>
  <c r="AG110" i="1"/>
  <c r="BM26" i="1"/>
  <c r="L26" i="4" s="1"/>
  <c r="N26" i="4"/>
  <c r="BN121" i="1"/>
  <c r="BL121" i="1"/>
  <c r="BM121" i="1" s="1"/>
  <c r="BL102" i="1"/>
  <c r="BM102" i="1" s="1"/>
  <c r="BN102" i="1"/>
  <c r="Z17" i="4"/>
  <c r="AA17" i="4" s="1"/>
  <c r="AG68" i="1"/>
  <c r="E68" i="4" s="1"/>
  <c r="G68" i="4" s="1"/>
  <c r="Y68" i="4" s="1"/>
  <c r="AE68" i="1"/>
  <c r="AF68" i="1" s="1"/>
  <c r="D68" i="4" s="1"/>
  <c r="Z57" i="4"/>
  <c r="AA57" i="4" s="1"/>
  <c r="BC109" i="1"/>
  <c r="BE109" i="1" s="1"/>
  <c r="BD109" i="1"/>
  <c r="BF109" i="1" s="1"/>
  <c r="BC63" i="1"/>
  <c r="BE63" i="1" s="1"/>
  <c r="P63" i="4" s="1"/>
  <c r="Z63" i="4" s="1"/>
  <c r="AA63" i="4" s="1"/>
  <c r="BD63" i="1"/>
  <c r="BF63" i="1" s="1"/>
  <c r="Q63" i="4" s="1"/>
  <c r="BD16" i="1"/>
  <c r="BF16" i="1" s="1"/>
  <c r="Q16" i="4" s="1"/>
  <c r="BC16" i="1"/>
  <c r="BE16" i="1" s="1"/>
  <c r="P16" i="4" s="1"/>
  <c r="Z16" i="4" s="1"/>
  <c r="AA16" i="4" s="1"/>
  <c r="BC20" i="1"/>
  <c r="BE20" i="1" s="1"/>
  <c r="P20" i="4" s="1"/>
  <c r="Z20" i="4" s="1"/>
  <c r="AA20" i="4" s="1"/>
  <c r="BD20" i="1"/>
  <c r="BF20" i="1" s="1"/>
  <c r="Q20" i="4" s="1"/>
  <c r="BD34" i="1"/>
  <c r="BF34" i="1" s="1"/>
  <c r="Q34" i="4" s="1"/>
  <c r="BC34" i="1"/>
  <c r="BE34" i="1" s="1"/>
  <c r="P34" i="4" s="1"/>
  <c r="Z34" i="4" s="1"/>
  <c r="AA34" i="4" s="1"/>
  <c r="BM42" i="1"/>
  <c r="L42" i="4" s="1"/>
  <c r="N42" i="4"/>
  <c r="BM62" i="1"/>
  <c r="L62" i="4" s="1"/>
  <c r="N62" i="4"/>
  <c r="AM67" i="1"/>
  <c r="I67" i="4" s="1"/>
  <c r="AN67" i="1"/>
  <c r="J67" i="4" s="1"/>
  <c r="AM98" i="1"/>
  <c r="AN98" i="1"/>
  <c r="AM105" i="1"/>
  <c r="AN105" i="1"/>
  <c r="AN22" i="1"/>
  <c r="J22" i="4" s="1"/>
  <c r="AM22" i="1"/>
  <c r="I22" i="4" s="1"/>
  <c r="F22" i="4" s="1"/>
  <c r="AM31" i="1"/>
  <c r="I31" i="4" s="1"/>
  <c r="AN31" i="1"/>
  <c r="J31" i="4" s="1"/>
  <c r="G31" i="4" s="1"/>
  <c r="Y31" i="4" s="1"/>
  <c r="AM59" i="1"/>
  <c r="I59" i="4" s="1"/>
  <c r="AN59" i="1"/>
  <c r="J59" i="4" s="1"/>
  <c r="G59" i="4" s="1"/>
  <c r="Y59" i="4" s="1"/>
  <c r="AM39" i="1"/>
  <c r="I39" i="4" s="1"/>
  <c r="F39" i="4" s="1"/>
  <c r="AN39" i="1"/>
  <c r="J39" i="4" s="1"/>
  <c r="G39" i="4" s="1"/>
  <c r="Y39" i="4" s="1"/>
  <c r="AN62" i="1"/>
  <c r="J62" i="4" s="1"/>
  <c r="G62" i="4" s="1"/>
  <c r="Y62" i="4" s="1"/>
  <c r="AM62" i="1"/>
  <c r="I62" i="4" s="1"/>
  <c r="F62" i="4" s="1"/>
  <c r="AM120" i="1"/>
  <c r="AN120" i="1"/>
  <c r="AN79" i="1"/>
  <c r="AM79" i="1"/>
  <c r="AN25" i="1"/>
  <c r="J25" i="4" s="1"/>
  <c r="AM108" i="1"/>
  <c r="AN108" i="1"/>
  <c r="AF59" i="1"/>
  <c r="D59" i="4" s="1"/>
  <c r="BC26" i="1"/>
  <c r="BE26" i="1" s="1"/>
  <c r="P26" i="4" s="1"/>
  <c r="Z26" i="4" s="1"/>
  <c r="AA26" i="4" s="1"/>
  <c r="BD26" i="1"/>
  <c r="BF26" i="1" s="1"/>
  <c r="Q26" i="4" s="1"/>
  <c r="BM48" i="1"/>
  <c r="L48" i="4" s="1"/>
  <c r="N48" i="4"/>
  <c r="BL25" i="1"/>
  <c r="AW85" i="1"/>
  <c r="AU85" i="1"/>
  <c r="AV85" i="1" s="1"/>
  <c r="AG121" i="1"/>
  <c r="AE121" i="1"/>
  <c r="AF121" i="1" s="1"/>
  <c r="BD114" i="1"/>
  <c r="BF114" i="1" s="1"/>
  <c r="BC114" i="1"/>
  <c r="BE114" i="1" s="1"/>
  <c r="BC64" i="1"/>
  <c r="BE64" i="1" s="1"/>
  <c r="P64" i="4" s="1"/>
  <c r="Z64" i="4" s="1"/>
  <c r="AA64" i="4" s="1"/>
  <c r="BD64" i="1"/>
  <c r="BF64" i="1" s="1"/>
  <c r="Q64" i="4" s="1"/>
  <c r="BD22" i="1"/>
  <c r="BF22" i="1" s="1"/>
  <c r="Q22" i="4" s="1"/>
  <c r="BC22" i="1"/>
  <c r="BE22" i="1" s="1"/>
  <c r="P22" i="4" s="1"/>
  <c r="Z22" i="4" s="1"/>
  <c r="AA22" i="4" s="1"/>
  <c r="BC76" i="1"/>
  <c r="BE76" i="1" s="1"/>
  <c r="BD76" i="1"/>
  <c r="BF76" i="1" s="1"/>
  <c r="BD46" i="1"/>
  <c r="BF46" i="1" s="1"/>
  <c r="Q46" i="4" s="1"/>
  <c r="BC46" i="1"/>
  <c r="BE46" i="1" s="1"/>
  <c r="P46" i="4" s="1"/>
  <c r="Z46" i="4" s="1"/>
  <c r="AA46" i="4" s="1"/>
  <c r="BC61" i="1"/>
  <c r="BE61" i="1" s="1"/>
  <c r="P61" i="4" s="1"/>
  <c r="Z61" i="4" s="1"/>
  <c r="AA61" i="4" s="1"/>
  <c r="BD61" i="1"/>
  <c r="BF61" i="1" s="1"/>
  <c r="Q61" i="4" s="1"/>
  <c r="BN105" i="1"/>
  <c r="BL105" i="1"/>
  <c r="BM105" i="1" s="1"/>
  <c r="AU105" i="1"/>
  <c r="AV105" i="1" s="1"/>
  <c r="AW105" i="1"/>
  <c r="AM41" i="1"/>
  <c r="I41" i="4" s="1"/>
  <c r="F41" i="4" s="1"/>
  <c r="AN41" i="1"/>
  <c r="J41" i="4" s="1"/>
  <c r="G41" i="4" s="1"/>
  <c r="Y41" i="4" s="1"/>
  <c r="AM95" i="1"/>
  <c r="AN95" i="1"/>
  <c r="AN28" i="1"/>
  <c r="J28" i="4" s="1"/>
  <c r="G28" i="4" s="1"/>
  <c r="Y28" i="4" s="1"/>
  <c r="AM28" i="1"/>
  <c r="I28" i="4" s="1"/>
  <c r="F28" i="4" s="1"/>
  <c r="AN54" i="1"/>
  <c r="J54" i="4" s="1"/>
  <c r="AM97" i="1"/>
  <c r="AN97" i="1"/>
  <c r="AM102" i="1"/>
  <c r="AN102" i="1"/>
  <c r="AN40" i="1"/>
  <c r="J40" i="4" s="1"/>
  <c r="G40" i="4" s="1"/>
  <c r="Y40" i="4" s="1"/>
  <c r="AM40" i="1"/>
  <c r="I40" i="4" s="1"/>
  <c r="F40" i="4" s="1"/>
  <c r="AM9" i="1"/>
  <c r="I9" i="4" s="1"/>
  <c r="F9" i="4" s="1"/>
  <c r="AN9" i="1"/>
  <c r="J9" i="4" s="1"/>
  <c r="G9" i="4" s="1"/>
  <c r="AM43" i="1"/>
  <c r="I43" i="4" s="1"/>
  <c r="AN43" i="1"/>
  <c r="J43" i="4" s="1"/>
  <c r="G43" i="4" s="1"/>
  <c r="Y43" i="4" s="1"/>
  <c r="AM26" i="1"/>
  <c r="I26" i="4" s="1"/>
  <c r="F26" i="4" s="1"/>
  <c r="AN26" i="1"/>
  <c r="J26" i="4" s="1"/>
  <c r="AM68" i="1"/>
  <c r="I68" i="4" s="1"/>
  <c r="BM28" i="1"/>
  <c r="L28" i="4" s="1"/>
  <c r="N28" i="4"/>
  <c r="BM41" i="1"/>
  <c r="L41" i="4" s="1"/>
  <c r="N41" i="4"/>
  <c r="BN26" i="1"/>
  <c r="M26" i="4" s="1"/>
  <c r="AW112" i="1"/>
  <c r="AU112" i="1"/>
  <c r="AV112" i="1" s="1"/>
  <c r="AU119" i="1"/>
  <c r="AV119" i="1" s="1"/>
  <c r="AE37" i="1"/>
  <c r="AF37" i="1" s="1"/>
  <c r="D37" i="4" s="1"/>
  <c r="AG37" i="1"/>
  <c r="E37" i="4" s="1"/>
  <c r="AE108" i="1"/>
  <c r="AF108" i="1" s="1"/>
  <c r="AG108" i="1"/>
  <c r="AE11" i="1"/>
  <c r="AF11" i="1" s="1"/>
  <c r="D11" i="4" s="1"/>
  <c r="AE15" i="1"/>
  <c r="AF15" i="1" s="1"/>
  <c r="D15" i="4" s="1"/>
  <c r="Z21" i="4"/>
  <c r="AA21" i="4" s="1"/>
  <c r="BC122" i="1"/>
  <c r="BE122" i="1" s="1"/>
  <c r="BD122" i="1"/>
  <c r="BF122" i="1" s="1"/>
  <c r="BC111" i="1"/>
  <c r="BE111" i="1" s="1"/>
  <c r="BD111" i="1"/>
  <c r="BF111" i="1" s="1"/>
  <c r="BD35" i="1"/>
  <c r="BF35" i="1" s="1"/>
  <c r="Q35" i="4" s="1"/>
  <c r="BC35" i="1"/>
  <c r="BE35" i="1" s="1"/>
  <c r="P35" i="4" s="1"/>
  <c r="Z35" i="4" s="1"/>
  <c r="AA35" i="4" s="1"/>
  <c r="BD65" i="1"/>
  <c r="BF65" i="1" s="1"/>
  <c r="Q65" i="4" s="1"/>
  <c r="BC65" i="1"/>
  <c r="BE65" i="1" s="1"/>
  <c r="P65" i="4" s="1"/>
  <c r="Z65" i="4" s="1"/>
  <c r="AA65" i="4" s="1"/>
  <c r="BC80" i="1"/>
  <c r="BE80" i="1" s="1"/>
  <c r="BD80" i="1"/>
  <c r="BF80" i="1" s="1"/>
  <c r="BD39" i="1"/>
  <c r="BF39" i="1" s="1"/>
  <c r="Q39" i="4" s="1"/>
  <c r="BC39" i="1"/>
  <c r="BE39" i="1" s="1"/>
  <c r="P39" i="4" s="1"/>
  <c r="Z39" i="4" s="1"/>
  <c r="AA39" i="4" s="1"/>
  <c r="BD60" i="1"/>
  <c r="BF60" i="1" s="1"/>
  <c r="Q60" i="4" s="1"/>
  <c r="BC60" i="1"/>
  <c r="BE60" i="1" s="1"/>
  <c r="P60" i="4" s="1"/>
  <c r="Z60" i="4" s="1"/>
  <c r="AA60" i="4" s="1"/>
  <c r="BL111" i="1"/>
  <c r="BM111" i="1" s="1"/>
  <c r="BM32" i="1"/>
  <c r="L32" i="4" s="1"/>
  <c r="N32" i="4"/>
  <c r="AF49" i="1"/>
  <c r="D49" i="4" s="1"/>
  <c r="AN82" i="1"/>
  <c r="AM82" i="1"/>
  <c r="AM23" i="1"/>
  <c r="I23" i="4" s="1"/>
  <c r="AN23" i="1"/>
  <c r="J23" i="4" s="1"/>
  <c r="AN110" i="1"/>
  <c r="AM110" i="1"/>
  <c r="AM116" i="1"/>
  <c r="AN116" i="1"/>
  <c r="AM52" i="1"/>
  <c r="I52" i="4" s="1"/>
  <c r="F52" i="4" s="1"/>
  <c r="AN52" i="1"/>
  <c r="J52" i="4" s="1"/>
  <c r="G52" i="4" s="1"/>
  <c r="Y52" i="4" s="1"/>
  <c r="AN86" i="1"/>
  <c r="AM86" i="1"/>
  <c r="AM111" i="1"/>
  <c r="AN111" i="1"/>
  <c r="AM74" i="1"/>
  <c r="I74" i="4" s="1"/>
  <c r="F74" i="4" s="1"/>
  <c r="AN74" i="1"/>
  <c r="J74" i="4" s="1"/>
  <c r="G74" i="4" s="1"/>
  <c r="Y74" i="4" s="1"/>
  <c r="AN99" i="1"/>
  <c r="AM99" i="1"/>
  <c r="AM122" i="1"/>
  <c r="AN122" i="1"/>
  <c r="AN36" i="1"/>
  <c r="J36" i="4" s="1"/>
  <c r="G36" i="4" s="1"/>
  <c r="Y36" i="4" s="1"/>
  <c r="AM36" i="1"/>
  <c r="I36" i="4" s="1"/>
  <c r="F36" i="4" s="1"/>
  <c r="AM117" i="1"/>
  <c r="AN117" i="1"/>
  <c r="AN84" i="1"/>
  <c r="AM84" i="1"/>
  <c r="AN64" i="1"/>
  <c r="J64" i="4" s="1"/>
  <c r="G64" i="4" s="1"/>
  <c r="Y64" i="4" s="1"/>
  <c r="AN73" i="1"/>
  <c r="J73" i="4" s="1"/>
  <c r="AM73" i="1"/>
  <c r="I73" i="4" s="1"/>
  <c r="F73" i="4" s="1"/>
  <c r="AM92" i="1"/>
  <c r="CA92" i="1" s="1"/>
  <c r="AN92" i="1"/>
  <c r="AM11" i="1"/>
  <c r="I11" i="4" s="1"/>
  <c r="AN11" i="1"/>
  <c r="J11" i="4" s="1"/>
  <c r="G11" i="4" s="1"/>
  <c r="AN50" i="1"/>
  <c r="J50" i="4" s="1"/>
  <c r="G50" i="4" s="1"/>
  <c r="Y50" i="4" s="1"/>
  <c r="AM50" i="1"/>
  <c r="I50" i="4" s="1"/>
  <c r="F50" i="4" s="1"/>
  <c r="AN77" i="1"/>
  <c r="AM77" i="1"/>
  <c r="AN61" i="1"/>
  <c r="J61" i="4" s="1"/>
  <c r="G61" i="4" s="1"/>
  <c r="Y61" i="4" s="1"/>
  <c r="AM61" i="1"/>
  <c r="I61" i="4" s="1"/>
  <c r="F61" i="4" s="1"/>
  <c r="AN89" i="1"/>
  <c r="AM89" i="1"/>
  <c r="AN58" i="1"/>
  <c r="J58" i="4" s="1"/>
  <c r="AN42" i="1"/>
  <c r="J42" i="4" s="1"/>
  <c r="G42" i="4" s="1"/>
  <c r="Y42" i="4" s="1"/>
  <c r="AN55" i="1"/>
  <c r="J55" i="4" s="1"/>
  <c r="G55" i="4" s="1"/>
  <c r="Y55" i="4" s="1"/>
  <c r="AM55" i="1"/>
  <c r="I55" i="4" s="1"/>
  <c r="AN75" i="1"/>
  <c r="J75" i="4" s="1"/>
  <c r="G75" i="4" s="1"/>
  <c r="Y75" i="4" s="1"/>
  <c r="AM75" i="1"/>
  <c r="I75" i="4" s="1"/>
  <c r="F75" i="4" s="1"/>
  <c r="AM118" i="1"/>
  <c r="AN118" i="1"/>
  <c r="AM18" i="1"/>
  <c r="I18" i="4" s="1"/>
  <c r="AN18" i="1"/>
  <c r="J18" i="4" s="1"/>
  <c r="AM46" i="1"/>
  <c r="I46" i="4" s="1"/>
  <c r="F46" i="4" s="1"/>
  <c r="AM54" i="1"/>
  <c r="I54" i="4" s="1"/>
  <c r="AA5" i="6"/>
  <c r="T5" i="6"/>
  <c r="B6" i="9" s="1"/>
  <c r="BL22" i="1"/>
  <c r="AG22" i="1"/>
  <c r="E22" i="4" s="1"/>
  <c r="AU25" i="1"/>
  <c r="AV25" i="1" s="1"/>
  <c r="S25" i="4" s="1"/>
  <c r="R18" i="6" s="1"/>
  <c r="AW25" i="1"/>
  <c r="T25" i="4" s="1"/>
  <c r="S18" i="6" s="1"/>
  <c r="U18" i="6" s="1"/>
  <c r="AM17" i="1"/>
  <c r="I17" i="4" s="1"/>
  <c r="F17" i="4" s="1"/>
  <c r="AA4" i="6"/>
  <c r="T4" i="6"/>
  <c r="B5" i="9" s="1"/>
  <c r="AU82" i="1"/>
  <c r="AV82" i="1" s="1"/>
  <c r="N59" i="4"/>
  <c r="BM59" i="1"/>
  <c r="L59" i="4" s="1"/>
  <c r="AM64" i="1"/>
  <c r="I64" i="4" s="1"/>
  <c r="F64" i="4" s="1"/>
  <c r="BM47" i="1"/>
  <c r="L47" i="4" s="1"/>
  <c r="N47" i="4"/>
  <c r="AG23" i="1"/>
  <c r="E23" i="4" s="1"/>
  <c r="AE23" i="1"/>
  <c r="AF23" i="1" s="1"/>
  <c r="D23" i="4" s="1"/>
  <c r="BD24" i="1"/>
  <c r="BF24" i="1" s="1"/>
  <c r="Q24" i="4" s="1"/>
  <c r="BC24" i="1"/>
  <c r="BE24" i="1" s="1"/>
  <c r="P24" i="4" s="1"/>
  <c r="Z24" i="4" s="1"/>
  <c r="AA24" i="4" s="1"/>
  <c r="AU26" i="1"/>
  <c r="AV26" i="1" s="1"/>
  <c r="S26" i="4" s="1"/>
  <c r="R19" i="6" s="1"/>
  <c r="AW26" i="1"/>
  <c r="T26" i="4" s="1"/>
  <c r="S19" i="6" s="1"/>
  <c r="U19" i="6" s="1"/>
  <c r="AW47" i="1"/>
  <c r="T47" i="4" s="1"/>
  <c r="AU47" i="1"/>
  <c r="AV47" i="1" s="1"/>
  <c r="S47" i="4" s="1"/>
  <c r="AU23" i="1"/>
  <c r="AV23" i="1" s="1"/>
  <c r="S23" i="4" s="1"/>
  <c r="R16" i="6" s="1"/>
  <c r="AM42" i="1"/>
  <c r="I42" i="4" s="1"/>
  <c r="F42" i="4" s="1"/>
  <c r="BD93" i="1"/>
  <c r="BF93" i="1" s="1"/>
  <c r="BC93" i="1"/>
  <c r="BE93" i="1" s="1"/>
  <c r="AN12" i="1"/>
  <c r="J12" i="4" s="1"/>
  <c r="AM12" i="1"/>
  <c r="I12" i="4" s="1"/>
  <c r="BC100" i="1"/>
  <c r="BE100" i="1" s="1"/>
  <c r="BD100" i="1"/>
  <c r="BF100" i="1" s="1"/>
  <c r="BC54" i="1"/>
  <c r="BE54" i="1" s="1"/>
  <c r="P54" i="4" s="1"/>
  <c r="Z54" i="4" s="1"/>
  <c r="AA54" i="4" s="1"/>
  <c r="BD54" i="1"/>
  <c r="BF54" i="1" s="1"/>
  <c r="Q54" i="4" s="1"/>
  <c r="AW110" i="1"/>
  <c r="AG105" i="1"/>
  <c r="AE105" i="1"/>
  <c r="AF105" i="1" s="1"/>
  <c r="BC105" i="1"/>
  <c r="BE105" i="1" s="1"/>
  <c r="BD105" i="1"/>
  <c r="BF105" i="1" s="1"/>
  <c r="AM106" i="1"/>
  <c r="AN106" i="1"/>
  <c r="AN101" i="1"/>
  <c r="AM101" i="1"/>
  <c r="AM103" i="1"/>
  <c r="AN103" i="1"/>
  <c r="AN48" i="1"/>
  <c r="J48" i="4" s="1"/>
  <c r="G48" i="4" s="1"/>
  <c r="Y48" i="4" s="1"/>
  <c r="AM48" i="1"/>
  <c r="I48" i="4" s="1"/>
  <c r="AM15" i="1"/>
  <c r="I15" i="4" s="1"/>
  <c r="AN15" i="1"/>
  <c r="J15" i="4" s="1"/>
  <c r="AN53" i="1"/>
  <c r="J53" i="4" s="1"/>
  <c r="G53" i="4" s="1"/>
  <c r="Y53" i="4" s="1"/>
  <c r="AM53" i="1"/>
  <c r="I53" i="4" s="1"/>
  <c r="F53" i="4" s="1"/>
  <c r="AN114" i="1"/>
  <c r="AM114" i="1"/>
  <c r="AM27" i="1"/>
  <c r="I27" i="4" s="1"/>
  <c r="F27" i="4" s="1"/>
  <c r="AM14" i="1"/>
  <c r="I14" i="4" s="1"/>
  <c r="F14" i="4" s="1"/>
  <c r="AN14" i="1"/>
  <c r="J14" i="4" s="1"/>
  <c r="G14" i="4" s="1"/>
  <c r="AN30" i="1"/>
  <c r="J30" i="4" s="1"/>
  <c r="G30" i="4" s="1"/>
  <c r="Y30" i="4" s="1"/>
  <c r="AM30" i="1"/>
  <c r="I30" i="4" s="1"/>
  <c r="F30" i="4" s="1"/>
  <c r="AN37" i="1"/>
  <c r="J37" i="4" s="1"/>
  <c r="AM37" i="1"/>
  <c r="I37" i="4" s="1"/>
  <c r="BM53" i="1"/>
  <c r="L53" i="4" s="1"/>
  <c r="N53" i="4"/>
  <c r="BC25" i="1"/>
  <c r="BE25" i="1" s="1"/>
  <c r="P25" i="4" s="1"/>
  <c r="Z25" i="4" s="1"/>
  <c r="AA25" i="4" s="1"/>
  <c r="BD25" i="1"/>
  <c r="BF25" i="1" s="1"/>
  <c r="Q25" i="4" s="1"/>
  <c r="AM60" i="1"/>
  <c r="I60" i="4" s="1"/>
  <c r="F60" i="4" s="1"/>
  <c r="AA3" i="6"/>
  <c r="T3" i="6"/>
  <c r="B4" i="9" s="1"/>
  <c r="AM34" i="1"/>
  <c r="I34" i="4" s="1"/>
  <c r="G18" i="4"/>
  <c r="BC103" i="1"/>
  <c r="BE103" i="1" s="1"/>
  <c r="BD103" i="1"/>
  <c r="BF103" i="1" s="1"/>
  <c r="AE12" i="1"/>
  <c r="AF12" i="1" s="1"/>
  <c r="D12" i="4" s="1"/>
  <c r="AG12" i="1"/>
  <c r="E12" i="4" s="1"/>
  <c r="AE21" i="1"/>
  <c r="AF21" i="1" s="1"/>
  <c r="D21" i="4" s="1"/>
  <c r="BC121" i="1"/>
  <c r="BE121" i="1" s="1"/>
  <c r="BD121" i="1"/>
  <c r="BF121" i="1" s="1"/>
  <c r="BD120" i="1"/>
  <c r="BF120" i="1" s="1"/>
  <c r="BC120" i="1"/>
  <c r="BE120" i="1" s="1"/>
  <c r="BC28" i="1"/>
  <c r="BE28" i="1" s="1"/>
  <c r="P28" i="4" s="1"/>
  <c r="Z28" i="4" s="1"/>
  <c r="AA28" i="4" s="1"/>
  <c r="BD28" i="1"/>
  <c r="BF28" i="1" s="1"/>
  <c r="Q28" i="4" s="1"/>
  <c r="AM16" i="1"/>
  <c r="I16" i="4" s="1"/>
  <c r="F16" i="4" s="1"/>
  <c r="BM12" i="1"/>
  <c r="L12" i="4" s="1"/>
  <c r="N12" i="4"/>
  <c r="AN91" i="1"/>
  <c r="AM91" i="1"/>
  <c r="AM69" i="1"/>
  <c r="AN69" i="1"/>
  <c r="J69" i="4" s="1"/>
  <c r="G69" i="4" s="1"/>
  <c r="Y69" i="4" s="1"/>
  <c r="AN88" i="1"/>
  <c r="AM88" i="1"/>
  <c r="AM107" i="1"/>
  <c r="AN107" i="1"/>
  <c r="AM65" i="1"/>
  <c r="I65" i="4" s="1"/>
  <c r="AN65" i="1"/>
  <c r="J65" i="4" s="1"/>
  <c r="G65" i="4" s="1"/>
  <c r="Y65" i="4" s="1"/>
  <c r="AM71" i="1"/>
  <c r="I71" i="4" s="1"/>
  <c r="F71" i="4" s="1"/>
  <c r="AN71" i="1"/>
  <c r="J71" i="4" s="1"/>
  <c r="G71" i="4" s="1"/>
  <c r="Y71" i="4" s="1"/>
  <c r="AN113" i="1"/>
  <c r="AM113" i="1"/>
  <c r="AN44" i="1"/>
  <c r="J44" i="4" s="1"/>
  <c r="G44" i="4" s="1"/>
  <c r="Y44" i="4" s="1"/>
  <c r="AM44" i="1"/>
  <c r="I44" i="4" s="1"/>
  <c r="F44" i="4" s="1"/>
  <c r="AN119" i="1"/>
  <c r="AM119" i="1"/>
  <c r="AM57" i="1"/>
  <c r="I57" i="4" s="1"/>
  <c r="F57" i="4" s="1"/>
  <c r="X57" i="4" s="1"/>
  <c r="AN57" i="1"/>
  <c r="J57" i="4" s="1"/>
  <c r="AM70" i="1"/>
  <c r="AN70" i="1"/>
  <c r="J70" i="4" s="1"/>
  <c r="G70" i="4" s="1"/>
  <c r="Y70" i="4" s="1"/>
  <c r="AM10" i="1"/>
  <c r="I10" i="4" s="1"/>
  <c r="F10" i="4" s="1"/>
  <c r="AN10" i="1"/>
  <c r="J10" i="4" s="1"/>
  <c r="G10" i="4" s="1"/>
  <c r="AM76" i="1"/>
  <c r="AN76" i="1"/>
  <c r="AM32" i="1"/>
  <c r="I32" i="4" s="1"/>
  <c r="F32" i="4" s="1"/>
  <c r="AN32" i="1"/>
  <c r="J32" i="4" s="1"/>
  <c r="G32" i="4" s="1"/>
  <c r="Y32" i="4" s="1"/>
  <c r="AM19" i="1"/>
  <c r="I19" i="4" s="1"/>
  <c r="AN19" i="1"/>
  <c r="J19" i="4" s="1"/>
  <c r="G19" i="4" s="1"/>
  <c r="BM16" i="1"/>
  <c r="L16" i="4" s="1"/>
  <c r="N16" i="4"/>
  <c r="AU22" i="1"/>
  <c r="AV22" i="1" s="1"/>
  <c r="S22" i="4" s="1"/>
  <c r="R15" i="6" s="1"/>
  <c r="AW22" i="1"/>
  <c r="T22" i="4" s="1"/>
  <c r="S15" i="6" s="1"/>
  <c r="U15" i="6" s="1"/>
  <c r="BM20" i="1"/>
  <c r="L20" i="4" s="1"/>
  <c r="N20" i="4"/>
  <c r="BN24" i="1"/>
  <c r="M24" i="4" s="1"/>
  <c r="BL24" i="1"/>
  <c r="AG24" i="1"/>
  <c r="E24" i="4" s="1"/>
  <c r="AE24" i="1"/>
  <c r="AF24" i="1" s="1"/>
  <c r="D24" i="4" s="1"/>
  <c r="F48" i="4"/>
  <c r="BD91" i="1"/>
  <c r="BF91" i="1" s="1"/>
  <c r="E23" i="5"/>
  <c r="C23" i="5"/>
  <c r="AU115" i="1"/>
  <c r="AV115" i="1" s="1"/>
  <c r="AW115" i="1"/>
  <c r="AE19" i="1"/>
  <c r="AF19" i="1" s="1"/>
  <c r="D19" i="4" s="1"/>
  <c r="BL118" i="1"/>
  <c r="BM118" i="1" s="1"/>
  <c r="BN118" i="1"/>
  <c r="BN98" i="1"/>
  <c r="BL98" i="1"/>
  <c r="BM98" i="1" s="1"/>
  <c r="AW111" i="1"/>
  <c r="AU111" i="1"/>
  <c r="AV111" i="1" s="1"/>
  <c r="AG67" i="1"/>
  <c r="E67" i="4" s="1"/>
  <c r="AE67" i="1"/>
  <c r="AF67" i="1" s="1"/>
  <c r="D67" i="4" s="1"/>
  <c r="AE98" i="1"/>
  <c r="AF98" i="1" s="1"/>
  <c r="AG98" i="1"/>
  <c r="AE18" i="1"/>
  <c r="AF18" i="1" s="1"/>
  <c r="D18" i="4" s="1"/>
  <c r="F18" i="4" s="1"/>
  <c r="BD92" i="1"/>
  <c r="BF92" i="1" s="1"/>
  <c r="BC92" i="1"/>
  <c r="BE92" i="1" s="1"/>
  <c r="AN27" i="1"/>
  <c r="J27" i="4" s="1"/>
  <c r="G27" i="4" s="1"/>
  <c r="BC107" i="1"/>
  <c r="BE107" i="1" s="1"/>
  <c r="BD107" i="1"/>
  <c r="BF107" i="1" s="1"/>
  <c r="BD102" i="1"/>
  <c r="BF102" i="1" s="1"/>
  <c r="BC102" i="1"/>
  <c r="BE102" i="1" s="1"/>
  <c r="BC98" i="1"/>
  <c r="BE98" i="1" s="1"/>
  <c r="BD98" i="1"/>
  <c r="BF98" i="1" s="1"/>
  <c r="BC117" i="1"/>
  <c r="BE117" i="1" s="1"/>
  <c r="BD117" i="1"/>
  <c r="BF117" i="1" s="1"/>
  <c r="BC67" i="1"/>
  <c r="BE67" i="1" s="1"/>
  <c r="P67" i="4" s="1"/>
  <c r="Z67" i="4" s="1"/>
  <c r="AA67" i="4" s="1"/>
  <c r="BD67" i="1"/>
  <c r="BF67" i="1" s="1"/>
  <c r="Q67" i="4" s="1"/>
  <c r="BC14" i="1"/>
  <c r="BE14" i="1" s="1"/>
  <c r="P14" i="4" s="1"/>
  <c r="Z14" i="4" s="1"/>
  <c r="AA14" i="4" s="1"/>
  <c r="BD14" i="1"/>
  <c r="BF14" i="1" s="1"/>
  <c r="Q14" i="4" s="1"/>
  <c r="BC72" i="1"/>
  <c r="BE72" i="1" s="1"/>
  <c r="P72" i="4" s="1"/>
  <c r="Z72" i="4" s="1"/>
  <c r="AA72" i="4" s="1"/>
  <c r="BD72" i="1"/>
  <c r="BF72" i="1" s="1"/>
  <c r="Q72" i="4" s="1"/>
  <c r="BD55" i="1"/>
  <c r="BF55" i="1" s="1"/>
  <c r="Q55" i="4" s="1"/>
  <c r="BC55" i="1"/>
  <c r="BE55" i="1" s="1"/>
  <c r="P55" i="4" s="1"/>
  <c r="Z55" i="4" s="1"/>
  <c r="AA55" i="4" s="1"/>
  <c r="AF83" i="1"/>
  <c r="BM64" i="1"/>
  <c r="L64" i="4" s="1"/>
  <c r="N64" i="4"/>
  <c r="BM72" i="1"/>
  <c r="L72" i="4" s="1"/>
  <c r="N72" i="4"/>
  <c r="F72" i="4"/>
  <c r="N58" i="4"/>
  <c r="BM58" i="1"/>
  <c r="L58" i="4" s="1"/>
  <c r="AN81" i="1"/>
  <c r="AM81" i="1"/>
  <c r="AN35" i="1"/>
  <c r="J35" i="4" s="1"/>
  <c r="G35" i="4" s="1"/>
  <c r="Y35" i="4" s="1"/>
  <c r="AM35" i="1"/>
  <c r="I35" i="4" s="1"/>
  <c r="F35" i="4" s="1"/>
  <c r="AN24" i="1"/>
  <c r="J24" i="4" s="1"/>
  <c r="AM24" i="1"/>
  <c r="I24" i="4" s="1"/>
  <c r="AN85" i="1"/>
  <c r="AM45" i="1"/>
  <c r="I45" i="4" s="1"/>
  <c r="F45" i="4" s="1"/>
  <c r="AN45" i="1"/>
  <c r="J45" i="4" s="1"/>
  <c r="G45" i="4" s="1"/>
  <c r="Y45" i="4" s="1"/>
  <c r="AM90" i="1"/>
  <c r="AN90" i="1"/>
  <c r="AN109" i="1"/>
  <c r="AM63" i="1"/>
  <c r="I63" i="4" s="1"/>
  <c r="F63" i="4" s="1"/>
  <c r="AN63" i="1"/>
  <c r="J63" i="4" s="1"/>
  <c r="G63" i="4" s="1"/>
  <c r="Y63" i="4" s="1"/>
  <c r="AN93" i="1"/>
  <c r="AM93" i="1"/>
  <c r="AN29" i="1"/>
  <c r="J29" i="4" s="1"/>
  <c r="G29" i="4" s="1"/>
  <c r="Y29" i="4" s="1"/>
  <c r="AN49" i="1"/>
  <c r="J49" i="4" s="1"/>
  <c r="G49" i="4" s="1"/>
  <c r="Y49" i="4" s="1"/>
  <c r="AM49" i="1"/>
  <c r="I49" i="4" s="1"/>
  <c r="AM21" i="1"/>
  <c r="I21" i="4" s="1"/>
  <c r="AN21" i="1"/>
  <c r="J21" i="4" s="1"/>
  <c r="AN78" i="1"/>
  <c r="AM78" i="1"/>
  <c r="AN33" i="1"/>
  <c r="J33" i="4" s="1"/>
  <c r="G33" i="4" s="1"/>
  <c r="Y33" i="4" s="1"/>
  <c r="AM33" i="1"/>
  <c r="I33" i="4" s="1"/>
  <c r="F33" i="4" s="1"/>
  <c r="AM100" i="1"/>
  <c r="AN100" i="1"/>
  <c r="AN83" i="1"/>
  <c r="AM83" i="1"/>
  <c r="CA83" i="1" s="1"/>
  <c r="AM56" i="1"/>
  <c r="I56" i="4" s="1"/>
  <c r="F56" i="4" s="1"/>
  <c r="AN56" i="1"/>
  <c r="J56" i="4" s="1"/>
  <c r="G56" i="4" s="1"/>
  <c r="Y56" i="4" s="1"/>
  <c r="AM51" i="1"/>
  <c r="I51" i="4" s="1"/>
  <c r="F51" i="4" s="1"/>
  <c r="AN51" i="1"/>
  <c r="J51" i="4" s="1"/>
  <c r="G51" i="4" s="1"/>
  <c r="Y51" i="4" s="1"/>
  <c r="AM20" i="1"/>
  <c r="I20" i="4" s="1"/>
  <c r="F20" i="4" s="1"/>
  <c r="AN20" i="1"/>
  <c r="J20" i="4" s="1"/>
  <c r="G20" i="4" s="1"/>
  <c r="AN121" i="1"/>
  <c r="AM121" i="1"/>
  <c r="AN80" i="1"/>
  <c r="AM80" i="1"/>
  <c r="AM47" i="1"/>
  <c r="I47" i="4" s="1"/>
  <c r="AN47" i="1"/>
  <c r="J47" i="4" s="1"/>
  <c r="G47" i="4" s="1"/>
  <c r="Y47" i="4" s="1"/>
  <c r="AN66" i="1"/>
  <c r="J66" i="4" s="1"/>
  <c r="G66" i="4" s="1"/>
  <c r="Y66" i="4" s="1"/>
  <c r="AM66" i="1"/>
  <c r="I66" i="4" s="1"/>
  <c r="F66" i="4" s="1"/>
  <c r="AN115" i="1"/>
  <c r="AM115" i="1"/>
  <c r="AM13" i="1"/>
  <c r="I13" i="4" s="1"/>
  <c r="F13" i="4" s="1"/>
  <c r="AN13" i="1"/>
  <c r="J13" i="4" s="1"/>
  <c r="G13" i="4" s="1"/>
  <c r="BM63" i="1"/>
  <c r="L63" i="4" s="1"/>
  <c r="N63" i="4"/>
  <c r="AE47" i="1"/>
  <c r="AF47" i="1" s="1"/>
  <c r="D47" i="4" s="1"/>
  <c r="BM49" i="1"/>
  <c r="L49" i="4" s="1"/>
  <c r="N49" i="4"/>
  <c r="AE55" i="1"/>
  <c r="AF55" i="1" s="1"/>
  <c r="D55" i="4" s="1"/>
  <c r="BM57" i="1"/>
  <c r="L57" i="4" s="1"/>
  <c r="BC15" i="1"/>
  <c r="BE15" i="1" s="1"/>
  <c r="P15" i="4" s="1"/>
  <c r="Z15" i="4" s="1"/>
  <c r="AA15" i="4" s="1"/>
  <c r="AU24" i="1"/>
  <c r="AV24" i="1" s="1"/>
  <c r="S24" i="4" s="1"/>
  <c r="R17" i="6" s="1"/>
  <c r="AE25" i="1"/>
  <c r="AF25" i="1" s="1"/>
  <c r="D25" i="4" s="1"/>
  <c r="AG25" i="1"/>
  <c r="E25" i="4" s="1"/>
  <c r="G25" i="4" s="1"/>
  <c r="AM96" i="1"/>
  <c r="BC119" i="1"/>
  <c r="BE119" i="1" s="1"/>
  <c r="T20" i="6"/>
  <c r="BL23" i="1"/>
  <c r="BN23" i="1"/>
  <c r="M23" i="4" s="1"/>
  <c r="AE65" i="1"/>
  <c r="AF65" i="1" s="1"/>
  <c r="D65" i="4" s="1"/>
  <c r="F31" i="4"/>
  <c r="AM38" i="1"/>
  <c r="I38" i="4" s="1"/>
  <c r="F38" i="4" s="1"/>
  <c r="F43" i="4"/>
  <c r="AM25" i="1"/>
  <c r="I25" i="4" s="1"/>
  <c r="BD23" i="1"/>
  <c r="BF23" i="1" s="1"/>
  <c r="Q23" i="4" s="1"/>
  <c r="AG26" i="1"/>
  <c r="E26" i="4" s="1"/>
  <c r="BD47" i="1"/>
  <c r="BF47" i="1" s="1"/>
  <c r="Q47" i="4" s="1"/>
  <c r="BC47" i="1"/>
  <c r="BE47" i="1" s="1"/>
  <c r="P47" i="4" s="1"/>
  <c r="Z47" i="4" s="1"/>
  <c r="AA47" i="4" s="1"/>
  <c r="H11" i="5"/>
  <c r="H15" i="5"/>
  <c r="H8" i="5"/>
  <c r="G23" i="4" l="1"/>
  <c r="F54" i="4"/>
  <c r="F59" i="4"/>
  <c r="T6" i="6"/>
  <c r="B7" i="9" s="1"/>
  <c r="AA6" i="6"/>
  <c r="AB29" i="4"/>
  <c r="X29" i="4"/>
  <c r="AF29" i="4"/>
  <c r="H7" i="5"/>
  <c r="F23" i="4"/>
  <c r="N44" i="4"/>
  <c r="BM34" i="1"/>
  <c r="L34" i="4" s="1"/>
  <c r="N34" i="4"/>
  <c r="BM61" i="1"/>
  <c r="L61" i="4" s="1"/>
  <c r="N61" i="4"/>
  <c r="AA8" i="6"/>
  <c r="AB2" i="6" s="1"/>
  <c r="AC2" i="6" s="1"/>
  <c r="T8" i="6"/>
  <c r="B9" i="9" s="1"/>
  <c r="BM60" i="1"/>
  <c r="L60" i="4" s="1"/>
  <c r="N60" i="4"/>
  <c r="G21" i="4"/>
  <c r="E14" i="6" s="1"/>
  <c r="G14" i="6" s="1"/>
  <c r="G57" i="4"/>
  <c r="Y57" i="4" s="1"/>
  <c r="G22" i="4"/>
  <c r="N29" i="4"/>
  <c r="BM29" i="1"/>
  <c r="L29" i="4" s="1"/>
  <c r="N35" i="4"/>
  <c r="BM35" i="1"/>
  <c r="L35" i="4" s="1"/>
  <c r="BM54" i="1"/>
  <c r="L54" i="4" s="1"/>
  <c r="N54" i="4"/>
  <c r="H10" i="5"/>
  <c r="F34" i="4"/>
  <c r="H9" i="5"/>
  <c r="H13" i="5"/>
  <c r="H6" i="5"/>
  <c r="H14" i="5"/>
  <c r="H12" i="5"/>
  <c r="H16" i="5"/>
  <c r="G73" i="4"/>
  <c r="Y73" i="4" s="1"/>
  <c r="G54" i="4"/>
  <c r="Y54" i="4" s="1"/>
  <c r="Y17" i="4"/>
  <c r="N15" i="4"/>
  <c r="BM15" i="1"/>
  <c r="L15" i="4" s="1"/>
  <c r="AF58" i="4"/>
  <c r="X58" i="4"/>
  <c r="AB58" i="4"/>
  <c r="F49" i="4"/>
  <c r="AB49" i="4" s="1"/>
  <c r="BM38" i="1"/>
  <c r="L38" i="4" s="1"/>
  <c r="N38" i="4"/>
  <c r="F12" i="4"/>
  <c r="B9" i="5" s="1"/>
  <c r="D9" i="5" s="1"/>
  <c r="E9" i="6"/>
  <c r="G9" i="6" s="1"/>
  <c r="G37" i="4"/>
  <c r="Y37" i="4" s="1"/>
  <c r="F68" i="4"/>
  <c r="G15" i="4"/>
  <c r="Y15" i="4" s="1"/>
  <c r="F24" i="4"/>
  <c r="AB24" i="4" s="1"/>
  <c r="G58" i="4"/>
  <c r="Y58" i="4" s="1"/>
  <c r="F11" i="4"/>
  <c r="CA59" i="1"/>
  <c r="AD59" i="4" s="1"/>
  <c r="AF59" i="4" s="1"/>
  <c r="E3" i="6"/>
  <c r="G3" i="6" s="1"/>
  <c r="Y10" i="4"/>
  <c r="E7" i="6"/>
  <c r="G7" i="6" s="1"/>
  <c r="Y14" i="4"/>
  <c r="AB50" i="4"/>
  <c r="X50" i="4"/>
  <c r="AF50" i="4"/>
  <c r="X45" i="4"/>
  <c r="AF45" i="4"/>
  <c r="AB45" i="4"/>
  <c r="AB71" i="4"/>
  <c r="X71" i="4"/>
  <c r="AF71" i="4"/>
  <c r="X53" i="4"/>
  <c r="AF53" i="4"/>
  <c r="AB53" i="4"/>
  <c r="D2" i="6"/>
  <c r="B6" i="5"/>
  <c r="AB9" i="4"/>
  <c r="X9" i="4"/>
  <c r="AF9" i="4"/>
  <c r="Y21" i="4"/>
  <c r="AF63" i="4"/>
  <c r="AB63" i="4"/>
  <c r="X63" i="4"/>
  <c r="X38" i="4"/>
  <c r="AF38" i="4"/>
  <c r="AB38" i="4"/>
  <c r="X51" i="4"/>
  <c r="AF51" i="4"/>
  <c r="AB51" i="4"/>
  <c r="AB35" i="4"/>
  <c r="AF35" i="4"/>
  <c r="X35" i="4"/>
  <c r="E6" i="6"/>
  <c r="G6" i="6" s="1"/>
  <c r="Y13" i="4"/>
  <c r="E12" i="6"/>
  <c r="G12" i="6" s="1"/>
  <c r="Y19" i="4"/>
  <c r="E4" i="6"/>
  <c r="G4" i="6" s="1"/>
  <c r="Y11" i="4"/>
  <c r="E2" i="6"/>
  <c r="G2" i="6" s="1"/>
  <c r="Y9" i="4"/>
  <c r="AB33" i="4"/>
  <c r="X33" i="4"/>
  <c r="AF33" i="4"/>
  <c r="X48" i="4"/>
  <c r="AB48" i="4"/>
  <c r="AF48" i="4"/>
  <c r="I70" i="4"/>
  <c r="F70" i="4" s="1"/>
  <c r="CA70" i="1"/>
  <c r="AD70" i="4" s="1"/>
  <c r="E15" i="6"/>
  <c r="G15" i="6" s="1"/>
  <c r="Y22" i="4"/>
  <c r="AB73" i="4"/>
  <c r="AF73" i="4"/>
  <c r="X73" i="4"/>
  <c r="D19" i="6"/>
  <c r="AF26" i="4"/>
  <c r="AB26" i="4"/>
  <c r="X26" i="4"/>
  <c r="F21" i="4"/>
  <c r="D7" i="6"/>
  <c r="B11" i="5"/>
  <c r="D11" i="5" s="1"/>
  <c r="X14" i="4"/>
  <c r="AF14" i="4"/>
  <c r="AB14" i="4"/>
  <c r="T19" i="6"/>
  <c r="D10" i="6"/>
  <c r="B14" i="5"/>
  <c r="D14" i="5" s="1"/>
  <c r="AF17" i="4"/>
  <c r="AB17" i="4"/>
  <c r="BM22" i="1"/>
  <c r="L22" i="4" s="1"/>
  <c r="N22" i="4"/>
  <c r="AB60" i="4"/>
  <c r="AF60" i="4"/>
  <c r="X60" i="4"/>
  <c r="E13" i="6"/>
  <c r="G13" i="6" s="1"/>
  <c r="Y20" i="4"/>
  <c r="D13" i="6"/>
  <c r="B17" i="5"/>
  <c r="D17" i="5" s="1"/>
  <c r="AB20" i="4"/>
  <c r="X20" i="4"/>
  <c r="AF20" i="4"/>
  <c r="G26" i="4"/>
  <c r="AB43" i="4"/>
  <c r="X43" i="4"/>
  <c r="AF43" i="4"/>
  <c r="F25" i="4"/>
  <c r="F47" i="4"/>
  <c r="AF66" i="4"/>
  <c r="X66" i="4"/>
  <c r="AB66" i="4"/>
  <c r="AF75" i="4"/>
  <c r="AB75" i="4"/>
  <c r="X75" i="4"/>
  <c r="Y27" i="4"/>
  <c r="E20" i="6"/>
  <c r="G20" i="6" s="1"/>
  <c r="F67" i="4"/>
  <c r="F19" i="4"/>
  <c r="G24" i="4"/>
  <c r="X32" i="4"/>
  <c r="AF32" i="4"/>
  <c r="AB32" i="4"/>
  <c r="AB57" i="4"/>
  <c r="AF57" i="4"/>
  <c r="I69" i="4"/>
  <c r="F69" i="4" s="1"/>
  <c r="CA69" i="1"/>
  <c r="AD69" i="4" s="1"/>
  <c r="D9" i="6"/>
  <c r="B13" i="5"/>
  <c r="D13" i="5" s="1"/>
  <c r="X16" i="4"/>
  <c r="AB16" i="4"/>
  <c r="AF16" i="4"/>
  <c r="G12" i="4"/>
  <c r="X34" i="4"/>
  <c r="AF34" i="4"/>
  <c r="AB34" i="4"/>
  <c r="X61" i="4"/>
  <c r="AF61" i="4"/>
  <c r="AB61" i="4"/>
  <c r="AB74" i="4"/>
  <c r="AF74" i="4"/>
  <c r="X74" i="4"/>
  <c r="CA49" i="1"/>
  <c r="AD49" i="4" s="1"/>
  <c r="AF49" i="4" s="1"/>
  <c r="F37" i="4"/>
  <c r="AF40" i="4"/>
  <c r="X40" i="4"/>
  <c r="AB40" i="4"/>
  <c r="BM25" i="1"/>
  <c r="L25" i="4" s="1"/>
  <c r="N25" i="4"/>
  <c r="X59" i="4"/>
  <c r="AB59" i="4"/>
  <c r="AB62" i="4"/>
  <c r="X62" i="4"/>
  <c r="AF62" i="4"/>
  <c r="X17" i="4"/>
  <c r="X28" i="4"/>
  <c r="AF28" i="4"/>
  <c r="AB28" i="4"/>
  <c r="AF31" i="4"/>
  <c r="X31" i="4"/>
  <c r="AB31" i="4"/>
  <c r="BM23" i="1"/>
  <c r="L23" i="4" s="1"/>
  <c r="N23" i="4"/>
  <c r="AF42" i="4"/>
  <c r="X42" i="4"/>
  <c r="AB42" i="4"/>
  <c r="D16" i="6"/>
  <c r="AB23" i="4"/>
  <c r="X23" i="4"/>
  <c r="AF23" i="4"/>
  <c r="X54" i="4"/>
  <c r="AB54" i="4"/>
  <c r="AF54" i="4"/>
  <c r="AF52" i="4"/>
  <c r="AB52" i="4"/>
  <c r="X52" i="4"/>
  <c r="D4" i="6"/>
  <c r="B8" i="5"/>
  <c r="D8" i="5" s="1"/>
  <c r="AB11" i="4"/>
  <c r="AF11" i="4"/>
  <c r="X11" i="4"/>
  <c r="D6" i="6"/>
  <c r="B10" i="5"/>
  <c r="D10" i="5" s="1"/>
  <c r="AB13" i="4"/>
  <c r="AF13" i="4"/>
  <c r="X13" i="4"/>
  <c r="X68" i="4"/>
  <c r="AB68" i="4"/>
  <c r="AF68" i="4"/>
  <c r="D15" i="6"/>
  <c r="AB22" i="4"/>
  <c r="AF22" i="4"/>
  <c r="X22" i="4"/>
  <c r="F65" i="4"/>
  <c r="E18" i="6"/>
  <c r="G18" i="6" s="1"/>
  <c r="Y25" i="4"/>
  <c r="X72" i="4"/>
  <c r="AF72" i="4"/>
  <c r="AB72" i="4"/>
  <c r="D11" i="6"/>
  <c r="B15" i="5"/>
  <c r="D15" i="5" s="1"/>
  <c r="X18" i="4"/>
  <c r="AF18" i="4"/>
  <c r="AB18" i="4"/>
  <c r="X24" i="4"/>
  <c r="T15" i="6"/>
  <c r="AB44" i="4"/>
  <c r="X44" i="4"/>
  <c r="AF44" i="4"/>
  <c r="D3" i="6"/>
  <c r="B7" i="5"/>
  <c r="D7" i="5" s="1"/>
  <c r="AF10" i="4"/>
  <c r="AB10" i="4"/>
  <c r="X10" i="4"/>
  <c r="T16" i="6"/>
  <c r="E16" i="6"/>
  <c r="G16" i="6" s="1"/>
  <c r="Y23" i="4"/>
  <c r="AB46" i="4"/>
  <c r="X46" i="4"/>
  <c r="AF46" i="4"/>
  <c r="AB39" i="4"/>
  <c r="X39" i="4"/>
  <c r="AF39" i="4"/>
  <c r="T17" i="6"/>
  <c r="F55" i="4"/>
  <c r="AB56" i="4"/>
  <c r="AF56" i="4"/>
  <c r="X56" i="4"/>
  <c r="AB64" i="4"/>
  <c r="X64" i="4"/>
  <c r="AF64" i="4"/>
  <c r="G67" i="4"/>
  <c r="Y67" i="4" s="1"/>
  <c r="BM24" i="1"/>
  <c r="L24" i="4" s="1"/>
  <c r="N24" i="4"/>
  <c r="X12" i="4"/>
  <c r="AB12" i="4"/>
  <c r="E11" i="6"/>
  <c r="G11" i="6" s="1"/>
  <c r="Y18" i="4"/>
  <c r="X30" i="4"/>
  <c r="AB30" i="4"/>
  <c r="AF30" i="4"/>
  <c r="D20" i="6"/>
  <c r="X27" i="4"/>
  <c r="AF27" i="4"/>
  <c r="AB27" i="4"/>
  <c r="T18" i="6"/>
  <c r="X36" i="4"/>
  <c r="AF36" i="4"/>
  <c r="AB36" i="4"/>
  <c r="F15" i="4"/>
  <c r="AF41" i="4"/>
  <c r="AB41" i="4"/>
  <c r="X41" i="4"/>
  <c r="H23" i="5" l="1"/>
  <c r="D5" i="6"/>
  <c r="X5" i="6" s="1"/>
  <c r="E8" i="6"/>
  <c r="G8" i="6" s="1"/>
  <c r="AF24" i="4"/>
  <c r="AF12" i="4"/>
  <c r="D17" i="6"/>
  <c r="X49" i="4"/>
  <c r="X11" i="6"/>
  <c r="F11" i="6"/>
  <c r="H11" i="6" s="1"/>
  <c r="F13" i="5"/>
  <c r="G13" i="5"/>
  <c r="D14" i="6"/>
  <c r="AF21" i="4"/>
  <c r="AB21" i="4"/>
  <c r="X21" i="4"/>
  <c r="X19" i="6"/>
  <c r="F19" i="6"/>
  <c r="X55" i="4"/>
  <c r="AB55" i="4"/>
  <c r="AF55" i="4"/>
  <c r="F7" i="5"/>
  <c r="G7" i="5"/>
  <c r="G10" i="5"/>
  <c r="F10" i="5"/>
  <c r="F16" i="6"/>
  <c r="X16" i="6"/>
  <c r="AB37" i="4"/>
  <c r="AF37" i="4"/>
  <c r="X37" i="4"/>
  <c r="X9" i="6"/>
  <c r="F9" i="6"/>
  <c r="H9" i="6" s="1"/>
  <c r="G17" i="5"/>
  <c r="F17" i="5"/>
  <c r="F9" i="5"/>
  <c r="G9" i="5"/>
  <c r="X3" i="6"/>
  <c r="F3" i="6"/>
  <c r="H3" i="6" s="1"/>
  <c r="AB65" i="4"/>
  <c r="AF65" i="4"/>
  <c r="X65" i="4"/>
  <c r="X15" i="6"/>
  <c r="F15" i="6"/>
  <c r="F6" i="6"/>
  <c r="H6" i="6" s="1"/>
  <c r="X6" i="6"/>
  <c r="F8" i="5"/>
  <c r="G8" i="5"/>
  <c r="D12" i="6"/>
  <c r="B16" i="5"/>
  <c r="D16" i="5" s="1"/>
  <c r="X19" i="4"/>
  <c r="AF19" i="4"/>
  <c r="AB19" i="4"/>
  <c r="X13" i="6"/>
  <c r="F13" i="6"/>
  <c r="H13" i="6" s="1"/>
  <c r="F11" i="5"/>
  <c r="G11" i="5"/>
  <c r="D8" i="6"/>
  <c r="B12" i="5"/>
  <c r="D12" i="5" s="1"/>
  <c r="AB15" i="4"/>
  <c r="X15" i="4"/>
  <c r="AF15" i="4"/>
  <c r="E5" i="6"/>
  <c r="G5" i="6" s="1"/>
  <c r="Y12" i="4"/>
  <c r="AF47" i="4"/>
  <c r="X47" i="4"/>
  <c r="AB47" i="4"/>
  <c r="F10" i="6"/>
  <c r="H10" i="6" s="1"/>
  <c r="X10" i="6"/>
  <c r="X2" i="6"/>
  <c r="F2" i="6"/>
  <c r="H2" i="6" s="1"/>
  <c r="F20" i="6"/>
  <c r="X20" i="6"/>
  <c r="E17" i="6"/>
  <c r="G17" i="6" s="1"/>
  <c r="Y24" i="4"/>
  <c r="D18" i="6"/>
  <c r="AF25" i="4"/>
  <c r="X25" i="4"/>
  <c r="AB25" i="4"/>
  <c r="E19" i="6"/>
  <c r="G19" i="6" s="1"/>
  <c r="Y26" i="4"/>
  <c r="F5" i="6"/>
  <c r="H5" i="6" s="1"/>
  <c r="X17" i="6"/>
  <c r="F17" i="6"/>
  <c r="F15" i="5"/>
  <c r="G15" i="5"/>
  <c r="F4" i="6"/>
  <c r="H4" i="6" s="1"/>
  <c r="X4" i="6"/>
  <c r="X69" i="4"/>
  <c r="AB69" i="4"/>
  <c r="AF69" i="4"/>
  <c r="X67" i="4"/>
  <c r="AB67" i="4"/>
  <c r="AF67" i="4"/>
  <c r="F14" i="5"/>
  <c r="G14" i="5"/>
  <c r="X7" i="6"/>
  <c r="F7" i="6"/>
  <c r="H7" i="6" s="1"/>
  <c r="AB70" i="4"/>
  <c r="AF70" i="4"/>
  <c r="X70" i="4"/>
  <c r="D6" i="5"/>
  <c r="F58" i="5"/>
  <c r="F55" i="5"/>
  <c r="F54" i="5"/>
  <c r="F52" i="5"/>
  <c r="F59" i="5"/>
  <c r="F53" i="5"/>
  <c r="F56" i="5"/>
  <c r="F57" i="5"/>
  <c r="B19" i="5" l="1"/>
  <c r="B20" i="5" s="1"/>
  <c r="B21" i="5" s="1"/>
  <c r="F12" i="6"/>
  <c r="H12" i="6" s="1"/>
  <c r="X12" i="6"/>
  <c r="F12" i="5"/>
  <c r="G12" i="5"/>
  <c r="F18" i="6"/>
  <c r="X18" i="6"/>
  <c r="D26" i="5"/>
  <c r="I12" i="5" s="1"/>
  <c r="F6" i="5"/>
  <c r="D23" i="5"/>
  <c r="G6" i="5"/>
  <c r="F8" i="6"/>
  <c r="H8" i="6" s="1"/>
  <c r="X8" i="6"/>
  <c r="F16" i="5"/>
  <c r="G16" i="5"/>
  <c r="I16" i="5"/>
  <c r="F14" i="6"/>
  <c r="X14" i="6"/>
  <c r="I6" i="5" l="1"/>
  <c r="G23" i="5"/>
  <c r="Y2" i="6"/>
  <c r="Z2" i="6" s="1"/>
  <c r="J16" i="5"/>
  <c r="J6" i="5"/>
  <c r="F23" i="5"/>
  <c r="I8" i="5"/>
  <c r="J11" i="5"/>
  <c r="J14" i="5"/>
  <c r="I11" i="5"/>
  <c r="I15" i="5"/>
  <c r="I9" i="5"/>
  <c r="I17" i="5"/>
  <c r="J8" i="5"/>
  <c r="I13" i="5"/>
  <c r="I14" i="5"/>
  <c r="J15" i="5"/>
  <c r="J7" i="5"/>
  <c r="I7" i="5"/>
  <c r="J17" i="5"/>
  <c r="J10" i="5"/>
  <c r="I10" i="5"/>
  <c r="J9" i="5"/>
  <c r="J13" i="5"/>
  <c r="J12" i="5"/>
  <c r="I23" i="5" l="1"/>
  <c r="J23" i="5"/>
  <c r="C29" i="5" l="1"/>
  <c r="C34" i="5"/>
  <c r="C37" i="5" l="1"/>
  <c r="C39" i="5" s="1"/>
  <c r="J37" i="5"/>
  <c r="C31" i="5"/>
  <c r="I58" i="5" l="1"/>
  <c r="I56" i="5"/>
  <c r="I59" i="5"/>
  <c r="I53" i="5"/>
  <c r="I54" i="5"/>
  <c r="I52" i="5"/>
  <c r="I57" i="5"/>
  <c r="I55" i="5"/>
  <c r="K28" i="5"/>
  <c r="C42" i="5"/>
  <c r="F35" i="5"/>
  <c r="F38" i="5" s="1"/>
  <c r="G57" i="5"/>
  <c r="H57" i="5" s="1"/>
  <c r="G56" i="5"/>
  <c r="H56" i="5" s="1"/>
  <c r="G53" i="5"/>
  <c r="H53" i="5" s="1"/>
  <c r="G58" i="5"/>
  <c r="H58" i="5" s="1"/>
  <c r="G54" i="5"/>
  <c r="H54" i="5" s="1"/>
  <c r="G55" i="5"/>
  <c r="H55" i="5" s="1"/>
  <c r="G59" i="5"/>
  <c r="H59" i="5" s="1"/>
  <c r="C45" i="5"/>
  <c r="C48" i="5" s="1"/>
  <c r="C50" i="5" s="1"/>
  <c r="G52" i="5"/>
  <c r="H52" i="5" s="1"/>
  <c r="H37" i="5" l="1"/>
  <c r="H38" i="5"/>
  <c r="M59" i="5"/>
  <c r="L59" i="5"/>
  <c r="F29" i="5"/>
  <c r="K39" i="5"/>
  <c r="F32" i="5"/>
  <c r="L52" i="5"/>
  <c r="M52" i="5"/>
  <c r="L56" i="5"/>
  <c r="M56" i="5"/>
  <c r="M54" i="5"/>
  <c r="L54" i="5"/>
  <c r="L58" i="5"/>
  <c r="M58" i="5"/>
  <c r="M57" i="5"/>
  <c r="L57" i="5"/>
  <c r="M55" i="5"/>
  <c r="L55" i="5"/>
  <c r="M53" i="5"/>
  <c r="L53" i="5"/>
  <c r="C49" i="5"/>
  <c r="H32" i="5" l="1"/>
  <c r="H31" i="5"/>
  <c r="K37" i="5" s="1"/>
  <c r="J53" i="5" l="1"/>
  <c r="J52" i="5"/>
  <c r="J56" i="5"/>
  <c r="J59" i="5"/>
  <c r="J58" i="5"/>
  <c r="J57" i="5"/>
  <c r="J54" i="5"/>
  <c r="L37" i="5"/>
  <c r="K55" i="5"/>
  <c r="K54" i="5"/>
  <c r="K56" i="5"/>
  <c r="K58" i="5"/>
  <c r="K59" i="5"/>
  <c r="K57" i="5"/>
  <c r="K52" i="5"/>
  <c r="K53" i="5"/>
  <c r="J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Cassady Thomas</author>
  </authors>
  <commentList>
    <comment ref="A75" authorId="0" shapeId="0" xr:uid="{00000000-0006-0000-0000-000001000000}">
      <text>
        <r>
          <rPr>
            <b/>
            <sz val="9"/>
            <color indexed="81"/>
            <rFont val="Geneva"/>
            <family val="2"/>
          </rPr>
          <t>Cassady Thomas:</t>
        </r>
        <r>
          <rPr>
            <sz val="9"/>
            <color indexed="81"/>
            <rFont val="Geneva"/>
            <family val="2"/>
          </rPr>
          <t xml:space="preserve">
Unnecessarily run again on 8/5/13. Not recorded here, but report is in notebook under US22B_14B.</t>
        </r>
      </text>
    </comment>
  </commentList>
</comments>
</file>

<file path=xl/sharedStrings.xml><?xml version="1.0" encoding="utf-8"?>
<sst xmlns="http://schemas.openxmlformats.org/spreadsheetml/2006/main" count="485" uniqueCount="298">
  <si>
    <t xml:space="preserve">  </t>
  </si>
  <si>
    <t>supported Pb-210 (dpm/g)</t>
  </si>
  <si>
    <t>Pb-210 dpm at time of collection</t>
  </si>
  <si>
    <t>dry density (g/cc)</t>
  </si>
  <si>
    <t>ht 2 (mm)</t>
  </si>
  <si>
    <t>ht 1 (mm)</t>
  </si>
  <si>
    <t>ht 3 (mm)</t>
  </si>
  <si>
    <t>ht 4 (mm)</t>
  </si>
  <si>
    <t>height stan.dev.</t>
  </si>
  <si>
    <t>sample weight (g)</t>
  </si>
  <si>
    <t>mean height (mm)</t>
  </si>
  <si>
    <t xml:space="preserve">count date </t>
  </si>
  <si>
    <t>Pb-210</t>
  </si>
  <si>
    <t>46.5 KeV</t>
  </si>
  <si>
    <t>Th-234</t>
  </si>
  <si>
    <t>63.3 KeV</t>
  </si>
  <si>
    <t>352 KeV</t>
  </si>
  <si>
    <t xml:space="preserve">Sig of </t>
  </si>
  <si>
    <t>Slope</t>
  </si>
  <si>
    <t>depth on center (cm)</t>
  </si>
  <si>
    <t>Pb-210 cpm</t>
  </si>
  <si>
    <t>sigma cpm</t>
  </si>
  <si>
    <t>Upper S</t>
  </si>
  <si>
    <t>Th-234 cpm</t>
  </si>
  <si>
    <t>Pb-214 cpm</t>
  </si>
  <si>
    <t>Be-7 cpm</t>
  </si>
  <si>
    <t>Cs-137 dpm at time of collection</t>
  </si>
  <si>
    <t>Be-7 dpm at time of collection</t>
  </si>
  <si>
    <t>very short</t>
  </si>
  <si>
    <t>RV</t>
  </si>
  <si>
    <t>46.5 KeV  Pb-210 counts</t>
  </si>
  <si>
    <t>63.3 keV  Th-234  counts</t>
  </si>
  <si>
    <t>352 keV Pb-214  counts</t>
  </si>
  <si>
    <t>Conf lim</t>
  </si>
  <si>
    <t>L2</t>
  </si>
  <si>
    <t>explained</t>
  </si>
  <si>
    <t>Cs-137 dpm/g</t>
  </si>
  <si>
    <t>for Slope</t>
  </si>
  <si>
    <t>Previous core name: GR2</t>
    <phoneticPr fontId="0"/>
  </si>
  <si>
    <t>Spreadsheet provides an estimate for linear sed rates (cm/yr), as well as statisitics and fit (yhat)</t>
  </si>
  <si>
    <t>r^2</t>
  </si>
  <si>
    <t>empty jar (g)</t>
  </si>
  <si>
    <t>jar + sed (g)</t>
  </si>
  <si>
    <t>Cruise core name</t>
  </si>
  <si>
    <t>estimated porosity</t>
  </si>
  <si>
    <t>count time (seconds)</t>
  </si>
  <si>
    <t>error</t>
  </si>
  <si>
    <t>detector</t>
  </si>
  <si>
    <t>Th-234xs at time of collection</t>
  </si>
  <si>
    <t>(cm/yr)</t>
  </si>
  <si>
    <t>data fit</t>
  </si>
  <si>
    <t xml:space="preserve"> </t>
  </si>
  <si>
    <t>Indep V</t>
  </si>
  <si>
    <t>Dep V</t>
  </si>
  <si>
    <t>n</t>
  </si>
  <si>
    <t>mean Be-7 (dpm/cc)</t>
  </si>
  <si>
    <t>Ks0</t>
  </si>
  <si>
    <t>dry sed+bag (g)</t>
  </si>
  <si>
    <t>477.6 keV  Be-7   counts</t>
  </si>
  <si>
    <t>661.6 KeV  Cs-137  counts</t>
  </si>
  <si>
    <t xml:space="preserve">Total  Pb-210 dpm/g </t>
  </si>
  <si>
    <t>Y intercept</t>
  </si>
  <si>
    <t>L1</t>
  </si>
  <si>
    <t>Ke0</t>
  </si>
  <si>
    <t>Ke1</t>
  </si>
  <si>
    <t>Stand Error</t>
  </si>
  <si>
    <t>Regress Coeff</t>
  </si>
  <si>
    <t>SE</t>
  </si>
  <si>
    <t>Lower</t>
  </si>
  <si>
    <t>Upper</t>
  </si>
  <si>
    <t>Xi</t>
  </si>
  <si>
    <t>Y-hat</t>
  </si>
  <si>
    <t>Cl</t>
  </si>
  <si>
    <t>Low Y-hat</t>
  </si>
  <si>
    <t>High Y-hat</t>
  </si>
  <si>
    <t>CL</t>
  </si>
  <si>
    <t>core date</t>
  </si>
  <si>
    <t>enter 1 or 2</t>
  </si>
  <si>
    <t>det 1</t>
  </si>
  <si>
    <t>det 2</t>
  </si>
  <si>
    <t>ln(xsPb-210)</t>
  </si>
  <si>
    <t>Pb-210 XS</t>
  </si>
  <si>
    <t>X</t>
  </si>
  <si>
    <t>Y</t>
  </si>
  <si>
    <t>X^2</t>
  </si>
  <si>
    <t>Y^2</t>
  </si>
  <si>
    <t>X*Y</t>
  </si>
  <si>
    <t>X resid</t>
  </si>
  <si>
    <t>Y resid</t>
  </si>
  <si>
    <t>Xres*Yres</t>
  </si>
  <si>
    <t>depth (cm)</t>
  </si>
  <si>
    <t>wet sed +bag (g)</t>
  </si>
  <si>
    <t>Physical property data &amp; time information</t>
  </si>
  <si>
    <t>Raw count data from report files</t>
  </si>
  <si>
    <t>v</t>
  </si>
  <si>
    <t>t</t>
  </si>
  <si>
    <t>Sums</t>
  </si>
  <si>
    <t>SX</t>
  </si>
  <si>
    <t>SY</t>
  </si>
  <si>
    <t>SX^2</t>
  </si>
  <si>
    <t>SY^2</t>
  </si>
  <si>
    <t>SX*Y</t>
  </si>
  <si>
    <t>Sx^2</t>
  </si>
  <si>
    <t>Sy^2</t>
  </si>
  <si>
    <t>Sx*y</t>
  </si>
  <si>
    <t>alpha: .05</t>
  </si>
  <si>
    <t>Means</t>
  </si>
  <si>
    <t>Mean X</t>
  </si>
  <si>
    <t>Mean Y</t>
  </si>
  <si>
    <t>95 % Conf Limits</t>
  </si>
  <si>
    <t>sum squares</t>
  </si>
  <si>
    <t>SE for Y</t>
  </si>
  <si>
    <t>App S</t>
  </si>
  <si>
    <t>Lower S</t>
  </si>
  <si>
    <t xml:space="preserve">unexplained </t>
  </si>
  <si>
    <t>Conf Lim</t>
  </si>
  <si>
    <t>S^2y.x</t>
  </si>
  <si>
    <t>mean Y</t>
  </si>
  <si>
    <t>Std Err S</t>
  </si>
  <si>
    <t>Cs-137 cpm</t>
  </si>
  <si>
    <t>SA corr</t>
  </si>
  <si>
    <t>effiency</t>
  </si>
  <si>
    <t>intensity</t>
  </si>
  <si>
    <t>blank</t>
  </si>
  <si>
    <t>sigma blank</t>
  </si>
  <si>
    <t>Be-7 dpm</t>
  </si>
  <si>
    <t>Th-234 dpm</t>
  </si>
  <si>
    <t>Pb-214 dpm</t>
  </si>
  <si>
    <t>Ks1</t>
  </si>
  <si>
    <t>Y-intercept</t>
  </si>
  <si>
    <t>GR2</t>
    <phoneticPr fontId="0"/>
  </si>
  <si>
    <t>95 % CL for</t>
  </si>
  <si>
    <t>excess Th-234 (dpm/g)</t>
  </si>
  <si>
    <t>Be-7 (dpm/g) at time of collection</t>
  </si>
  <si>
    <t>Cs-137 (dpm/g) at time of collection</t>
  </si>
  <si>
    <t xml:space="preserve">core name </t>
  </si>
  <si>
    <t>Th support</t>
  </si>
  <si>
    <t>depth on center</t>
  </si>
  <si>
    <t>excess Pb-210 (dpm/g)</t>
  </si>
  <si>
    <t>error (dpm/g)</t>
  </si>
  <si>
    <t>Margin</t>
  </si>
  <si>
    <t>decay corrected sigma dpm</t>
  </si>
  <si>
    <t>mass</t>
  </si>
  <si>
    <t>per cm^2</t>
  </si>
  <si>
    <t>inventory</t>
  </si>
  <si>
    <t>mass in interval (g/cc)</t>
  </si>
  <si>
    <t>error (g/cc)</t>
  </si>
  <si>
    <t>mean xs Pb-210 (dpm/cc)</t>
  </si>
  <si>
    <t>error (dpm/cc)</t>
  </si>
  <si>
    <t>Pb-214</t>
  </si>
  <si>
    <t>477.6 KeV</t>
  </si>
  <si>
    <t>Be-7</t>
  </si>
  <si>
    <t>661.6 KeV</t>
  </si>
  <si>
    <t>Cs-137</t>
  </si>
  <si>
    <t>depth interval (cm)</t>
  </si>
  <si>
    <t>decay time (days)</t>
  </si>
  <si>
    <t xml:space="preserve">Pb-210 dpm at time of collection </t>
  </si>
  <si>
    <t>decay constant</t>
  </si>
  <si>
    <t>sigma dpm</t>
  </si>
  <si>
    <t>0-2</t>
    <phoneticPr fontId="0"/>
  </si>
  <si>
    <t>2-4</t>
    <phoneticPr fontId="0"/>
  </si>
  <si>
    <t>4-6</t>
    <phoneticPr fontId="0"/>
  </si>
  <si>
    <t>6-8</t>
    <phoneticPr fontId="0"/>
  </si>
  <si>
    <t>8-10</t>
    <phoneticPr fontId="0"/>
  </si>
  <si>
    <t>10-12</t>
    <phoneticPr fontId="0"/>
  </si>
  <si>
    <t>12-14</t>
    <phoneticPr fontId="0"/>
  </si>
  <si>
    <t>14-16</t>
    <phoneticPr fontId="0"/>
  </si>
  <si>
    <t>16-18</t>
    <phoneticPr fontId="0"/>
  </si>
  <si>
    <t>18-20</t>
  </si>
  <si>
    <t>20-22</t>
  </si>
  <si>
    <t>22-24</t>
  </si>
  <si>
    <t>AL01</t>
  </si>
  <si>
    <t>24-26</t>
  </si>
  <si>
    <t>26-28</t>
  </si>
  <si>
    <t>28-30</t>
  </si>
  <si>
    <t>30-32</t>
  </si>
  <si>
    <t>32-34</t>
  </si>
  <si>
    <t>34-36</t>
  </si>
  <si>
    <t>36-38</t>
  </si>
  <si>
    <t>38-40</t>
  </si>
  <si>
    <t>40-42</t>
  </si>
  <si>
    <t>42-44</t>
  </si>
  <si>
    <t>44-46</t>
  </si>
  <si>
    <t>46-48</t>
  </si>
  <si>
    <t>48-50</t>
  </si>
  <si>
    <t>50-52</t>
  </si>
  <si>
    <t>52-54</t>
  </si>
  <si>
    <t>54-56</t>
  </si>
  <si>
    <t>56-58</t>
  </si>
  <si>
    <t>58-60</t>
  </si>
  <si>
    <t>60-62</t>
  </si>
  <si>
    <t>62-64</t>
  </si>
  <si>
    <t>64-66</t>
  </si>
  <si>
    <t>66-68</t>
  </si>
  <si>
    <t>68-70</t>
  </si>
  <si>
    <t>70-72</t>
  </si>
  <si>
    <t>72-74</t>
  </si>
  <si>
    <t>74-76</t>
  </si>
  <si>
    <t>76-78</t>
  </si>
  <si>
    <t>78-80</t>
  </si>
  <si>
    <t>80-81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</si>
  <si>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</si>
  <si>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</si>
  <si>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</si>
  <si>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</si>
  <si>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</si>
  <si>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</si>
  <si>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</si>
  <si>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</si>
  <si>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</si>
  <si>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</si>
  <si>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</si>
  <si>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excess Pb-210 (Bq/kg)</t>
  </si>
  <si>
    <t>error (Bq/kg)</t>
  </si>
  <si>
    <t>DL Depth</t>
  </si>
  <si>
    <t>DL (3 Bq/kg)</t>
  </si>
  <si>
    <t>Cs-137 (Bq/kg) at time of collection</t>
  </si>
  <si>
    <t>sigma Bq/kg</t>
  </si>
  <si>
    <t>Cs-137 (Bq/kg)</t>
  </si>
  <si>
    <t>Error (Bq/kg)</t>
  </si>
  <si>
    <t>SAR (cm/yr)</t>
  </si>
  <si>
    <t xml:space="preserve">Total Profile </t>
  </si>
  <si>
    <t>Max Peak</t>
  </si>
  <si>
    <t>Density (g cm-3)</t>
  </si>
  <si>
    <t>210Pb Inventory (dpm cm-2)</t>
  </si>
  <si>
    <t>Total Inventory</t>
  </si>
  <si>
    <t>210Pb Flux (dpm cm-2 y-1)</t>
  </si>
  <si>
    <t>137Cs Inventory (dpm cm-2)</t>
  </si>
  <si>
    <t>137Pb Flux (dpm cm-2 y-1)</t>
  </si>
  <si>
    <t>Depth (cm)</t>
  </si>
  <si>
    <t>Density (g/cm^3)</t>
  </si>
  <si>
    <t>Corg (%)</t>
  </si>
  <si>
    <t>210PbxS (dpm/g)</t>
  </si>
  <si>
    <t>210PbxS Error (dpm/g)</t>
  </si>
  <si>
    <t>210PbxS (dpm/cm^3)</t>
  </si>
  <si>
    <t>210PbxS Error (dpm/cm^3)</t>
  </si>
  <si>
    <t>Inventory of 210PbxS below x (dpm/cm^2)</t>
  </si>
  <si>
    <t>Inventory of 210PbxS below x ERROR (dpm/cm^2)</t>
  </si>
  <si>
    <t>Total Inventory of 210PbxS (dpm/cm^2)</t>
  </si>
  <si>
    <t>Total Inventory of 210PbxS ERROR (dpm/cm^2)</t>
  </si>
  <si>
    <t>decay constant (yr-1)</t>
  </si>
  <si>
    <t>t (yr)</t>
  </si>
  <si>
    <t>t ERROR (y)</t>
  </si>
  <si>
    <t>year</t>
  </si>
  <si>
    <t>Median Year</t>
  </si>
  <si>
    <t>accretion rate (cm/yr)</t>
  </si>
  <si>
    <t>mediam accretion rate</t>
  </si>
  <si>
    <t>accretion rate ERROR (cm/yr)</t>
  </si>
  <si>
    <t>Average Interval Accretion rate (cm/yr)</t>
  </si>
  <si>
    <t>STDEV (cm/yr)</t>
  </si>
  <si>
    <t>Average Interval Accretion rate (mm/yr)</t>
  </si>
  <si>
    <t>STDEV (mm/yr)</t>
  </si>
  <si>
    <t>MAR (kg/m2/yr)</t>
  </si>
  <si>
    <t>Medan MAR</t>
  </si>
  <si>
    <t>Average MAR (kg/m2/yr)</t>
  </si>
  <si>
    <t>STDEV (kg/m2/yr)</t>
  </si>
  <si>
    <t>CAR (g/m2/yr)</t>
  </si>
  <si>
    <t>median CAR</t>
  </si>
  <si>
    <t>Average CAR (g C/m2/yr)</t>
  </si>
  <si>
    <t>STDEV (gC/m2/yr)</t>
  </si>
  <si>
    <t>MDR (g/m2/yr)</t>
  </si>
  <si>
    <t>median MDR</t>
  </si>
  <si>
    <t>Average MDR (g/m2/yr)</t>
  </si>
  <si>
    <t>STDEV (g/m2/yr)</t>
  </si>
  <si>
    <t>CRS model corrections using integration to &gt;200 yr to deterine more accurate 210Pb inventory and the eq 9: MAR = i/delta t * DBD as proposed by Gonneea &amp; Kroeger. The depth of 200 yr was determined using the first method proposed by Gonneea &amp; Kroeger: Cx = Co e^(-lamda t); C200 = (16.79 dpm/g)e^-(0.03114*200); C200 = 0.0331 dpm/g.  Errors are calculated based on Binford, 1990 eq 13</t>
  </si>
  <si>
    <t>ln Pb-210</t>
  </si>
  <si>
    <t>denisty*2</t>
  </si>
  <si>
    <t>Cumulative Mass (g cm-2)</t>
  </si>
  <si>
    <t>C denisty *2</t>
  </si>
  <si>
    <t>Cumulative Corg Mass (g cm-2)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</si>
  <si>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</si>
  <si>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</si>
  <si>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</si>
  <si>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</si>
  <si>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</si>
  <si>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</si>
  <si>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</si>
  <si>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</si>
  <si>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</si>
  <si>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</si>
  <si>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</si>
  <si>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</si>
  <si>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</si>
  <si>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</si>
  <si>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</si>
  <si>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</si>
  <si>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</si>
  <si>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</si>
  <si>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</si>
  <si>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</si>
  <si>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</si>
  <si>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</si>
  <si>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</si>
  <si>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</si>
  <si>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</si>
  <si>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SAR (mm/y)=</t>
  </si>
  <si>
    <t>MAR (kg/m2y)=</t>
  </si>
  <si>
    <t>CAR (gC /m2y)=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</si>
</sst>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0.00000"/>
    <numFmt numFmtId="168" formatCode="_(* #,##0_);_(* \(#,##0\);_(* &quot;-&quot;??_);_(@_)"/>
  </numFmts>
  <fonts count="14">
    <font>
      <sz val="10"/>
      <name val="Geneva"/>
    </font>
    <font>
      <b/>
      <sz val="10"/>
      <name val="Geneva"/>
      <family val="2"/>
    </font>
    <font>
      <i/>
      <sz val="10"/>
      <name val="Geneva"/>
      <family val="2"/>
    </font>
    <font>
      <sz val="10"/>
      <name val="Geneva"/>
      <family val="2"/>
    </font>
    <font>
      <sz val="10"/>
      <name val="MS Sans Serif"/>
    </font>
    <font>
      <sz val="10"/>
      <name val="Arial"/>
      <family val="2"/>
    </font>
    <font>
      <b/>
      <sz val="9"/>
      <name val="Geneva"/>
      <family val="2"/>
    </font>
    <font>
      <sz val="10"/>
      <name val="Arial"/>
      <family val="2"/>
    </font>
    <font>
      <b/>
      <sz val="14"/>
      <name val="Geneva"/>
      <family val="2"/>
    </font>
    <font>
      <sz val="10"/>
      <name val="Verdana"/>
      <family val="2"/>
    </font>
    <font>
      <sz val="10"/>
      <name val="Geneva"/>
      <family val="2"/>
    </font>
    <font>
      <sz val="9"/>
      <color indexed="81"/>
      <name val="Geneva"/>
      <family val="2"/>
    </font>
    <font>
      <b/>
      <sz val="9"/>
      <color indexed="81"/>
      <name val="Geneva"/>
      <family val="2"/>
    </font>
    <font>
      <sz val="10"/>
      <color theme="1"/>
      <name val="Genev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20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166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9" fontId="0" fillId="0" borderId="0" xfId="0" applyNumberFormat="1" applyAlignment="1">
      <alignment horizontal="left"/>
    </xf>
    <xf numFmtId="0" fontId="6" fillId="0" borderId="0" xfId="0" applyFont="1"/>
    <xf numFmtId="1" fontId="1" fillId="0" borderId="0" xfId="0" applyNumberFormat="1" applyFont="1"/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2" fontId="3" fillId="0" borderId="0" xfId="0" applyNumberFormat="1" applyFont="1" applyBorder="1"/>
    <xf numFmtId="2" fontId="3" fillId="0" borderId="6" xfId="0" applyNumberFormat="1" applyFont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6" fillId="0" borderId="8" xfId="0" applyFont="1" applyBorder="1"/>
    <xf numFmtId="0" fontId="0" fillId="0" borderId="10" xfId="0" applyBorder="1"/>
    <xf numFmtId="166" fontId="0" fillId="0" borderId="11" xfId="0" applyNumberFormat="1" applyBorder="1"/>
    <xf numFmtId="9" fontId="0" fillId="0" borderId="0" xfId="0" applyNumberFormat="1"/>
    <xf numFmtId="166" fontId="0" fillId="0" borderId="12" xfId="0" applyNumberFormat="1" applyBorder="1"/>
    <xf numFmtId="0" fontId="0" fillId="0" borderId="13" xfId="0" applyBorder="1"/>
    <xf numFmtId="166" fontId="0" fillId="0" borderId="14" xfId="0" applyNumberFormat="1" applyBorder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0" fillId="0" borderId="0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6" xfId="0" applyBorder="1" applyAlignment="1"/>
    <xf numFmtId="0" fontId="0" fillId="0" borderId="17" xfId="0" applyBorder="1" applyAlignment="1"/>
    <xf numFmtId="9" fontId="0" fillId="0" borderId="17" xfId="0" applyNumberFormat="1" applyBorder="1" applyAlignment="1">
      <alignment horizontal="left"/>
    </xf>
    <xf numFmtId="0" fontId="0" fillId="0" borderId="17" xfId="0" applyBorder="1"/>
    <xf numFmtId="0" fontId="0" fillId="0" borderId="18" xfId="0" applyBorder="1" applyAlignment="1"/>
    <xf numFmtId="0" fontId="0" fillId="0" borderId="2" xfId="0" applyBorder="1" applyAlignment="1">
      <alignment horizontal="right"/>
    </xf>
    <xf numFmtId="0" fontId="0" fillId="0" borderId="0" xfId="0" applyBorder="1" applyAlignment="1"/>
    <xf numFmtId="0" fontId="0" fillId="3" borderId="0" xfId="0" applyFill="1" applyBorder="1" applyAlignment="1"/>
    <xf numFmtId="0" fontId="0" fillId="0" borderId="19" xfId="0" applyBorder="1" applyAlignment="1"/>
    <xf numFmtId="0" fontId="0" fillId="0" borderId="2" xfId="0" applyBorder="1"/>
    <xf numFmtId="0" fontId="0" fillId="0" borderId="19" xfId="0" applyBorder="1"/>
    <xf numFmtId="166" fontId="0" fillId="0" borderId="0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0" fontId="0" fillId="0" borderId="0" xfId="0" applyBorder="1" applyAlignment="1">
      <alignment horizontal="center"/>
    </xf>
    <xf numFmtId="0" fontId="0" fillId="0" borderId="22" xfId="0" applyBorder="1"/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2" fontId="1" fillId="6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2" fontId="1" fillId="3" borderId="0" xfId="0" applyNumberFormat="1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164" fontId="9" fillId="4" borderId="23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5" fillId="0" borderId="0" xfId="2" applyNumberFormat="1" applyFont="1"/>
    <xf numFmtId="1" fontId="3" fillId="0" borderId="0" xfId="0" applyNumberFormat="1" applyFont="1" applyAlignment="1">
      <alignment horizontal="center"/>
    </xf>
    <xf numFmtId="166" fontId="1" fillId="3" borderId="0" xfId="0" applyNumberFormat="1" applyFont="1" applyFill="1"/>
    <xf numFmtId="2" fontId="9" fillId="4" borderId="0" xfId="0" applyNumberFormat="1" applyFont="1" applyFill="1" applyBorder="1" applyAlignment="1">
      <alignment horizontal="center"/>
    </xf>
    <xf numFmtId="166" fontId="1" fillId="3" borderId="7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2" fontId="10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14" fontId="10" fillId="0" borderId="0" xfId="0" applyNumberFormat="1" applyFont="1" applyAlignment="1">
      <alignment horizontal="center" wrapText="1"/>
    </xf>
    <xf numFmtId="2" fontId="10" fillId="0" borderId="0" xfId="0" applyNumberFormat="1" applyFont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2" fontId="10" fillId="0" borderId="2" xfId="0" applyNumberFormat="1" applyFont="1" applyBorder="1" applyAlignment="1">
      <alignment horizontal="center"/>
    </xf>
    <xf numFmtId="166" fontId="10" fillId="0" borderId="0" xfId="0" applyNumberFormat="1" applyFont="1" applyAlignment="1">
      <alignment horizontal="center" wrapText="1"/>
    </xf>
    <xf numFmtId="165" fontId="10" fillId="0" borderId="2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justify"/>
    </xf>
    <xf numFmtId="0" fontId="10" fillId="0" borderId="0" xfId="0" applyFont="1" applyAlignment="1">
      <alignment horizontal="justify"/>
    </xf>
    <xf numFmtId="0" fontId="10" fillId="0" borderId="0" xfId="0" applyFont="1" applyFill="1" applyAlignment="1">
      <alignment horizontal="center" wrapText="1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8" fontId="3" fillId="0" borderId="0" xfId="1" applyNumberFormat="1" applyFont="1" applyAlignment="1">
      <alignment horizontal="center"/>
    </xf>
    <xf numFmtId="2" fontId="7" fillId="0" borderId="0" xfId="2" applyNumberFormat="1" applyFont="1" applyAlignment="1">
      <alignment horizontal="right"/>
    </xf>
    <xf numFmtId="0" fontId="10" fillId="0" borderId="0" xfId="0" quotePrefix="1" applyFont="1" applyFill="1" applyAlignment="1">
      <alignment horizontal="center" wrapText="1"/>
    </xf>
    <xf numFmtId="49" fontId="3" fillId="0" borderId="0" xfId="0" quotePrefix="1" applyNumberFormat="1" applyFont="1" applyFill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0" xfId="0" quotePrefix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49" fontId="10" fillId="0" borderId="0" xfId="0" applyNumberFormat="1" applyFont="1" applyFill="1" applyAlignment="1">
      <alignment horizontal="center" wrapText="1"/>
    </xf>
    <xf numFmtId="49" fontId="10" fillId="0" borderId="0" xfId="0" quotePrefix="1" applyNumberFormat="1" applyFont="1" applyFill="1" applyAlignment="1">
      <alignment horizontal="center" wrapText="1"/>
    </xf>
    <xf numFmtId="49" fontId="3" fillId="0" borderId="0" xfId="0" applyNumberFormat="1" applyFont="1" applyFill="1" applyAlignment="1">
      <alignment horizontal="center" wrapText="1"/>
    </xf>
    <xf numFmtId="49" fontId="3" fillId="0" borderId="0" xfId="0" quotePrefix="1" applyNumberFormat="1" applyFont="1" applyFill="1" applyAlignment="1">
      <alignment horizontal="center" wrapText="1"/>
    </xf>
    <xf numFmtId="0" fontId="0" fillId="11" borderId="13" xfId="0" applyFill="1" applyBorder="1" applyAlignment="1">
      <alignment wrapText="1"/>
    </xf>
    <xf numFmtId="0" fontId="0" fillId="11" borderId="13" xfId="0" applyFill="1" applyBorder="1" applyAlignment="1">
      <alignment horizontal="center" wrapText="1"/>
    </xf>
    <xf numFmtId="0" fontId="0" fillId="11" borderId="13" xfId="0" applyFill="1" applyBorder="1"/>
    <xf numFmtId="0" fontId="0" fillId="12" borderId="13" xfId="0" applyFill="1" applyBorder="1"/>
    <xf numFmtId="2" fontId="0" fillId="13" borderId="0" xfId="0" applyNumberFormat="1" applyFill="1"/>
    <xf numFmtId="0" fontId="0" fillId="14" borderId="0" xfId="0" applyFill="1"/>
    <xf numFmtId="2" fontId="0" fillId="14" borderId="0" xfId="0" applyNumberFormat="1" applyFill="1"/>
    <xf numFmtId="0" fontId="0" fillId="11" borderId="0" xfId="0" applyFill="1"/>
    <xf numFmtId="0" fontId="0" fillId="0" borderId="0" xfId="0" applyFill="1" applyBorder="1" applyAlignment="1">
      <alignment wrapText="1"/>
    </xf>
    <xf numFmtId="0" fontId="0" fillId="15" borderId="0" xfId="0" applyFill="1"/>
    <xf numFmtId="2" fontId="0" fillId="15" borderId="0" xfId="0" applyNumberFormat="1" applyFill="1"/>
    <xf numFmtId="164" fontId="0" fillId="15" borderId="0" xfId="0" applyNumberFormat="1" applyFill="1"/>
    <xf numFmtId="1" fontId="0" fillId="15" borderId="0" xfId="0" applyNumberFormat="1" applyFill="1"/>
    <xf numFmtId="166" fontId="0" fillId="0" borderId="0" xfId="0" applyNumberFormat="1" applyFill="1"/>
    <xf numFmtId="2" fontId="0" fillId="16" borderId="0" xfId="0" applyNumberFormat="1" applyFill="1"/>
    <xf numFmtId="1" fontId="0" fillId="0" borderId="0" xfId="0" applyNumberFormat="1"/>
    <xf numFmtId="1" fontId="0" fillId="16" borderId="0" xfId="0" applyNumberFormat="1" applyFill="1"/>
    <xf numFmtId="164" fontId="0" fillId="14" borderId="0" xfId="0" applyNumberFormat="1" applyFill="1"/>
    <xf numFmtId="1" fontId="0" fillId="14" borderId="0" xfId="0" applyNumberFormat="1" applyFill="1"/>
    <xf numFmtId="0" fontId="13" fillId="14" borderId="0" xfId="0" applyFont="1" applyFill="1"/>
    <xf numFmtId="2" fontId="13" fillId="14" borderId="0" xfId="0" applyNumberFormat="1" applyFont="1" applyFill="1"/>
    <xf numFmtId="164" fontId="13" fillId="14" borderId="0" xfId="0" applyNumberFormat="1" applyFont="1" applyFill="1"/>
    <xf numFmtId="166" fontId="1" fillId="0" borderId="9" xfId="0" applyNumberFormat="1" applyFont="1" applyBorder="1"/>
    <xf numFmtId="0" fontId="0" fillId="11" borderId="14" xfId="0" applyFill="1" applyBorder="1" applyAlignment="1">
      <alignment wrapText="1"/>
    </xf>
    <xf numFmtId="2" fontId="0" fillId="17" borderId="0" xfId="0" applyNumberFormat="1" applyFill="1"/>
    <xf numFmtId="164" fontId="0" fillId="17" borderId="0" xfId="0" applyNumberFormat="1" applyFill="1"/>
    <xf numFmtId="166" fontId="0" fillId="17" borderId="0" xfId="0" applyNumberFormat="1" applyFill="1"/>
    <xf numFmtId="0" fontId="0" fillId="0" borderId="0" xfId="0" applyFill="1" applyBorder="1" applyAlignment="1"/>
    <xf numFmtId="0" fontId="0" fillId="0" borderId="22" xfId="0" applyFill="1" applyBorder="1" applyAlignment="1"/>
    <xf numFmtId="0" fontId="2" fillId="0" borderId="2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Continuous"/>
    </xf>
    <xf numFmtId="0" fontId="0" fillId="11" borderId="22" xfId="0" applyFill="1" applyBorder="1" applyAlignment="1"/>
    <xf numFmtId="0" fontId="0" fillId="11" borderId="0" xfId="0" applyFill="1" applyBorder="1" applyAlignment="1"/>
    <xf numFmtId="2" fontId="1" fillId="0" borderId="0" xfId="0" applyNumberFormat="1" applyFont="1"/>
    <xf numFmtId="0" fontId="8" fillId="4" borderId="0" xfId="0" applyFont="1" applyFill="1" applyAlignment="1">
      <alignment horizontal="left"/>
    </xf>
    <xf numFmtId="0" fontId="10" fillId="0" borderId="0" xfId="0" applyFont="1" applyAlignmen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12" borderId="13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data&amp;corrections" xfId="2" xr:uid="{00000000-0005-0000-0000-000002000000}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0594218694612E-2"/>
          <c:y val="9.4651712359676204E-2"/>
          <c:w val="0.42456832014854401"/>
          <c:h val="0.879114055192629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errBars>
            <c:errDir val="x"/>
            <c:errBarType val="both"/>
            <c:errValType val="cust"/>
            <c:noEndCap val="1"/>
            <c:plus>
              <c:numRef>
                <c:f>'plot data'!$G$2:$G$19</c:f>
                <c:numCache>
                  <c:formatCode>General</c:formatCode>
                  <c:ptCount val="18"/>
                  <c:pt idx="0">
                    <c:v>9.3228857513233709</c:v>
                  </c:pt>
                  <c:pt idx="1">
                    <c:v>7.2418984915635471</c:v>
                  </c:pt>
                  <c:pt idx="2">
                    <c:v>6.342346917232927</c:v>
                  </c:pt>
                  <c:pt idx="3">
                    <c:v>5.9843675603926689</c:v>
                  </c:pt>
                  <c:pt idx="4">
                    <c:v>5.5643472594827426</c:v>
                  </c:pt>
                  <c:pt idx="5">
                    <c:v>4.5963365090173598</c:v>
                  </c:pt>
                  <c:pt idx="6">
                    <c:v>4.7539384465643595</c:v>
                  </c:pt>
                  <c:pt idx="7">
                    <c:v>3.9631145784957349</c:v>
                  </c:pt>
                  <c:pt idx="8">
                    <c:v>4.1847166528032416</c:v>
                  </c:pt>
                  <c:pt idx="9">
                    <c:v>5.1453504417840161</c:v>
                  </c:pt>
                  <c:pt idx="10">
                    <c:v>3.0814626316665792</c:v>
                  </c:pt>
                  <c:pt idx="11">
                    <c:v>4.6720696221667488</c:v>
                  </c:pt>
                  <c:pt idx="12">
                    <c:v>4.0358318146820258</c:v>
                  </c:pt>
                  <c:pt idx="13">
                    <c:v>4.1223791777445369</c:v>
                  </c:pt>
                  <c:pt idx="14">
                    <c:v>3.5138308068439028</c:v>
                  </c:pt>
                  <c:pt idx="15">
                    <c:v>3.3014627379729036</c:v>
                  </c:pt>
                  <c:pt idx="16">
                    <c:v>3.8788061939460752</c:v>
                  </c:pt>
                  <c:pt idx="17">
                    <c:v>3.8315726508005059</c:v>
                  </c:pt>
                </c:numCache>
              </c:numRef>
            </c:plus>
            <c:minus>
              <c:numRef>
                <c:f>'plot data'!$G$2:$G$19</c:f>
                <c:numCache>
                  <c:formatCode>General</c:formatCode>
                  <c:ptCount val="18"/>
                  <c:pt idx="0">
                    <c:v>9.3228857513233709</c:v>
                  </c:pt>
                  <c:pt idx="1">
                    <c:v>7.2418984915635471</c:v>
                  </c:pt>
                  <c:pt idx="2">
                    <c:v>6.342346917232927</c:v>
                  </c:pt>
                  <c:pt idx="3">
                    <c:v>5.9843675603926689</c:v>
                  </c:pt>
                  <c:pt idx="4">
                    <c:v>5.5643472594827426</c:v>
                  </c:pt>
                  <c:pt idx="5">
                    <c:v>4.5963365090173598</c:v>
                  </c:pt>
                  <c:pt idx="6">
                    <c:v>4.7539384465643595</c:v>
                  </c:pt>
                  <c:pt idx="7">
                    <c:v>3.9631145784957349</c:v>
                  </c:pt>
                  <c:pt idx="8">
                    <c:v>4.1847166528032416</c:v>
                  </c:pt>
                  <c:pt idx="9">
                    <c:v>5.1453504417840161</c:v>
                  </c:pt>
                  <c:pt idx="10">
                    <c:v>3.0814626316665792</c:v>
                  </c:pt>
                  <c:pt idx="11">
                    <c:v>4.6720696221667488</c:v>
                  </c:pt>
                  <c:pt idx="12">
                    <c:v>4.0358318146820258</c:v>
                  </c:pt>
                  <c:pt idx="13">
                    <c:v>4.1223791777445369</c:v>
                  </c:pt>
                  <c:pt idx="14">
                    <c:v>3.5138308068439028</c:v>
                  </c:pt>
                  <c:pt idx="15">
                    <c:v>3.3014627379729036</c:v>
                  </c:pt>
                  <c:pt idx="16">
                    <c:v>3.8788061939460752</c:v>
                  </c:pt>
                  <c:pt idx="17">
                    <c:v>3.8315726508005059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 data'!$F$2:$F$13</c:f>
              <c:numCache>
                <c:formatCode>0.00</c:formatCode>
                <c:ptCount val="12"/>
                <c:pt idx="0">
                  <c:v>279.78577237062734</c:v>
                </c:pt>
                <c:pt idx="1">
                  <c:v>198.01171480521029</c:v>
                </c:pt>
                <c:pt idx="2">
                  <c:v>155.06104661754063</c:v>
                </c:pt>
                <c:pt idx="3">
                  <c:v>137.77098727360791</c:v>
                </c:pt>
                <c:pt idx="4">
                  <c:v>96.631328356159059</c:v>
                </c:pt>
                <c:pt idx="5">
                  <c:v>57.392191902159652</c:v>
                </c:pt>
                <c:pt idx="6">
                  <c:v>37.279119466919674</c:v>
                </c:pt>
                <c:pt idx="7">
                  <c:v>19.744015280976228</c:v>
                </c:pt>
                <c:pt idx="8">
                  <c:v>19.68744330434351</c:v>
                </c:pt>
                <c:pt idx="9">
                  <c:v>23.505229100911691</c:v>
                </c:pt>
                <c:pt idx="10">
                  <c:v>18.876812923730373</c:v>
                </c:pt>
                <c:pt idx="11">
                  <c:v>14.016797301657398</c:v>
                </c:pt>
              </c:numCache>
            </c:numRef>
          </c:xVal>
          <c:yVal>
            <c:numRef>
              <c:f>'plot data'!$B$2:$B$13</c:f>
              <c:numCache>
                <c:formatCode>General</c:formatCode>
                <c:ptCount val="12"/>
                <c:pt idx="0">
                  <c:v>-1</c:v>
                </c:pt>
                <c:pt idx="1">
                  <c:v>-3</c:v>
                </c:pt>
                <c:pt idx="2">
                  <c:v>-5</c:v>
                </c:pt>
                <c:pt idx="3">
                  <c:v>-7</c:v>
                </c:pt>
                <c:pt idx="4">
                  <c:v>-9</c:v>
                </c:pt>
                <c:pt idx="5">
                  <c:v>-11</c:v>
                </c:pt>
                <c:pt idx="6">
                  <c:v>-13</c:v>
                </c:pt>
                <c:pt idx="7">
                  <c:v>-15</c:v>
                </c:pt>
                <c:pt idx="8">
                  <c:v>-17</c:v>
                </c:pt>
                <c:pt idx="9">
                  <c:v>-19</c:v>
                </c:pt>
                <c:pt idx="10">
                  <c:v>-21</c:v>
                </c:pt>
                <c:pt idx="11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12-A847-8D63-237242B8C6C1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'plot data'!$G$14:$G$20</c:f>
                <c:numCache>
                  <c:formatCode>General</c:formatCode>
                  <c:ptCount val="7"/>
                  <c:pt idx="0">
                    <c:v>4.0358318146820258</c:v>
                  </c:pt>
                  <c:pt idx="1">
                    <c:v>4.1223791777445369</c:v>
                  </c:pt>
                  <c:pt idx="2">
                    <c:v>3.5138308068439028</c:v>
                  </c:pt>
                  <c:pt idx="3">
                    <c:v>3.3014627379729036</c:v>
                  </c:pt>
                  <c:pt idx="4">
                    <c:v>3.8788061939460752</c:v>
                  </c:pt>
                  <c:pt idx="5">
                    <c:v>3.8315726508005059</c:v>
                  </c:pt>
                  <c:pt idx="6">
                    <c:v>3.5217632364983515</c:v>
                  </c:pt>
                </c:numCache>
              </c:numRef>
            </c:plus>
            <c:minus>
              <c:numRef>
                <c:f>'plot data'!$G$14:$G$20</c:f>
                <c:numCache>
                  <c:formatCode>General</c:formatCode>
                  <c:ptCount val="7"/>
                  <c:pt idx="0">
                    <c:v>4.0358318146820258</c:v>
                  </c:pt>
                  <c:pt idx="1">
                    <c:v>4.1223791777445369</c:v>
                  </c:pt>
                  <c:pt idx="2">
                    <c:v>3.5138308068439028</c:v>
                  </c:pt>
                  <c:pt idx="3">
                    <c:v>3.3014627379729036</c:v>
                  </c:pt>
                  <c:pt idx="4">
                    <c:v>3.8788061939460752</c:v>
                  </c:pt>
                  <c:pt idx="5">
                    <c:v>3.8315726508005059</c:v>
                  </c:pt>
                  <c:pt idx="6">
                    <c:v>3.5217632364983515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 data'!$F$14:$F$20</c:f>
              <c:numCache>
                <c:formatCode>0.00</c:formatCode>
                <c:ptCount val="7"/>
                <c:pt idx="0">
                  <c:v>4.6071459222969144</c:v>
                </c:pt>
                <c:pt idx="1">
                  <c:v>4.8922257923612413</c:v>
                </c:pt>
                <c:pt idx="2">
                  <c:v>5.8412551377568462</c:v>
                </c:pt>
                <c:pt idx="3">
                  <c:v>7.4560043685959343</c:v>
                </c:pt>
                <c:pt idx="4">
                  <c:v>3.2510975115495424</c:v>
                </c:pt>
                <c:pt idx="5">
                  <c:v>3.2158505480376745</c:v>
                </c:pt>
                <c:pt idx="6">
                  <c:v>0</c:v>
                </c:pt>
              </c:numCache>
            </c:numRef>
          </c:xVal>
          <c:yVal>
            <c:numRef>
              <c:f>'plot data'!$B$14:$B$20</c:f>
              <c:numCache>
                <c:formatCode>General</c:formatCode>
                <c:ptCount val="7"/>
                <c:pt idx="0">
                  <c:v>-25</c:v>
                </c:pt>
                <c:pt idx="1">
                  <c:v>-27</c:v>
                </c:pt>
                <c:pt idx="2">
                  <c:v>-29</c:v>
                </c:pt>
                <c:pt idx="3">
                  <c:v>-31</c:v>
                </c:pt>
                <c:pt idx="4">
                  <c:v>-33</c:v>
                </c:pt>
                <c:pt idx="5">
                  <c:v>-35</c:v>
                </c:pt>
                <c:pt idx="6">
                  <c:v>-37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12-A847-8D63-237242B8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736880"/>
        <c:axId val="-628733488"/>
      </c:scatterChart>
      <c:valAx>
        <c:axId val="-628736880"/>
        <c:scaling>
          <c:logBase val="10"/>
          <c:orientation val="minMax"/>
          <c:min val="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28733488"/>
        <c:crosses val="max"/>
        <c:crossBetween val="midCat"/>
      </c:valAx>
      <c:valAx>
        <c:axId val="-628733488"/>
        <c:scaling>
          <c:orientation val="minMax"/>
          <c:max val="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28736880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4351268591426068E-2"/>
                  <c:y val="0.1656616360454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'CRS Method'!$D$5:$D$22</c:f>
              <c:numCache>
                <c:formatCode>0.00</c:formatCode>
                <c:ptCount val="18"/>
                <c:pt idx="0">
                  <c:v>16.787146342237641</c:v>
                </c:pt>
                <c:pt idx="1">
                  <c:v>11.880702888312618</c:v>
                </c:pt>
                <c:pt idx="2">
                  <c:v>9.3036627970524375</c:v>
                </c:pt>
                <c:pt idx="3">
                  <c:v>8.2662592364164755</c:v>
                </c:pt>
                <c:pt idx="4">
                  <c:v>5.7978797013695438</c:v>
                </c:pt>
                <c:pt idx="5">
                  <c:v>3.4435315141295795</c:v>
                </c:pt>
                <c:pt idx="6">
                  <c:v>2.2367471680151807</c:v>
                </c:pt>
                <c:pt idx="7">
                  <c:v>1.1846409168585736</c:v>
                </c:pt>
                <c:pt idx="8">
                  <c:v>1.1812465982606106</c:v>
                </c:pt>
                <c:pt idx="9">
                  <c:v>1.4103137460547015</c:v>
                </c:pt>
                <c:pt idx="10">
                  <c:v>1.1326087754238223</c:v>
                </c:pt>
                <c:pt idx="11">
                  <c:v>0.84100783809944391</c:v>
                </c:pt>
                <c:pt idx="12">
                  <c:v>0.27642875533781486</c:v>
                </c:pt>
                <c:pt idx="13">
                  <c:v>0.29353354754167449</c:v>
                </c:pt>
                <c:pt idx="14">
                  <c:v>0.35047530826541073</c:v>
                </c:pt>
                <c:pt idx="15">
                  <c:v>0.44736026211575608</c:v>
                </c:pt>
                <c:pt idx="16">
                  <c:v>0.19506585069297255</c:v>
                </c:pt>
                <c:pt idx="17">
                  <c:v>0.19295103288226045</c:v>
                </c:pt>
              </c:numCache>
            </c:numRef>
          </c:xVal>
          <c:yVal>
            <c:numRef>
              <c:f>'CRS Method'!$A$5:$A$22</c:f>
              <c:numCache>
                <c:formatCode>General</c:formatCode>
                <c:ptCount val="18"/>
                <c:pt idx="0">
                  <c:v>-1</c:v>
                </c:pt>
                <c:pt idx="1">
                  <c:v>-3</c:v>
                </c:pt>
                <c:pt idx="2">
                  <c:v>-5</c:v>
                </c:pt>
                <c:pt idx="3">
                  <c:v>-7</c:v>
                </c:pt>
                <c:pt idx="4">
                  <c:v>-9</c:v>
                </c:pt>
                <c:pt idx="5">
                  <c:v>-11</c:v>
                </c:pt>
                <c:pt idx="6">
                  <c:v>-13</c:v>
                </c:pt>
                <c:pt idx="7">
                  <c:v>-15</c:v>
                </c:pt>
                <c:pt idx="8">
                  <c:v>-17</c:v>
                </c:pt>
                <c:pt idx="9">
                  <c:v>-19</c:v>
                </c:pt>
                <c:pt idx="10">
                  <c:v>-21</c:v>
                </c:pt>
                <c:pt idx="11">
                  <c:v>-23</c:v>
                </c:pt>
                <c:pt idx="12">
                  <c:v>-25</c:v>
                </c:pt>
                <c:pt idx="13">
                  <c:v>-27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B0-A040-A62B-B30EA2A49D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'CRS Method'!$D$23:$D$27</c:f>
              <c:numCache>
                <c:formatCode>0.00</c:formatCode>
                <c:ptCount val="5"/>
                <c:pt idx="0">
                  <c:v>9.6861222789200077E-2</c:v>
                </c:pt>
                <c:pt idx="1">
                  <c:v>7.2964211306357274E-2</c:v>
                </c:pt>
                <c:pt idx="2">
                  <c:v>5.4962925082465017E-2</c:v>
                </c:pt>
                <c:pt idx="3">
                  <c:v>4.1402806657316001E-2</c:v>
                </c:pt>
                <c:pt idx="4">
                  <c:v>3.1188158136255639E-2</c:v>
                </c:pt>
              </c:numCache>
            </c:numRef>
          </c:xVal>
          <c:yVal>
            <c:numRef>
              <c:f>'CRS Method'!$A$23:$A$27</c:f>
              <c:numCache>
                <c:formatCode>General</c:formatCode>
                <c:ptCount val="5"/>
                <c:pt idx="0">
                  <c:v>-37</c:v>
                </c:pt>
                <c:pt idx="1">
                  <c:v>-39</c:v>
                </c:pt>
                <c:pt idx="2">
                  <c:v>-41</c:v>
                </c:pt>
                <c:pt idx="3">
                  <c:v>-43</c:v>
                </c:pt>
                <c:pt idx="4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B0-A040-A62B-B30EA2A4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99184"/>
        <c:axId val="2046250959"/>
      </c:scatterChart>
      <c:valAx>
        <c:axId val="4173991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 210Pb (dpm/g)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50959"/>
        <c:crosses val="max"/>
        <c:crossBetween val="midCat"/>
      </c:valAx>
      <c:valAx>
        <c:axId val="2046250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'CRS Method'!$P$5:$P$21</c:f>
              <c:numCache>
                <c:formatCode>0</c:formatCode>
                <c:ptCount val="17"/>
                <c:pt idx="0">
                  <c:v>2009.0674566466503</c:v>
                </c:pt>
                <c:pt idx="1">
                  <c:v>2001.1003149343157</c:v>
                </c:pt>
                <c:pt idx="2">
                  <c:v>1992.7074251934469</c:v>
                </c:pt>
                <c:pt idx="3">
                  <c:v>1983.2106799233143</c:v>
                </c:pt>
                <c:pt idx="4">
                  <c:v>1972.8306172920074</c:v>
                </c:pt>
                <c:pt idx="5">
                  <c:v>1963.4953501068785</c:v>
                </c:pt>
                <c:pt idx="6">
                  <c:v>1956.0259984871327</c:v>
                </c:pt>
                <c:pt idx="7">
                  <c:v>1950.3664014450055</c:v>
                </c:pt>
                <c:pt idx="8">
                  <c:v>1945.6507561750834</c:v>
                </c:pt>
                <c:pt idx="9">
                  <c:v>1939.5410901130026</c:v>
                </c:pt>
                <c:pt idx="10">
                  <c:v>1931.4126427258502</c:v>
                </c:pt>
                <c:pt idx="11">
                  <c:v>1922.0200197734684</c:v>
                </c:pt>
                <c:pt idx="12">
                  <c:v>1915.0758487152234</c:v>
                </c:pt>
                <c:pt idx="13">
                  <c:v>1909.568064567326</c:v>
                </c:pt>
                <c:pt idx="14">
                  <c:v>1900.275861254333</c:v>
                </c:pt>
                <c:pt idx="15">
                  <c:v>1886.648868496135</c:v>
                </c:pt>
                <c:pt idx="16">
                  <c:v>1874.0119525316204</c:v>
                </c:pt>
              </c:numCache>
            </c:numRef>
          </c:xVal>
          <c:yVal>
            <c:numRef>
              <c:f>'CRS Method'!$Y$5:$Y$21</c:f>
              <c:numCache>
                <c:formatCode>0.00</c:formatCode>
                <c:ptCount val="17"/>
                <c:pt idx="0">
                  <c:v>0.82355873435282811</c:v>
                </c:pt>
                <c:pt idx="1">
                  <c:v>0.85674209783809663</c:v>
                </c:pt>
                <c:pt idx="2">
                  <c:v>0.78103969461116773</c:v>
                </c:pt>
                <c:pt idx="3">
                  <c:v>0.72381133113288942</c:v>
                </c:pt>
                <c:pt idx="4">
                  <c:v>0.82966170293278085</c:v>
                </c:pt>
                <c:pt idx="5">
                  <c:v>1.0252423722383792</c:v>
                </c:pt>
                <c:pt idx="6">
                  <c:v>1.4538982096854336</c:v>
                </c:pt>
                <c:pt idx="7">
                  <c:v>1.6620317531392463</c:v>
                </c:pt>
                <c:pt idx="8">
                  <c:v>1.3061277502583022</c:v>
                </c:pt>
                <c:pt idx="9">
                  <c:v>1.0523051458843917</c:v>
                </c:pt>
                <c:pt idx="10">
                  <c:v>1.0381212751484379</c:v>
                </c:pt>
                <c:pt idx="11">
                  <c:v>1.7922819040114482</c:v>
                </c:pt>
                <c:pt idx="12">
                  <c:v>2.2818577312228454</c:v>
                </c:pt>
                <c:pt idx="13">
                  <c:v>1.6458244433520162</c:v>
                </c:pt>
                <c:pt idx="14">
                  <c:v>0.96290067410335944</c:v>
                </c:pt>
                <c:pt idx="15">
                  <c:v>0.83048397410539443</c:v>
                </c:pt>
                <c:pt idx="16">
                  <c:v>0.85801539386854986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CA4A-915D-F7CD4CAB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30304"/>
        <c:axId val="1708331984"/>
      </c:scatterChart>
      <c:valAx>
        <c:axId val="17083303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31984"/>
        <c:crosses val="autoZero"/>
        <c:crossBetween val="midCat"/>
      </c:valAx>
      <c:valAx>
        <c:axId val="170833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 (g/m2/yr)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 data'!$T$2:$T$12</c:f>
              <c:numCache>
                <c:formatCode>0.00</c:formatCode>
                <c:ptCount val="11"/>
                <c:pt idx="0">
                  <c:v>8.7434009394300283</c:v>
                </c:pt>
                <c:pt idx="1">
                  <c:v>10.428349683991614</c:v>
                </c:pt>
                <c:pt idx="2">
                  <c:v>12.576126329285373</c:v>
                </c:pt>
                <c:pt idx="3">
                  <c:v>22.624462305086361</c:v>
                </c:pt>
                <c:pt idx="4">
                  <c:v>47.777393189073159</c:v>
                </c:pt>
                <c:pt idx="5">
                  <c:v>104.23939682435204</c:v>
                </c:pt>
                <c:pt idx="6">
                  <c:v>97.759330590822501</c:v>
                </c:pt>
                <c:pt idx="7">
                  <c:v>13.608016103997491</c:v>
                </c:pt>
                <c:pt idx="8">
                  <c:v>6.5525859884913205</c:v>
                </c:pt>
                <c:pt idx="9">
                  <c:v>4.3579173729534304</c:v>
                </c:pt>
                <c:pt idx="10">
                  <c:v>1.9212620856821589</c:v>
                </c:pt>
              </c:numCache>
            </c:numRef>
          </c:xVal>
          <c:yVal>
            <c:numRef>
              <c:f>'plot data'!$B$2:$B$12</c:f>
              <c:numCache>
                <c:formatCode>General</c:formatCode>
                <c:ptCount val="11"/>
                <c:pt idx="0">
                  <c:v>-1</c:v>
                </c:pt>
                <c:pt idx="1">
                  <c:v>-3</c:v>
                </c:pt>
                <c:pt idx="2">
                  <c:v>-5</c:v>
                </c:pt>
                <c:pt idx="3">
                  <c:v>-7</c:v>
                </c:pt>
                <c:pt idx="4">
                  <c:v>-9</c:v>
                </c:pt>
                <c:pt idx="5">
                  <c:v>-11</c:v>
                </c:pt>
                <c:pt idx="6">
                  <c:v>-13</c:v>
                </c:pt>
                <c:pt idx="7">
                  <c:v>-15</c:v>
                </c:pt>
                <c:pt idx="8">
                  <c:v>-17</c:v>
                </c:pt>
                <c:pt idx="9">
                  <c:v>-19</c:v>
                </c:pt>
                <c:pt idx="10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B-5442-86A9-EA6B2D1EB87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 data'!$P$2:$P$27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xVal>
          <c:yVal>
            <c:numRef>
              <c:f>'plot data'!$O$2:$O$27</c:f>
              <c:numCache>
                <c:formatCode>General</c:formatCode>
                <c:ptCount val="26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-5</c:v>
                </c:pt>
                <c:pt idx="4">
                  <c:v>-7</c:v>
                </c:pt>
                <c:pt idx="5">
                  <c:v>-9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-17</c:v>
                </c:pt>
                <c:pt idx="10">
                  <c:v>-19</c:v>
                </c:pt>
                <c:pt idx="11">
                  <c:v>-21</c:v>
                </c:pt>
                <c:pt idx="12">
                  <c:v>-23</c:v>
                </c:pt>
                <c:pt idx="13">
                  <c:v>-25</c:v>
                </c:pt>
                <c:pt idx="14">
                  <c:v>-27</c:v>
                </c:pt>
                <c:pt idx="15">
                  <c:v>-29</c:v>
                </c:pt>
                <c:pt idx="16">
                  <c:v>-31</c:v>
                </c:pt>
                <c:pt idx="17">
                  <c:v>-33</c:v>
                </c:pt>
                <c:pt idx="18">
                  <c:v>-35</c:v>
                </c:pt>
                <c:pt idx="19">
                  <c:v>-37</c:v>
                </c:pt>
                <c:pt idx="20">
                  <c:v>-39</c:v>
                </c:pt>
                <c:pt idx="21">
                  <c:v>-41</c:v>
                </c:pt>
                <c:pt idx="22">
                  <c:v>-43</c:v>
                </c:pt>
                <c:pt idx="23">
                  <c:v>-45</c:v>
                </c:pt>
                <c:pt idx="24">
                  <c:v>-47</c:v>
                </c:pt>
                <c:pt idx="25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FB-5442-86A9-EA6B2D1E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502080"/>
        <c:axId val="-625498688"/>
      </c:scatterChart>
      <c:valAx>
        <c:axId val="-62550208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25498688"/>
        <c:crosses val="max"/>
        <c:crossBetween val="midCat"/>
        <c:majorUnit val="20"/>
        <c:minorUnit val="10"/>
      </c:valAx>
      <c:valAx>
        <c:axId val="-625498688"/>
        <c:scaling>
          <c:orientation val="minMax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25502080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FDC6FD-D585-FE4E-809B-C76524561674}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6E6911-2A86-8840-A990-7C36D5FBAA2E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5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29044-EDD9-C441-8DBB-FA57702B59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28</xdr:row>
      <xdr:rowOff>152400</xdr:rowOff>
    </xdr:from>
    <xdr:to>
      <xdr:col>5</xdr:col>
      <xdr:colOff>320964</xdr:colOff>
      <xdr:row>58</xdr:row>
      <xdr:rowOff>109105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DCB4F-CDC7-404C-8E9F-FF1F9F9E4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317500</xdr:colOff>
      <xdr:row>24</xdr:row>
      <xdr:rowOff>114300</xdr:rowOff>
    </xdr:from>
    <xdr:to>
      <xdr:col>27</xdr:col>
      <xdr:colOff>0</xdr:colOff>
      <xdr:row>39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B5303-9FCD-8A44-B573-49DC97DF5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76BFC-79CC-164D-9339-353256EBE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22"/>
  <sheetViews>
    <sheetView topLeftCell="Y1" workbookViewId="0">
      <selection activeCell="M10" sqref="M10"/>
    </sheetView>
  </sheetViews>
  <sheetFormatPr baseColWidth="10" defaultRowHeight="14"/>
  <cols>
    <col min="1" max="1" width="10.7109375" style="47"/>
    <col min="2" max="2" width="12.5703125" style="47" customWidth="1"/>
    <col min="3" max="3" width="9.85546875" style="47" customWidth="1"/>
    <col min="4" max="4" width="9.5703125" style="47" customWidth="1"/>
    <col min="5" max="5" width="8.140625" style="47" customWidth="1"/>
    <col min="6" max="6" width="12.5703125" style="47" bestFit="1" customWidth="1"/>
    <col min="7" max="10" width="6.85546875" style="47" customWidth="1"/>
    <col min="11" max="11" width="8.28515625" style="47" customWidth="1"/>
    <col min="12" max="13" width="7.42578125" style="47" customWidth="1"/>
    <col min="14" max="14" width="7.28515625" style="47" bestFit="1" customWidth="1"/>
    <col min="15" max="15" width="7.140625" style="47" customWidth="1"/>
    <col min="16" max="16" width="10.140625" style="102" bestFit="1" customWidth="1"/>
    <col min="17" max="17" width="10" style="80" customWidth="1"/>
    <col min="18" max="18" width="5.85546875" style="98" customWidth="1"/>
    <col min="19" max="19" width="8.5703125" style="103" customWidth="1"/>
    <col min="20" max="20" width="6" style="47" bestFit="1" customWidth="1"/>
    <col min="21" max="21" width="9.28515625" style="47" customWidth="1"/>
    <col min="22" max="22" width="5.28515625" style="47" customWidth="1"/>
    <col min="23" max="23" width="8.7109375" style="47" customWidth="1"/>
    <col min="24" max="24" width="6.140625" style="47" customWidth="1"/>
    <col min="25" max="25" width="9.42578125" style="47" customWidth="1"/>
    <col min="26" max="26" width="5.28515625" style="47" customWidth="1"/>
    <col min="27" max="27" width="9.85546875" style="47" customWidth="1"/>
    <col min="28" max="28" width="6.28515625" style="47" customWidth="1"/>
    <col min="29" max="29" width="12.42578125" style="103" bestFit="1" customWidth="1"/>
    <col min="30" max="30" width="7.140625" style="47" customWidth="1"/>
    <col min="31" max="31" width="8.140625" style="47" bestFit="1" customWidth="1"/>
    <col min="32" max="32" width="7.5703125" style="47" customWidth="1"/>
    <col min="33" max="33" width="8.42578125" style="47" bestFit="1" customWidth="1"/>
    <col min="34" max="34" width="8" style="47" bestFit="1" customWidth="1"/>
    <col min="35" max="35" width="7.140625" style="47" bestFit="1" customWidth="1"/>
    <col min="36" max="36" width="7" style="47" bestFit="1" customWidth="1"/>
    <col min="37" max="37" width="10.42578125" style="103" customWidth="1"/>
    <col min="38" max="43" width="10.42578125" style="47" customWidth="1"/>
    <col min="44" max="44" width="10.42578125" style="73" customWidth="1"/>
    <col min="45" max="45" width="12" style="103" bestFit="1" customWidth="1"/>
    <col min="46" max="46" width="8.28515625" style="47" bestFit="1" customWidth="1"/>
    <col min="47" max="47" width="9.85546875" style="47" bestFit="1" customWidth="1"/>
    <col min="48" max="48" width="9.85546875" style="47" customWidth="1"/>
    <col min="49" max="49" width="8.28515625" style="47" bestFit="1" customWidth="1"/>
    <col min="50" max="50" width="9" style="47" bestFit="1" customWidth="1"/>
    <col min="51" max="51" width="11.28515625" style="47" bestFit="1" customWidth="1"/>
    <col min="52" max="52" width="8" style="47" bestFit="1" customWidth="1"/>
    <col min="53" max="53" width="10.7109375" style="103"/>
    <col min="54" max="54" width="10.42578125" style="47" bestFit="1" customWidth="1"/>
    <col min="55" max="55" width="8" style="47" bestFit="1" customWidth="1"/>
    <col min="56" max="56" width="8" style="47" customWidth="1"/>
    <col min="57" max="57" width="9.7109375" style="47" bestFit="1" customWidth="1"/>
    <col min="58" max="58" width="8" style="47" customWidth="1"/>
    <col min="59" max="59" width="9" style="47" bestFit="1" customWidth="1"/>
    <col min="60" max="60" width="10" style="47" bestFit="1" customWidth="1"/>
    <col min="61" max="61" width="7" style="47" bestFit="1" customWidth="1"/>
    <col min="62" max="62" width="10.7109375" style="103"/>
    <col min="63" max="63" width="10.7109375" style="47"/>
    <col min="64" max="64" width="7.28515625" style="47" bestFit="1" customWidth="1"/>
    <col min="65" max="65" width="8.28515625" style="47" bestFit="1" customWidth="1"/>
    <col min="66" max="66" width="8" style="47" bestFit="1" customWidth="1"/>
    <col min="67" max="67" width="7.28515625" style="47" customWidth="1"/>
    <col min="68" max="68" width="7" style="47" bestFit="1" customWidth="1"/>
    <col min="69" max="69" width="9.28515625" style="47" bestFit="1" customWidth="1"/>
    <col min="70" max="70" width="10.85546875" style="103" customWidth="1"/>
    <col min="71" max="71" width="9.42578125" style="47" bestFit="1" customWidth="1"/>
    <col min="72" max="72" width="10.85546875" style="47" bestFit="1" customWidth="1"/>
    <col min="73" max="73" width="9.42578125" style="47" bestFit="1" customWidth="1"/>
    <col min="74" max="74" width="8.42578125" style="47" bestFit="1" customWidth="1"/>
    <col min="75" max="75" width="7.42578125" style="47" bestFit="1" customWidth="1"/>
    <col min="76" max="76" width="7" style="47" bestFit="1" customWidth="1"/>
    <col min="77" max="77" width="8.42578125" style="47" bestFit="1" customWidth="1"/>
    <col min="78" max="16384" width="10.7109375" style="47"/>
  </cols>
  <sheetData>
    <row r="1" spans="1:70" s="106" customFormat="1" ht="12.75" customHeight="1" thickBot="1">
      <c r="A1" s="137" t="s">
        <v>47</v>
      </c>
      <c r="B1" s="11">
        <v>1</v>
      </c>
      <c r="C1" s="47" t="s">
        <v>77</v>
      </c>
      <c r="D1" s="47"/>
      <c r="E1" s="47"/>
      <c r="F1" s="147"/>
      <c r="G1" s="47"/>
      <c r="H1" s="47"/>
      <c r="I1" s="47"/>
      <c r="J1" s="47"/>
      <c r="K1" s="47"/>
      <c r="L1" s="98"/>
      <c r="M1" s="47"/>
      <c r="N1" s="47"/>
      <c r="O1" s="47"/>
      <c r="P1" s="102"/>
      <c r="Q1" s="98"/>
      <c r="R1" s="98"/>
      <c r="S1" s="103"/>
      <c r="T1" s="47"/>
      <c r="U1" s="47"/>
      <c r="V1" s="47"/>
      <c r="W1" s="47"/>
      <c r="X1" s="47"/>
      <c r="Y1" s="47"/>
      <c r="Z1" s="47"/>
      <c r="AA1" s="47"/>
      <c r="AB1" s="47"/>
      <c r="AC1" s="70" t="s">
        <v>12</v>
      </c>
      <c r="AD1" s="47" t="s">
        <v>78</v>
      </c>
      <c r="AE1" s="7">
        <v>-8.9999999999999998E-4</v>
      </c>
      <c r="AF1" s="5">
        <v>0.15079999999999999</v>
      </c>
      <c r="AG1" s="3">
        <v>2.7E-2</v>
      </c>
      <c r="AH1" s="6">
        <v>1</v>
      </c>
      <c r="AI1" s="6">
        <v>2.41E-2</v>
      </c>
      <c r="AJ1" s="6">
        <v>7.3000000000000001E-3</v>
      </c>
      <c r="AK1" s="70" t="s">
        <v>149</v>
      </c>
      <c r="AL1" s="47" t="s">
        <v>78</v>
      </c>
      <c r="AM1" s="7">
        <v>-4.0000000000000002E-4</v>
      </c>
      <c r="AN1" s="7">
        <v>3.04E-2</v>
      </c>
      <c r="AO1" s="3">
        <v>5.3E-3</v>
      </c>
      <c r="AP1" s="5">
        <v>1</v>
      </c>
      <c r="AQ1" s="6">
        <v>5.7999999999999996E-3</v>
      </c>
      <c r="AR1" s="6">
        <v>6.3E-3</v>
      </c>
      <c r="AS1" s="70" t="s">
        <v>153</v>
      </c>
      <c r="AT1" s="47" t="s">
        <v>78</v>
      </c>
      <c r="AU1" s="5">
        <v>8.9999999999999993E-3</v>
      </c>
      <c r="AV1" s="7">
        <v>0</v>
      </c>
      <c r="AW1" s="3">
        <v>1</v>
      </c>
      <c r="AX1" s="4">
        <v>4.7920000000000003E-3</v>
      </c>
      <c r="AY1" s="6">
        <v>3.7000000000000002E-3</v>
      </c>
      <c r="AZ1" s="6">
        <v>4.1000000000000003E-3</v>
      </c>
      <c r="BA1" s="70" t="s">
        <v>151</v>
      </c>
      <c r="BB1" s="47" t="s">
        <v>78</v>
      </c>
      <c r="BC1" s="47">
        <v>-1E-4</v>
      </c>
      <c r="BD1" s="47">
        <v>0.02</v>
      </c>
      <c r="BE1" s="47">
        <v>5.7000000000000002E-3</v>
      </c>
      <c r="BF1" s="104">
        <v>1</v>
      </c>
      <c r="BG1" s="47">
        <v>2.0999999999999999E-3</v>
      </c>
      <c r="BH1" s="47">
        <v>5.4000000000000003E-3</v>
      </c>
      <c r="BI1" s="47"/>
      <c r="BJ1" s="70" t="s">
        <v>14</v>
      </c>
      <c r="BK1" s="47" t="s">
        <v>78</v>
      </c>
      <c r="BL1" s="7">
        <v>-2E-3</v>
      </c>
      <c r="BM1" s="7">
        <v>0.14879999999999999</v>
      </c>
      <c r="BN1" s="3">
        <v>1.49E-2</v>
      </c>
      <c r="BO1" s="5">
        <v>1</v>
      </c>
      <c r="BP1" s="6">
        <v>2.64E-2</v>
      </c>
      <c r="BQ1" s="6">
        <v>7.7000000000000002E-3</v>
      </c>
      <c r="BR1" s="105"/>
    </row>
    <row r="2" spans="1:70" s="106" customFormat="1" ht="12.75" customHeight="1" thickBot="1">
      <c r="A2" s="138" t="s">
        <v>76</v>
      </c>
      <c r="B2" s="107">
        <v>40080</v>
      </c>
      <c r="C2" s="106" t="s">
        <v>51</v>
      </c>
      <c r="E2" s="106" t="s">
        <v>43</v>
      </c>
      <c r="L2" s="108"/>
      <c r="P2" s="109"/>
      <c r="Q2" s="108"/>
      <c r="R2" s="108"/>
      <c r="S2" s="105"/>
      <c r="AC2" s="70" t="s">
        <v>13</v>
      </c>
      <c r="AD2" s="47" t="s">
        <v>79</v>
      </c>
      <c r="AE2" s="47">
        <v>-1.8E-3</v>
      </c>
      <c r="AF2" s="47">
        <v>0.16900000000000001</v>
      </c>
      <c r="AG2" s="47">
        <v>2.7E-2</v>
      </c>
      <c r="AH2" s="6">
        <v>1</v>
      </c>
      <c r="AI2" s="106">
        <v>2.41E-2</v>
      </c>
      <c r="AJ2" s="106">
        <v>7.3000000000000001E-3</v>
      </c>
      <c r="AK2" s="70" t="s">
        <v>16</v>
      </c>
      <c r="AL2" s="47" t="s">
        <v>79</v>
      </c>
      <c r="AM2" s="7">
        <v>-7.2999999999999996E-4</v>
      </c>
      <c r="AN2" s="7">
        <v>2.7099999999999999E-2</v>
      </c>
      <c r="AO2" s="3">
        <v>5.3E-3</v>
      </c>
      <c r="AP2" s="4">
        <v>1</v>
      </c>
      <c r="AQ2" s="6">
        <v>5.7999999999999996E-3</v>
      </c>
      <c r="AR2" s="6">
        <v>6.3E-3</v>
      </c>
      <c r="AS2" s="70" t="s">
        <v>152</v>
      </c>
      <c r="AT2" s="47" t="s">
        <v>79</v>
      </c>
      <c r="AU2" s="5">
        <v>8.9999999999999993E-3</v>
      </c>
      <c r="AV2" s="7">
        <v>0</v>
      </c>
      <c r="AW2" s="3">
        <v>1</v>
      </c>
      <c r="AX2" s="4">
        <v>4.7920000000000003E-3</v>
      </c>
      <c r="AY2" s="6">
        <v>3.7000000000000002E-3</v>
      </c>
      <c r="AZ2" s="6">
        <v>4.1000000000000003E-3</v>
      </c>
      <c r="BA2" s="70" t="s">
        <v>150</v>
      </c>
      <c r="BB2" s="47" t="s">
        <v>79</v>
      </c>
      <c r="BC2" s="47">
        <v>-1E-4</v>
      </c>
      <c r="BD2" s="47">
        <v>1.3599999999999999E-2</v>
      </c>
      <c r="BE2" s="47">
        <v>5.7000000000000002E-3</v>
      </c>
      <c r="BF2" s="104">
        <v>1</v>
      </c>
      <c r="BG2" s="47">
        <v>2.0999999999999999E-3</v>
      </c>
      <c r="BH2" s="47">
        <v>5.4000000000000003E-3</v>
      </c>
      <c r="BI2" s="47"/>
      <c r="BJ2" s="70" t="s">
        <v>15</v>
      </c>
      <c r="BK2" s="47" t="s">
        <v>79</v>
      </c>
      <c r="BL2" s="7">
        <v>-2.7000000000000001E-3</v>
      </c>
      <c r="BM2" s="7">
        <v>0.16</v>
      </c>
      <c r="BN2" s="3">
        <v>1.49E-2</v>
      </c>
      <c r="BO2" s="5">
        <v>1</v>
      </c>
      <c r="BP2" s="6">
        <v>2.64E-2</v>
      </c>
      <c r="BQ2" s="6">
        <v>7.7000000000000002E-3</v>
      </c>
      <c r="BR2" s="105"/>
    </row>
    <row r="3" spans="1:70" ht="12.75" customHeight="1">
      <c r="A3" s="138" t="s">
        <v>135</v>
      </c>
      <c r="B3" s="110" t="s">
        <v>171</v>
      </c>
      <c r="C3" s="47" t="s">
        <v>136</v>
      </c>
      <c r="D3" s="111">
        <v>1</v>
      </c>
      <c r="E3" s="111" t="s">
        <v>130</v>
      </c>
      <c r="AC3" s="112"/>
      <c r="AD3" s="113"/>
      <c r="AE3" s="113"/>
      <c r="AF3" s="113"/>
      <c r="AG3" s="113"/>
      <c r="AH3" s="113"/>
      <c r="AI3" s="113"/>
      <c r="AJ3" s="113"/>
      <c r="AK3" s="114"/>
      <c r="AL3" s="115"/>
      <c r="AM3" s="115"/>
      <c r="AN3" s="115"/>
      <c r="AO3" s="115"/>
      <c r="AP3" s="115"/>
      <c r="AQ3" s="115"/>
      <c r="AR3" s="115"/>
      <c r="AS3" s="116"/>
      <c r="AT3" s="117"/>
      <c r="AU3" s="117"/>
      <c r="AV3" s="117"/>
      <c r="AW3" s="117"/>
      <c r="AX3" s="117"/>
      <c r="AY3" s="117"/>
      <c r="AZ3" s="117"/>
      <c r="BA3" s="118"/>
      <c r="BB3" s="119"/>
      <c r="BC3" s="119"/>
      <c r="BD3" s="119"/>
      <c r="BE3" s="119"/>
      <c r="BF3" s="119"/>
      <c r="BG3" s="119"/>
      <c r="BH3" s="119"/>
      <c r="BI3" s="119"/>
      <c r="BJ3" s="120"/>
      <c r="BK3" s="121"/>
      <c r="BL3" s="121"/>
      <c r="BM3" s="121"/>
      <c r="BN3" s="121"/>
      <c r="BO3" s="121"/>
      <c r="BP3" s="121"/>
      <c r="BQ3" s="121"/>
    </row>
    <row r="4" spans="1:70" ht="12.75" customHeight="1">
      <c r="A4" s="137" t="s">
        <v>140</v>
      </c>
      <c r="B4" s="111"/>
      <c r="S4" s="103" t="s">
        <v>51</v>
      </c>
      <c r="U4" s="47" t="s">
        <v>51</v>
      </c>
      <c r="W4" s="47" t="s">
        <v>51</v>
      </c>
      <c r="Y4" s="47" t="s">
        <v>51</v>
      </c>
      <c r="AA4" s="47" t="s">
        <v>51</v>
      </c>
      <c r="AC4" s="103" t="s">
        <v>157</v>
      </c>
      <c r="AD4" s="47" t="s">
        <v>122</v>
      </c>
      <c r="AE4" s="79" t="s">
        <v>63</v>
      </c>
      <c r="AF4" s="79" t="s">
        <v>64</v>
      </c>
      <c r="AG4" s="79" t="s">
        <v>56</v>
      </c>
      <c r="AH4" s="79" t="s">
        <v>128</v>
      </c>
      <c r="AI4" s="79" t="s">
        <v>123</v>
      </c>
      <c r="AJ4" s="79" t="s">
        <v>124</v>
      </c>
      <c r="AK4" s="103" t="s">
        <v>157</v>
      </c>
      <c r="AL4" s="47" t="s">
        <v>122</v>
      </c>
      <c r="AM4" s="79" t="s">
        <v>63</v>
      </c>
      <c r="AN4" s="79" t="s">
        <v>64</v>
      </c>
      <c r="AO4" s="79" t="s">
        <v>56</v>
      </c>
      <c r="AP4" s="79" t="s">
        <v>128</v>
      </c>
      <c r="AQ4" s="79" t="s">
        <v>123</v>
      </c>
      <c r="AR4" s="79" t="s">
        <v>124</v>
      </c>
      <c r="AS4" s="103" t="s">
        <v>157</v>
      </c>
      <c r="AT4" s="47" t="s">
        <v>122</v>
      </c>
      <c r="AU4" s="79" t="s">
        <v>63</v>
      </c>
      <c r="AV4" s="79" t="s">
        <v>64</v>
      </c>
      <c r="AW4" s="79" t="s">
        <v>56</v>
      </c>
      <c r="AX4" s="79" t="s">
        <v>128</v>
      </c>
      <c r="AY4" s="79" t="s">
        <v>123</v>
      </c>
      <c r="AZ4" s="79" t="s">
        <v>124</v>
      </c>
      <c r="BA4" s="103" t="s">
        <v>157</v>
      </c>
      <c r="BB4" s="47" t="s">
        <v>122</v>
      </c>
      <c r="BC4" s="79" t="s">
        <v>63</v>
      </c>
      <c r="BD4" s="79" t="s">
        <v>64</v>
      </c>
      <c r="BE4" s="79" t="s">
        <v>56</v>
      </c>
      <c r="BF4" s="79" t="s">
        <v>128</v>
      </c>
      <c r="BG4" s="79" t="s">
        <v>123</v>
      </c>
      <c r="BH4" s="79" t="s">
        <v>124</v>
      </c>
      <c r="BJ4" s="103" t="s">
        <v>157</v>
      </c>
      <c r="BK4" s="47" t="s">
        <v>122</v>
      </c>
      <c r="BL4" s="79" t="s">
        <v>63</v>
      </c>
      <c r="BM4" s="79" t="s">
        <v>64</v>
      </c>
      <c r="BN4" s="79" t="s">
        <v>56</v>
      </c>
      <c r="BO4" s="79" t="s">
        <v>128</v>
      </c>
      <c r="BP4" s="79" t="s">
        <v>123</v>
      </c>
      <c r="BQ4" s="79" t="s">
        <v>124</v>
      </c>
    </row>
    <row r="5" spans="1:70" s="106" customFormat="1" ht="15">
      <c r="A5" s="137" t="s">
        <v>29</v>
      </c>
      <c r="B5" s="111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102"/>
      <c r="Q5" s="80"/>
      <c r="R5" s="98"/>
      <c r="S5" s="47"/>
      <c r="T5" s="47"/>
      <c r="U5" s="47"/>
      <c r="V5" s="47"/>
      <c r="W5" s="47"/>
      <c r="X5" s="47"/>
      <c r="Y5" s="47"/>
      <c r="Z5" s="47"/>
      <c r="AA5" s="47"/>
      <c r="AB5" s="47"/>
      <c r="AC5" s="103">
        <f>(LN(2))/22.3/365</f>
        <v>8.5158447147852477E-5</v>
      </c>
      <c r="AD5" s="5">
        <v>4.1000000000000002E-2</v>
      </c>
      <c r="AE5" s="106">
        <f>IF(B1=1,AE1,AE2)</f>
        <v>-8.9999999999999998E-4</v>
      </c>
      <c r="AF5" s="106">
        <f>IF(B1=1,AF1,AF2)</f>
        <v>0.15079999999999999</v>
      </c>
      <c r="AG5" s="106">
        <f>IF(B1=1,AG1,AG2)</f>
        <v>2.7E-2</v>
      </c>
      <c r="AH5" s="106">
        <f>IF(B1=1,AH1,AH2)</f>
        <v>1</v>
      </c>
      <c r="AI5" s="106">
        <f>IF(B1=1,AI1,AI2)</f>
        <v>2.41E-2</v>
      </c>
      <c r="AJ5" s="106">
        <f>IF(B1=1,AJ1,AJ2)</f>
        <v>7.3000000000000001E-3</v>
      </c>
      <c r="AK5" s="105" t="s">
        <v>28</v>
      </c>
      <c r="AL5" s="5">
        <v>0.36599999999999999</v>
      </c>
      <c r="AM5" s="106">
        <f t="shared" ref="AM5:AR5" si="0">IF($B$1=1,AM1,AM2)</f>
        <v>-4.0000000000000002E-4</v>
      </c>
      <c r="AN5" s="106">
        <f t="shared" si="0"/>
        <v>3.04E-2</v>
      </c>
      <c r="AO5" s="106">
        <f t="shared" si="0"/>
        <v>5.3E-3</v>
      </c>
      <c r="AP5" s="106">
        <f t="shared" si="0"/>
        <v>1</v>
      </c>
      <c r="AQ5" s="106">
        <f t="shared" si="0"/>
        <v>5.7999999999999996E-3</v>
      </c>
      <c r="AR5" s="106">
        <f t="shared" si="0"/>
        <v>6.3E-3</v>
      </c>
      <c r="AS5" s="105">
        <f>(LN(2)/30.17/365)</f>
        <v>6.294442729191615E-5</v>
      </c>
      <c r="AT5" s="5">
        <v>0.85199999999999998</v>
      </c>
      <c r="AU5" s="106">
        <f t="shared" ref="AU5:AZ5" si="1">IF($B$1=1,AU1,AU2)</f>
        <v>8.9999999999999993E-3</v>
      </c>
      <c r="AV5" s="106">
        <f t="shared" si="1"/>
        <v>0</v>
      </c>
      <c r="AW5" s="106">
        <f t="shared" si="1"/>
        <v>1</v>
      </c>
      <c r="AX5" s="106">
        <f t="shared" si="1"/>
        <v>4.7920000000000003E-3</v>
      </c>
      <c r="AY5" s="106">
        <f t="shared" si="1"/>
        <v>3.7000000000000002E-3</v>
      </c>
      <c r="AZ5" s="106">
        <f t="shared" si="1"/>
        <v>4.1000000000000003E-3</v>
      </c>
      <c r="BA5" s="105">
        <f>LN(2)/53.3</f>
        <v>1.3004637533957699E-2</v>
      </c>
      <c r="BB5" s="106">
        <v>0.10390000000000001</v>
      </c>
      <c r="BC5" s="106">
        <f t="shared" ref="BC5:BH5" si="2">IF($B$1=1,BC1,BC2)</f>
        <v>-1E-4</v>
      </c>
      <c r="BD5" s="106">
        <f t="shared" si="2"/>
        <v>0.02</v>
      </c>
      <c r="BE5" s="106">
        <f t="shared" si="2"/>
        <v>5.7000000000000002E-3</v>
      </c>
      <c r="BF5" s="106">
        <f t="shared" si="2"/>
        <v>1</v>
      </c>
      <c r="BG5" s="106">
        <f t="shared" si="2"/>
        <v>2.0999999999999999E-3</v>
      </c>
      <c r="BH5" s="106">
        <f t="shared" si="2"/>
        <v>5.4000000000000003E-3</v>
      </c>
      <c r="BJ5" s="105">
        <f>LN(2)/24.1</f>
        <v>2.8761293799167854E-2</v>
      </c>
      <c r="BK5" s="5">
        <v>3.9E-2</v>
      </c>
      <c r="BL5" s="106">
        <f t="shared" ref="BL5:BQ5" si="3">IF($B$1=1,BL1,BL2)</f>
        <v>-2E-3</v>
      </c>
      <c r="BM5" s="106">
        <f t="shared" si="3"/>
        <v>0.14879999999999999</v>
      </c>
      <c r="BN5" s="106">
        <f t="shared" si="3"/>
        <v>1.49E-2</v>
      </c>
      <c r="BO5" s="106">
        <f t="shared" si="3"/>
        <v>1</v>
      </c>
      <c r="BP5" s="106">
        <f t="shared" si="3"/>
        <v>2.64E-2</v>
      </c>
      <c r="BQ5" s="106">
        <f t="shared" si="3"/>
        <v>7.7000000000000002E-3</v>
      </c>
      <c r="BR5" s="105"/>
    </row>
    <row r="6" spans="1:70" s="106" customFormat="1">
      <c r="A6" s="148" t="s">
        <v>38</v>
      </c>
      <c r="B6" s="122"/>
      <c r="P6" s="109"/>
      <c r="Q6" s="96"/>
      <c r="R6" s="108"/>
      <c r="AC6" s="105"/>
      <c r="AD6" s="5"/>
      <c r="AK6" s="105"/>
      <c r="AL6" s="5"/>
      <c r="AS6" s="105"/>
      <c r="AT6" s="5"/>
      <c r="BA6" s="105"/>
      <c r="BJ6" s="105"/>
      <c r="BK6" s="5"/>
      <c r="BR6" s="105"/>
    </row>
    <row r="7" spans="1:70" s="106" customFormat="1" ht="19">
      <c r="B7" s="122"/>
      <c r="C7" s="193" t="s">
        <v>92</v>
      </c>
      <c r="D7" s="194"/>
      <c r="E7" s="194"/>
      <c r="F7" s="194"/>
      <c r="G7" s="194"/>
      <c r="H7" s="194"/>
      <c r="I7" s="194"/>
      <c r="J7" s="194"/>
      <c r="K7" s="194"/>
      <c r="L7" s="194"/>
      <c r="P7" s="109"/>
      <c r="Q7" s="96"/>
      <c r="R7" s="108"/>
      <c r="S7" s="72" t="s">
        <v>93</v>
      </c>
      <c r="T7" s="123"/>
      <c r="U7" s="123"/>
      <c r="V7" s="123"/>
      <c r="W7" s="123"/>
      <c r="X7" s="123"/>
      <c r="Y7" s="123"/>
      <c r="Z7" s="123"/>
      <c r="AA7" s="123"/>
      <c r="AB7" s="123"/>
      <c r="AC7" s="103"/>
      <c r="AD7" s="5"/>
      <c r="AK7" s="105"/>
      <c r="AL7" s="5"/>
      <c r="AS7" s="105"/>
      <c r="AT7" s="5"/>
      <c r="BA7" s="105"/>
      <c r="BJ7" s="105"/>
      <c r="BK7" s="5"/>
      <c r="BR7" s="105"/>
    </row>
    <row r="8" spans="1:70" s="79" customFormat="1" ht="60">
      <c r="A8" s="124" t="s">
        <v>90</v>
      </c>
      <c r="B8" s="124" t="s">
        <v>137</v>
      </c>
      <c r="C8" s="124" t="s">
        <v>91</v>
      </c>
      <c r="D8" s="124" t="s">
        <v>57</v>
      </c>
      <c r="E8" s="124" t="s">
        <v>41</v>
      </c>
      <c r="F8" s="124" t="s">
        <v>42</v>
      </c>
      <c r="G8" s="124" t="s">
        <v>5</v>
      </c>
      <c r="H8" s="124" t="s">
        <v>4</v>
      </c>
      <c r="I8" s="124" t="s">
        <v>6</v>
      </c>
      <c r="J8" s="124" t="s">
        <v>7</v>
      </c>
      <c r="K8" s="124" t="s">
        <v>10</v>
      </c>
      <c r="L8" s="124" t="s">
        <v>8</v>
      </c>
      <c r="M8" s="124" t="s">
        <v>44</v>
      </c>
      <c r="N8" s="124" t="s">
        <v>3</v>
      </c>
      <c r="O8" s="124" t="s">
        <v>9</v>
      </c>
      <c r="P8" s="125" t="s">
        <v>11</v>
      </c>
      <c r="Q8" s="126" t="s">
        <v>45</v>
      </c>
      <c r="R8" s="127" t="s">
        <v>155</v>
      </c>
      <c r="S8" s="71" t="s">
        <v>30</v>
      </c>
      <c r="T8" s="128" t="s">
        <v>46</v>
      </c>
      <c r="U8" s="69" t="s">
        <v>31</v>
      </c>
      <c r="V8" s="128" t="s">
        <v>46</v>
      </c>
      <c r="W8" s="69" t="s">
        <v>32</v>
      </c>
      <c r="X8" s="128" t="s">
        <v>46</v>
      </c>
      <c r="Y8" s="69" t="s">
        <v>58</v>
      </c>
      <c r="Z8" s="128" t="s">
        <v>46</v>
      </c>
      <c r="AA8" s="69" t="s">
        <v>59</v>
      </c>
      <c r="AB8" s="128" t="s">
        <v>46</v>
      </c>
      <c r="AC8" s="129" t="s">
        <v>20</v>
      </c>
      <c r="AD8" s="79" t="s">
        <v>21</v>
      </c>
      <c r="AE8" s="79" t="s">
        <v>60</v>
      </c>
      <c r="AF8" s="79" t="s">
        <v>156</v>
      </c>
      <c r="AG8" s="79" t="s">
        <v>158</v>
      </c>
      <c r="AH8" s="79" t="s">
        <v>121</v>
      </c>
      <c r="AI8" s="79" t="s">
        <v>120</v>
      </c>
      <c r="AJ8" s="79" t="s">
        <v>122</v>
      </c>
      <c r="AK8" s="129" t="s">
        <v>24</v>
      </c>
      <c r="AL8" s="79" t="s">
        <v>21</v>
      </c>
      <c r="AM8" s="79" t="s">
        <v>127</v>
      </c>
      <c r="AN8" s="79" t="s">
        <v>158</v>
      </c>
      <c r="AO8" s="79" t="s">
        <v>121</v>
      </c>
      <c r="AP8" s="79" t="s">
        <v>120</v>
      </c>
      <c r="AQ8" s="79" t="s">
        <v>122</v>
      </c>
      <c r="AS8" s="129" t="s">
        <v>119</v>
      </c>
      <c r="AT8" s="79" t="s">
        <v>21</v>
      </c>
      <c r="AU8" s="79" t="s">
        <v>36</v>
      </c>
      <c r="AV8" s="79" t="s">
        <v>26</v>
      </c>
      <c r="AW8" s="79" t="s">
        <v>158</v>
      </c>
      <c r="AX8" s="79" t="s">
        <v>121</v>
      </c>
      <c r="AY8" s="79" t="s">
        <v>120</v>
      </c>
      <c r="AZ8" s="79" t="s">
        <v>122</v>
      </c>
      <c r="BA8" s="129" t="s">
        <v>25</v>
      </c>
      <c r="BB8" s="79" t="s">
        <v>21</v>
      </c>
      <c r="BC8" s="79" t="s">
        <v>125</v>
      </c>
      <c r="BD8" s="79" t="s">
        <v>158</v>
      </c>
      <c r="BE8" s="79" t="s">
        <v>27</v>
      </c>
      <c r="BF8" s="79" t="s">
        <v>141</v>
      </c>
      <c r="BG8" s="79" t="s">
        <v>121</v>
      </c>
      <c r="BH8" s="79" t="s">
        <v>120</v>
      </c>
      <c r="BI8" s="79" t="s">
        <v>122</v>
      </c>
      <c r="BJ8" s="129" t="s">
        <v>23</v>
      </c>
      <c r="BK8" s="79" t="s">
        <v>21</v>
      </c>
      <c r="BL8" s="79" t="s">
        <v>126</v>
      </c>
      <c r="BM8" s="79" t="s">
        <v>48</v>
      </c>
      <c r="BN8" s="79" t="s">
        <v>158</v>
      </c>
      <c r="BO8" s="79" t="s">
        <v>121</v>
      </c>
      <c r="BP8" s="79" t="s">
        <v>120</v>
      </c>
      <c r="BQ8" s="79" t="s">
        <v>122</v>
      </c>
    </row>
    <row r="9" spans="1:70" s="79" customFormat="1" ht="15">
      <c r="A9" s="155" t="s">
        <v>159</v>
      </c>
      <c r="B9" s="139">
        <v>-1</v>
      </c>
      <c r="C9" s="47">
        <v>61.4</v>
      </c>
      <c r="D9" s="47">
        <v>20.2</v>
      </c>
      <c r="E9" s="47">
        <v>25.920200000000001</v>
      </c>
      <c r="F9" s="47">
        <v>40.0411</v>
      </c>
      <c r="G9" s="47">
        <v>14.05</v>
      </c>
      <c r="H9" s="47">
        <v>15.34</v>
      </c>
      <c r="I9" s="47">
        <v>14.95</v>
      </c>
      <c r="J9" s="47">
        <v>14.14</v>
      </c>
      <c r="K9" s="143">
        <f>AVERAGE(G9:J9)</f>
        <v>14.620000000000001</v>
      </c>
      <c r="L9" s="95">
        <f>STDEV(G9:J9)</f>
        <v>0.62785348609368996</v>
      </c>
      <c r="M9" s="10">
        <f>(C9-D9)/((D9/2.54)+(C9-D9))</f>
        <v>0.83820325515827254</v>
      </c>
      <c r="N9" s="96">
        <f>(O9)/(3.14159*(3.17^2)*((K9-2.8)/10))</f>
        <v>0.37842243042601886</v>
      </c>
      <c r="O9" s="97">
        <f>F9-E9</f>
        <v>14.120899999999999</v>
      </c>
      <c r="P9" s="102">
        <v>41928</v>
      </c>
      <c r="Q9" s="142">
        <v>86687.23</v>
      </c>
      <c r="R9" s="108">
        <f t="shared" ref="R9:R72" si="4">P9-$B$2</f>
        <v>1848</v>
      </c>
      <c r="S9" s="2">
        <v>1390</v>
      </c>
      <c r="T9">
        <v>39.18</v>
      </c>
      <c r="U9"/>
      <c r="V9"/>
      <c r="W9" s="2">
        <v>219</v>
      </c>
      <c r="X9">
        <v>17.79</v>
      </c>
      <c r="Y9" s="47"/>
      <c r="Z9" s="47"/>
      <c r="AA9" s="47">
        <v>74.2</v>
      </c>
      <c r="AB9" s="47">
        <v>11.28</v>
      </c>
      <c r="AC9" s="130">
        <f>S9/(Q9/60)</f>
        <v>0.96207942046366013</v>
      </c>
      <c r="AD9" s="96">
        <f>T9/(Q9/60)</f>
        <v>2.7118181074651942E-2</v>
      </c>
      <c r="AE9" s="96">
        <f>(AC9*AI9-$AI$5)/(AJ9*AH9*O9)</f>
        <v>15.342598396617847</v>
      </c>
      <c r="AF9" s="96">
        <f>(AE9*(EXP(0.000085158*R9)))</f>
        <v>17.957451472263465</v>
      </c>
      <c r="AG9" s="96">
        <f>SQRT(AI9^2*AD9^2+$AJ$5^2)/(AJ9*AH9*O9)</f>
        <v>0.44991906032119944</v>
      </c>
      <c r="AH9" s="96">
        <f>$AF$5+$AE$5*(K9-2.8)</f>
        <v>0.14016199999999998</v>
      </c>
      <c r="AI9" s="126">
        <f>$AH$5+$AG$5*(K9-2.8)</f>
        <v>1.31914</v>
      </c>
      <c r="AJ9" s="131">
        <f>$AD$5</f>
        <v>4.1000000000000002E-2</v>
      </c>
      <c r="AK9" s="130">
        <f>W9/(Q9/60)</f>
        <v>0.15157941948312342</v>
      </c>
      <c r="AL9" s="96">
        <f>X9/(Q9/60)</f>
        <v>1.231323229499893E-2</v>
      </c>
      <c r="AM9" s="96">
        <f>(AK9*AP9-$AQ$5)/(AQ9*AO9*O9)</f>
        <v>1.1703051300258245</v>
      </c>
      <c r="AN9" s="96">
        <f>SQRT(AP9^2*AL9^2+$AR$5^2)/(AQ9*AO9*O9)</f>
        <v>0.1094540847582028</v>
      </c>
      <c r="AO9" s="4">
        <f>$AN$5+$AM$5*(K9-2.8)</f>
        <v>2.5672E-2</v>
      </c>
      <c r="AP9" s="6">
        <f>$AP$5+$AO$5*(K9-2.8)</f>
        <v>1.062646</v>
      </c>
      <c r="AQ9" s="5">
        <f t="shared" ref="AQ9:AQ72" si="5">$AL$5</f>
        <v>0.36599999999999999</v>
      </c>
      <c r="AR9" s="4"/>
      <c r="AS9" s="132">
        <f>AA9/(Q9/60)</f>
        <v>5.1357045322592505E-2</v>
      </c>
      <c r="AT9" s="133">
        <f>AB9/(Q9/60)</f>
        <v>7.8073783185827949E-3</v>
      </c>
      <c r="AU9" s="133">
        <f>(AS9*AY9-$AY$5)/(AZ9*AX9*O9)</f>
        <v>0.46699686683106756</v>
      </c>
      <c r="AV9" s="133">
        <f>AU9*EXP((0.0000629444)*(R9))</f>
        <v>0.52460405636580176</v>
      </c>
      <c r="AW9" s="133">
        <f>SQRT(AY9^2*AT9^2+$AY$5^2)/(AZ9*AX9*O9)</f>
        <v>8.3500386417795947E-2</v>
      </c>
      <c r="AX9" s="5">
        <f>$AU$5+$AV$5*(K9-2.8)</f>
        <v>8.9999999999999993E-3</v>
      </c>
      <c r="AY9" s="5">
        <f>$AW$5+$AX$5*(K9-2.8)</f>
        <v>1.0566414399999999</v>
      </c>
      <c r="AZ9" s="5">
        <f>$AT$5</f>
        <v>0.85199999999999998</v>
      </c>
      <c r="BA9" s="134">
        <f>Y9/(Q9/60)</f>
        <v>0</v>
      </c>
      <c r="BB9" s="133">
        <f>Z9/(Q9/60)</f>
        <v>0</v>
      </c>
      <c r="BC9" s="106">
        <f>(BA9*BH9-$BG$5)/(BI9*BG9*O9)</f>
        <v>-7.6062028858586372E-2</v>
      </c>
      <c r="BD9" s="106">
        <f>SQRT(BH9^2*BB9^2+$BH$5^2)/(BI9*BG9*O9)</f>
        <v>0.19558807420779356</v>
      </c>
      <c r="BE9" s="133">
        <f>BC9*EXP(0.01300464*R9)</f>
        <v>-2081529126.6579604</v>
      </c>
      <c r="BF9" s="135">
        <f>BD9*EXP(0.01300464*R9)</f>
        <v>5352503468.5490417</v>
      </c>
      <c r="BG9" s="133">
        <f>$BD$5+$BC$5*(K9-2.8)</f>
        <v>1.8818000000000001E-2</v>
      </c>
      <c r="BH9" s="135">
        <f>$BF$5+$BE$5*(K9-2.8)</f>
        <v>1.067374</v>
      </c>
      <c r="BI9" s="106">
        <f>$BB$5</f>
        <v>0.10390000000000001</v>
      </c>
      <c r="BJ9" s="130">
        <f>U9/(Q9/60)</f>
        <v>0</v>
      </c>
      <c r="BK9" s="96">
        <f>V9/(Q9/60)</f>
        <v>0</v>
      </c>
      <c r="BL9" s="96">
        <f>(BJ9*BP9-$BP$5)/(BQ9*BO9*O9)</f>
        <v>-0.38301112424142308</v>
      </c>
      <c r="BM9" s="135">
        <f>(BL9-$D$3)*EXP($BJ$5*R9)</f>
        <v>-1.6747717682098414E+23</v>
      </c>
      <c r="BN9" s="96">
        <f>SQRT(BP9^2*BK9^2+$BQ$5^2)/(BQ9*BO9*O9)</f>
        <v>0.11171157790374842</v>
      </c>
      <c r="BO9" s="5">
        <f>$BM$5+$BL$5*(K9-2.8)</f>
        <v>0.12515999999999999</v>
      </c>
      <c r="BP9" s="5">
        <f>$BO$5+$BN$5*(K9-2.8)</f>
        <v>1.176118</v>
      </c>
      <c r="BQ9" s="5">
        <f>$BK$5</f>
        <v>3.9E-2</v>
      </c>
    </row>
    <row r="10" spans="1:70" s="79" customFormat="1" ht="15">
      <c r="A10" s="155" t="s">
        <v>160</v>
      </c>
      <c r="B10" s="139">
        <v>-3</v>
      </c>
      <c r="C10" s="47">
        <v>93.7</v>
      </c>
      <c r="D10" s="47">
        <v>29.9</v>
      </c>
      <c r="E10" s="47">
        <v>25.668299999999999</v>
      </c>
      <c r="F10" s="47">
        <v>46.2027</v>
      </c>
      <c r="G10" s="47">
        <v>19.559999999999999</v>
      </c>
      <c r="H10" s="47">
        <v>19.28</v>
      </c>
      <c r="I10" s="47">
        <v>19.010000000000002</v>
      </c>
      <c r="J10" s="47">
        <v>18.8</v>
      </c>
      <c r="K10" s="143">
        <f t="shared" ref="K10:K73" si="6">AVERAGE(G10:J10)</f>
        <v>19.162500000000001</v>
      </c>
      <c r="L10" s="95">
        <f t="shared" ref="L10:L73" si="7">STDEV(G10:J10)</f>
        <v>0.32988634406413281</v>
      </c>
      <c r="M10" s="10">
        <f t="shared" ref="M10:M73" si="8">(C10-D10)/((D10/2.54)+(C10-D10))</f>
        <v>0.84423189130615983</v>
      </c>
      <c r="N10" s="96">
        <f t="shared" ref="N10:N73" si="9">(O10)/(3.14159*(3.17^2)*((K10-2.8)/10))</f>
        <v>0.39752489153619558</v>
      </c>
      <c r="O10" s="97">
        <f t="shared" ref="O10:O73" si="10">F10-E10</f>
        <v>20.534400000000002</v>
      </c>
      <c r="P10" s="102">
        <v>41929</v>
      </c>
      <c r="Q10" s="142">
        <v>87785.62</v>
      </c>
      <c r="R10" s="108">
        <f t="shared" si="4"/>
        <v>1849</v>
      </c>
      <c r="S10" s="2">
        <v>1330</v>
      </c>
      <c r="T10">
        <v>38.979999999999997</v>
      </c>
      <c r="U10"/>
      <c r="V10"/>
      <c r="W10" s="2">
        <v>313</v>
      </c>
      <c r="X10">
        <v>20.84</v>
      </c>
      <c r="Y10" s="47"/>
      <c r="Z10" s="47"/>
      <c r="AA10" s="47">
        <v>124</v>
      </c>
      <c r="AB10" s="47">
        <v>13.15</v>
      </c>
      <c r="AC10" s="130">
        <f t="shared" ref="AC10:AC31" si="11">S10/(Q10/60)</f>
        <v>0.90903270945742598</v>
      </c>
      <c r="AD10" s="96">
        <f t="shared" ref="AD10:AD31" si="12">T10/(Q10/60)</f>
        <v>2.6642176702744706E-2</v>
      </c>
      <c r="AE10" s="96">
        <f t="shared" ref="AE10:AE31" si="13">(AC10*AI10-$AI$5)/(AJ10*AH10*O10)</f>
        <v>11.230015722134542</v>
      </c>
      <c r="AF10" s="96">
        <f t="shared" ref="AF10:AF31" si="14">(AE10*(EXP(0.000085158*R10)))</f>
        <v>13.145076932382757</v>
      </c>
      <c r="AG10" s="96">
        <f t="shared" ref="AG10:AG31" si="15">SQRT(AI10^2*AD10^2+$AJ$5^2)/(AJ10*AH10*O10)</f>
        <v>0.34129898372068618</v>
      </c>
      <c r="AH10" s="96">
        <f t="shared" ref="AH10:AH31" si="16">$AF$5+$AE$5*(K10-2.8)</f>
        <v>0.13607374999999999</v>
      </c>
      <c r="AI10" s="126">
        <f t="shared" ref="AI10:AI31" si="17">$AH$5+$AG$5*(K10-2.8)</f>
        <v>1.4417875</v>
      </c>
      <c r="AJ10" s="131">
        <f t="shared" ref="AJ10:AJ73" si="18">$AD$5</f>
        <v>4.1000000000000002E-2</v>
      </c>
      <c r="AK10" s="130">
        <f t="shared" ref="AK10:AK31" si="19">W10/(Q10/60)</f>
        <v>0.2139302541805822</v>
      </c>
      <c r="AL10" s="96">
        <f t="shared" ref="AL10:AL31" si="20">X10/(Q10/60)</f>
        <v>1.4243790725633651E-2</v>
      </c>
      <c r="AM10" s="96">
        <f t="shared" ref="AM10:AM31" si="21">(AK10*AP10-$AQ$5)/(AQ10*AO10*O10)</f>
        <v>1.2643740440701399</v>
      </c>
      <c r="AN10" s="96">
        <f t="shared" ref="AN10:AN31" si="22">SQRT(AP10^2*AL10^2+$AR$5^2)/(AQ10*AO10*O10)</f>
        <v>9.3214925773126608E-2</v>
      </c>
      <c r="AO10" s="4">
        <f t="shared" ref="AO10:AO31" si="23">$AN$5+$AM$5*(K10-2.8)</f>
        <v>2.3855000000000001E-2</v>
      </c>
      <c r="AP10" s="6">
        <f t="shared" ref="AP10:AP31" si="24">$AP$5+$AO$5*(K10-2.8)</f>
        <v>1.0867212500000001</v>
      </c>
      <c r="AQ10" s="5">
        <f t="shared" si="5"/>
        <v>0.36599999999999999</v>
      </c>
      <c r="AR10" s="4"/>
      <c r="AS10" s="132">
        <f t="shared" ref="AS10:AS31" si="25">AA10/(Q10/60)</f>
        <v>8.4751921784000608E-2</v>
      </c>
      <c r="AT10" s="133">
        <f t="shared" ref="AT10:AT31" si="26">AB10/(Q10/60)</f>
        <v>8.9878046085452266E-3</v>
      </c>
      <c r="AU10" s="133">
        <f t="shared" ref="AU10:AU31" si="27">(AS10*AY10-$AY$5)/(AZ10*AX10*O10)</f>
        <v>0.55695719919282649</v>
      </c>
      <c r="AV10" s="133">
        <f t="shared" ref="AV10:AV31" si="28">AU10*EXP((0.0000629444)*(R10))</f>
        <v>0.6257009810394969</v>
      </c>
      <c r="AW10" s="133">
        <f t="shared" ref="AW10:AW31" si="29">SQRT(AY10^2*AT10^2+$AY$5^2)/(AZ10*AX10*O10)</f>
        <v>6.5889001271007427E-2</v>
      </c>
      <c r="AX10" s="5">
        <f t="shared" ref="AX10:AX31" si="30">$AU$5+$AV$5*(K10-2.8)</f>
        <v>8.9999999999999993E-3</v>
      </c>
      <c r="AY10" s="5">
        <f t="shared" ref="AY10:AY31" si="31">$AW$5+$AX$5*(K10-2.8)</f>
        <v>1.0784091</v>
      </c>
      <c r="AZ10" s="5">
        <f t="shared" ref="AZ10:AZ73" si="32">$AT$5</f>
        <v>0.85199999999999998</v>
      </c>
      <c r="BA10" s="134">
        <f t="shared" ref="BA10:BA31" si="33">Y10/(Q10/60)</f>
        <v>0</v>
      </c>
      <c r="BB10" s="133">
        <f t="shared" ref="BB10:BB31" si="34">Z10/(Q10/60)</f>
        <v>0</v>
      </c>
      <c r="BC10" s="106">
        <f t="shared" ref="BC10:BC31" si="35">(BA10*BH10-$BG$5)/(BI10*BG10*O10)</f>
        <v>-5.3599453027395133E-2</v>
      </c>
      <c r="BD10" s="106">
        <f t="shared" ref="BD10:BD31" si="36">SQRT(BH10^2*BB10^2+$BH$5^2)/(BI10*BG10*O10)</f>
        <v>0.13782716492758751</v>
      </c>
      <c r="BE10" s="133">
        <f t="shared" ref="BE10:BE31" si="37">BC10*EXP(0.01300464*R10)</f>
        <v>-1486013613.438817</v>
      </c>
      <c r="BF10" s="135">
        <f t="shared" ref="BF10:BF31" si="38">BD10*EXP(0.01300464*R10)</f>
        <v>3821177863.128387</v>
      </c>
      <c r="BG10" s="133">
        <f t="shared" ref="BG10:BG31" si="39">$BD$5+$BC$5*(K10-2.8)</f>
        <v>1.8363750000000002E-2</v>
      </c>
      <c r="BH10" s="135">
        <f t="shared" ref="BH10:BH31" si="40">$BF$5+$BE$5*(K10-2.8)</f>
        <v>1.0932662500000001</v>
      </c>
      <c r="BI10" s="106">
        <f t="shared" ref="BI10:BI73" si="41">$BB$5</f>
        <v>0.10390000000000001</v>
      </c>
      <c r="BJ10" s="130">
        <f t="shared" ref="BJ10:BJ31" si="42">U10/(Q10/60)</f>
        <v>0</v>
      </c>
      <c r="BK10" s="96">
        <f t="shared" ref="BK10:BK31" si="43">V10/(Q10/60)</f>
        <v>0</v>
      </c>
      <c r="BL10" s="96">
        <f t="shared" ref="BL10:BL31" si="44">(BJ10*BP10-$BP$5)/(BQ10*BO10*O10)</f>
        <v>-0.28400017646221876</v>
      </c>
      <c r="BM10" s="135">
        <f t="shared" ref="BM10:BM31" si="45">(BL10-$D$3)*EXP($BJ$5*R10)</f>
        <v>-1.6002429132409248E+23</v>
      </c>
      <c r="BN10" s="96">
        <f t="shared" ref="BN10:BN31" si="46">SQRT(BP10^2*BK10^2+$BQ$5^2)/(BQ10*BO10*O10)</f>
        <v>8.2833384801480475E-2</v>
      </c>
      <c r="BO10" s="5">
        <f t="shared" ref="BO10:BO31" si="47">$BM$5+$BL$5*(K10-2.8)</f>
        <v>0.11607499999999998</v>
      </c>
      <c r="BP10" s="5">
        <f t="shared" ref="BP10:BP31" si="48">$BO$5+$BN$5*(K10-2.8)</f>
        <v>1.24380125</v>
      </c>
      <c r="BQ10" s="5">
        <f t="shared" ref="BQ10:BQ73" si="49">$BK$5</f>
        <v>3.9E-2</v>
      </c>
    </row>
    <row r="11" spans="1:70" s="79" customFormat="1" ht="15">
      <c r="A11" s="155" t="s">
        <v>161</v>
      </c>
      <c r="B11" s="139">
        <v>-5</v>
      </c>
      <c r="C11" s="47">
        <v>86</v>
      </c>
      <c r="D11" s="47">
        <v>30.8</v>
      </c>
      <c r="E11" s="47">
        <v>26.135000000000002</v>
      </c>
      <c r="F11" s="47">
        <v>46.834400000000002</v>
      </c>
      <c r="G11" s="47">
        <v>16.88</v>
      </c>
      <c r="H11" s="47">
        <v>17.149999999999999</v>
      </c>
      <c r="I11" s="47">
        <v>15.97</v>
      </c>
      <c r="J11" s="47">
        <v>17.170000000000002</v>
      </c>
      <c r="K11" s="143">
        <f t="shared" si="6"/>
        <v>16.7925</v>
      </c>
      <c r="L11" s="95">
        <f t="shared" si="7"/>
        <v>0.56405525734038953</v>
      </c>
      <c r="M11" s="10">
        <f t="shared" si="8"/>
        <v>0.81989146706586824</v>
      </c>
      <c r="N11" s="96">
        <f t="shared" si="9"/>
        <v>0.46859150506168601</v>
      </c>
      <c r="O11" s="97">
        <f t="shared" si="10"/>
        <v>20.699400000000001</v>
      </c>
      <c r="P11" s="102">
        <v>41930</v>
      </c>
      <c r="Q11" s="142">
        <v>89967.34</v>
      </c>
      <c r="R11" s="108">
        <f t="shared" si="4"/>
        <v>1850</v>
      </c>
      <c r="S11" s="2">
        <v>1160</v>
      </c>
      <c r="T11">
        <v>36.92</v>
      </c>
      <c r="U11"/>
      <c r="V11"/>
      <c r="W11" s="2">
        <v>295</v>
      </c>
      <c r="X11">
        <v>20.399999999999999</v>
      </c>
      <c r="Y11" s="47"/>
      <c r="Z11" s="47"/>
      <c r="AA11" s="47">
        <v>155</v>
      </c>
      <c r="AB11" s="47">
        <v>15.15</v>
      </c>
      <c r="AC11" s="130">
        <f t="shared" si="11"/>
        <v>0.77361406928336451</v>
      </c>
      <c r="AD11" s="96">
        <f t="shared" si="12"/>
        <v>2.4622268480984325E-2</v>
      </c>
      <c r="AE11" s="96">
        <f t="shared" si="13"/>
        <v>8.8819151353259667</v>
      </c>
      <c r="AF11" s="96">
        <f t="shared" si="14"/>
        <v>10.397438753796347</v>
      </c>
      <c r="AG11" s="96">
        <f t="shared" si="15"/>
        <v>0.29584997452365241</v>
      </c>
      <c r="AH11" s="96">
        <f t="shared" si="16"/>
        <v>0.13820674999999999</v>
      </c>
      <c r="AI11" s="126">
        <f t="shared" si="17"/>
        <v>1.3777975</v>
      </c>
      <c r="AJ11" s="131">
        <f t="shared" si="18"/>
        <v>4.1000000000000002E-2</v>
      </c>
      <c r="AK11" s="130">
        <f t="shared" si="19"/>
        <v>0.19673806072292457</v>
      </c>
      <c r="AL11" s="96">
        <f t="shared" si="20"/>
        <v>1.3604937080500546E-2</v>
      </c>
      <c r="AM11" s="96">
        <f t="shared" si="21"/>
        <v>1.0937759567439094</v>
      </c>
      <c r="AN11" s="96">
        <f t="shared" si="22"/>
        <v>8.4690840510323204E-2</v>
      </c>
      <c r="AO11" s="4">
        <f t="shared" si="23"/>
        <v>2.4802999999999999E-2</v>
      </c>
      <c r="AP11" s="6">
        <f t="shared" si="24"/>
        <v>1.07416025</v>
      </c>
      <c r="AQ11" s="5">
        <f t="shared" si="5"/>
        <v>0.36599999999999999</v>
      </c>
      <c r="AR11" s="4"/>
      <c r="AS11" s="132">
        <f t="shared" si="25"/>
        <v>0.1033708454645875</v>
      </c>
      <c r="AT11" s="133">
        <f t="shared" si="26"/>
        <v>1.0103666508312906E-2</v>
      </c>
      <c r="AU11" s="133">
        <f t="shared" si="27"/>
        <v>0.67162335725905153</v>
      </c>
      <c r="AV11" s="133">
        <f t="shared" si="28"/>
        <v>0.75456757975712241</v>
      </c>
      <c r="AW11" s="133">
        <f t="shared" si="29"/>
        <v>7.1812998149201265E-2</v>
      </c>
      <c r="AX11" s="5">
        <f t="shared" si="30"/>
        <v>8.9999999999999993E-3</v>
      </c>
      <c r="AY11" s="5">
        <f t="shared" si="31"/>
        <v>1.06705206</v>
      </c>
      <c r="AZ11" s="5">
        <f t="shared" si="32"/>
        <v>0.85199999999999998</v>
      </c>
      <c r="BA11" s="134">
        <f t="shared" si="33"/>
        <v>0</v>
      </c>
      <c r="BB11" s="133">
        <f t="shared" si="34"/>
        <v>0</v>
      </c>
      <c r="BC11" s="106">
        <f t="shared" si="35"/>
        <v>-5.2494709220013598E-2</v>
      </c>
      <c r="BD11" s="106">
        <f t="shared" si="36"/>
        <v>0.13498639513717783</v>
      </c>
      <c r="BE11" s="133">
        <f t="shared" si="37"/>
        <v>-1474435599.0150771</v>
      </c>
      <c r="BF11" s="135">
        <f t="shared" si="38"/>
        <v>3791405826.0387697</v>
      </c>
      <c r="BG11" s="133">
        <f t="shared" si="39"/>
        <v>1.8600749999999999E-2</v>
      </c>
      <c r="BH11" s="135">
        <f t="shared" si="40"/>
        <v>1.0797572500000001</v>
      </c>
      <c r="BI11" s="106">
        <f t="shared" si="41"/>
        <v>0.10390000000000001</v>
      </c>
      <c r="BJ11" s="130">
        <f t="shared" si="42"/>
        <v>0</v>
      </c>
      <c r="BK11" s="96">
        <f t="shared" si="43"/>
        <v>0</v>
      </c>
      <c r="BL11" s="96">
        <f t="shared" si="44"/>
        <v>-0.27068282761965012</v>
      </c>
      <c r="BM11" s="135">
        <f t="shared" si="45"/>
        <v>-1.6298545946834053E+23</v>
      </c>
      <c r="BN11" s="96">
        <f t="shared" si="46"/>
        <v>7.8949158055731286E-2</v>
      </c>
      <c r="BO11" s="5">
        <f t="shared" si="47"/>
        <v>0.12081499999999999</v>
      </c>
      <c r="BP11" s="5">
        <f t="shared" si="48"/>
        <v>1.20848825</v>
      </c>
      <c r="BQ11" s="5">
        <f t="shared" si="49"/>
        <v>3.9E-2</v>
      </c>
    </row>
    <row r="12" spans="1:70" s="79" customFormat="1" ht="15">
      <c r="A12" s="155" t="s">
        <v>162</v>
      </c>
      <c r="B12" s="139">
        <v>-7</v>
      </c>
      <c r="C12" s="47">
        <v>85.7</v>
      </c>
      <c r="D12" s="47">
        <v>29.8</v>
      </c>
      <c r="E12" s="47">
        <v>25.3796</v>
      </c>
      <c r="F12" s="47">
        <v>48.100900000000003</v>
      </c>
      <c r="G12" s="47">
        <v>18.170000000000002</v>
      </c>
      <c r="H12" s="47">
        <v>18.670000000000002</v>
      </c>
      <c r="I12" s="47">
        <v>18.8</v>
      </c>
      <c r="J12" s="47">
        <v>17.55</v>
      </c>
      <c r="K12" s="143">
        <f t="shared" si="6"/>
        <v>18.297499999999999</v>
      </c>
      <c r="L12" s="95">
        <f t="shared" si="7"/>
        <v>0.56753120325376549</v>
      </c>
      <c r="M12" s="10">
        <f t="shared" si="8"/>
        <v>0.82652835504639488</v>
      </c>
      <c r="N12" s="96">
        <f t="shared" si="9"/>
        <v>0.46441207229103559</v>
      </c>
      <c r="O12" s="97">
        <f t="shared" si="10"/>
        <v>22.721300000000003</v>
      </c>
      <c r="P12" s="102">
        <v>41931</v>
      </c>
      <c r="Q12" s="142">
        <v>88771.12</v>
      </c>
      <c r="R12" s="108">
        <f t="shared" si="4"/>
        <v>1851</v>
      </c>
      <c r="S12" s="2">
        <v>1090</v>
      </c>
      <c r="T12">
        <v>36.1</v>
      </c>
      <c r="U12"/>
      <c r="V12"/>
      <c r="W12" s="2">
        <v>313</v>
      </c>
      <c r="X12">
        <v>20.74</v>
      </c>
      <c r="Y12" s="47"/>
      <c r="Z12" s="47"/>
      <c r="AA12" s="47">
        <v>295</v>
      </c>
      <c r="AB12" s="47">
        <v>19.440000000000001</v>
      </c>
      <c r="AC12" s="130">
        <f t="shared" si="11"/>
        <v>0.73672608839451392</v>
      </c>
      <c r="AD12" s="96">
        <f t="shared" si="12"/>
        <v>2.4399827331231149E-2</v>
      </c>
      <c r="AE12" s="96">
        <f t="shared" si="13"/>
        <v>8.0077890544949319</v>
      </c>
      <c r="AF12" s="96">
        <f t="shared" si="14"/>
        <v>9.3749586184963789</v>
      </c>
      <c r="AG12" s="96">
        <f t="shared" si="15"/>
        <v>0.27744597864540615</v>
      </c>
      <c r="AH12" s="96">
        <f t="shared" si="16"/>
        <v>0.13685224999999998</v>
      </c>
      <c r="AI12" s="126">
        <f t="shared" si="17"/>
        <v>1.4184325</v>
      </c>
      <c r="AJ12" s="131">
        <f t="shared" si="18"/>
        <v>4.1000000000000002E-2</v>
      </c>
      <c r="AK12" s="130">
        <f t="shared" si="19"/>
        <v>0.21155528960319528</v>
      </c>
      <c r="AL12" s="96">
        <f t="shared" si="20"/>
        <v>1.4018072544313961E-2</v>
      </c>
      <c r="AM12" s="96">
        <f t="shared" si="21"/>
        <v>1.108699382079904</v>
      </c>
      <c r="AN12" s="96">
        <f t="shared" si="22"/>
        <v>8.1616074978154013E-2</v>
      </c>
      <c r="AO12" s="4">
        <f t="shared" si="23"/>
        <v>2.4201E-2</v>
      </c>
      <c r="AP12" s="6">
        <f t="shared" si="24"/>
        <v>1.0821367500000001</v>
      </c>
      <c r="AQ12" s="5">
        <f t="shared" si="5"/>
        <v>0.36599999999999999</v>
      </c>
      <c r="AR12" s="4"/>
      <c r="AS12" s="132">
        <f t="shared" si="25"/>
        <v>0.19938917071227671</v>
      </c>
      <c r="AT12" s="133">
        <f t="shared" si="26"/>
        <v>1.3139408402192066E-2</v>
      </c>
      <c r="AU12" s="133">
        <f t="shared" si="27"/>
        <v>1.2081749589854827</v>
      </c>
      <c r="AV12" s="133">
        <f t="shared" si="28"/>
        <v>1.3574677383051816</v>
      </c>
      <c r="AW12" s="133">
        <f t="shared" si="29"/>
        <v>8.3753278029987874E-2</v>
      </c>
      <c r="AX12" s="5">
        <f t="shared" si="30"/>
        <v>8.9999999999999993E-3</v>
      </c>
      <c r="AY12" s="5">
        <f t="shared" si="31"/>
        <v>1.07426402</v>
      </c>
      <c r="AZ12" s="5">
        <f t="shared" si="32"/>
        <v>0.85199999999999998</v>
      </c>
      <c r="BA12" s="134">
        <f t="shared" si="33"/>
        <v>0</v>
      </c>
      <c r="BB12" s="133">
        <f t="shared" si="34"/>
        <v>0</v>
      </c>
      <c r="BC12" s="106">
        <f t="shared" si="35"/>
        <v>-4.8213461848872173E-2</v>
      </c>
      <c r="BD12" s="106">
        <f t="shared" si="36"/>
        <v>0.12397747332567133</v>
      </c>
      <c r="BE12" s="133">
        <f t="shared" si="37"/>
        <v>-1371912562.8940051</v>
      </c>
      <c r="BF12" s="135">
        <f t="shared" si="38"/>
        <v>3527775161.7274423</v>
      </c>
      <c r="BG12" s="133">
        <f t="shared" si="39"/>
        <v>1.8450250000000001E-2</v>
      </c>
      <c r="BH12" s="135">
        <f t="shared" si="40"/>
        <v>1.0883357499999999</v>
      </c>
      <c r="BI12" s="106">
        <f t="shared" si="41"/>
        <v>0.10390000000000001</v>
      </c>
      <c r="BJ12" s="130">
        <f t="shared" si="42"/>
        <v>0</v>
      </c>
      <c r="BK12" s="96">
        <f t="shared" si="43"/>
        <v>0</v>
      </c>
      <c r="BL12" s="96">
        <f t="shared" si="44"/>
        <v>-0.25289626789286623</v>
      </c>
      <c r="BM12" s="135">
        <f t="shared" si="45"/>
        <v>-1.653932141551655E+23</v>
      </c>
      <c r="BN12" s="96">
        <f t="shared" si="46"/>
        <v>7.3761411468752647E-2</v>
      </c>
      <c r="BO12" s="5">
        <f t="shared" si="47"/>
        <v>0.11780499999999999</v>
      </c>
      <c r="BP12" s="5">
        <f t="shared" si="48"/>
        <v>1.2309127499999999</v>
      </c>
      <c r="BQ12" s="5">
        <f t="shared" si="49"/>
        <v>3.9E-2</v>
      </c>
    </row>
    <row r="13" spans="1:70" s="79" customFormat="1" ht="15">
      <c r="A13" s="155" t="s">
        <v>163</v>
      </c>
      <c r="B13" s="139">
        <v>-9</v>
      </c>
      <c r="C13" s="47">
        <v>74.7</v>
      </c>
      <c r="D13" s="47">
        <v>26.4</v>
      </c>
      <c r="E13" s="47">
        <v>25.261500000000002</v>
      </c>
      <c r="F13" s="47">
        <v>45.934600000000003</v>
      </c>
      <c r="G13" s="47">
        <v>15.88</v>
      </c>
      <c r="H13" s="47">
        <v>16.28</v>
      </c>
      <c r="I13" s="47">
        <v>16.43</v>
      </c>
      <c r="J13" s="47">
        <v>17.010000000000002</v>
      </c>
      <c r="K13" s="143">
        <f t="shared" si="6"/>
        <v>16.400000000000002</v>
      </c>
      <c r="L13" s="95">
        <f t="shared" si="7"/>
        <v>0.46825918748772771</v>
      </c>
      <c r="M13" s="10">
        <f t="shared" si="8"/>
        <v>0.82291624743429792</v>
      </c>
      <c r="N13" s="96">
        <f t="shared" si="9"/>
        <v>0.48150263347092498</v>
      </c>
      <c r="O13" s="97">
        <f t="shared" si="10"/>
        <v>20.673100000000002</v>
      </c>
      <c r="P13" s="102">
        <v>41932</v>
      </c>
      <c r="Q13" s="142">
        <v>94427.47</v>
      </c>
      <c r="R13" s="108">
        <f t="shared" si="4"/>
        <v>1852</v>
      </c>
      <c r="S13" s="2">
        <v>834</v>
      </c>
      <c r="T13">
        <v>32.44</v>
      </c>
      <c r="U13"/>
      <c r="V13"/>
      <c r="W13" s="2">
        <v>337</v>
      </c>
      <c r="X13">
        <v>21.97</v>
      </c>
      <c r="Y13" s="47"/>
      <c r="Z13" s="47"/>
      <c r="AA13" s="47">
        <v>603</v>
      </c>
      <c r="AB13" s="47">
        <v>26.28</v>
      </c>
      <c r="AC13" s="130">
        <f t="shared" si="11"/>
        <v>0.52993053822155778</v>
      </c>
      <c r="AD13" s="96">
        <f t="shared" si="12"/>
        <v>2.061264587518865E-2</v>
      </c>
      <c r="AE13" s="96">
        <f t="shared" si="13"/>
        <v>5.9639204444297214</v>
      </c>
      <c r="AF13" s="96">
        <f t="shared" si="14"/>
        <v>6.9827349977492945</v>
      </c>
      <c r="AG13" s="96">
        <f t="shared" si="15"/>
        <v>0.2478795798925002</v>
      </c>
      <c r="AH13" s="96">
        <f t="shared" si="16"/>
        <v>0.13855999999999999</v>
      </c>
      <c r="AI13" s="126">
        <f t="shared" si="17"/>
        <v>1.3672</v>
      </c>
      <c r="AJ13" s="131">
        <f t="shared" si="18"/>
        <v>4.1000000000000002E-2</v>
      </c>
      <c r="AK13" s="130">
        <f t="shared" si="19"/>
        <v>0.21413260357393882</v>
      </c>
      <c r="AL13" s="96">
        <f t="shared" si="20"/>
        <v>1.3959920773054704E-2</v>
      </c>
      <c r="AM13" s="96">
        <f t="shared" si="21"/>
        <v>1.1848552963797503</v>
      </c>
      <c r="AN13" s="96">
        <f t="shared" si="22"/>
        <v>8.5981255676464377E-2</v>
      </c>
      <c r="AO13" s="4">
        <f t="shared" si="23"/>
        <v>2.496E-2</v>
      </c>
      <c r="AP13" s="6">
        <f t="shared" si="24"/>
        <v>1.0720799999999999</v>
      </c>
      <c r="AQ13" s="5">
        <f t="shared" si="5"/>
        <v>0.36599999999999999</v>
      </c>
      <c r="AR13" s="4"/>
      <c r="AS13" s="132">
        <f t="shared" si="25"/>
        <v>0.38315121648393208</v>
      </c>
      <c r="AT13" s="133">
        <f t="shared" si="26"/>
        <v>1.6698530628851967E-2</v>
      </c>
      <c r="AU13" s="133">
        <f t="shared" si="27"/>
        <v>2.5512127547925543</v>
      </c>
      <c r="AV13" s="133">
        <f t="shared" si="28"/>
        <v>2.8666435913443897</v>
      </c>
      <c r="AW13" s="133">
        <f t="shared" si="29"/>
        <v>0.11460637149853665</v>
      </c>
      <c r="AX13" s="5">
        <f t="shared" si="30"/>
        <v>8.9999999999999993E-3</v>
      </c>
      <c r="AY13" s="5">
        <f t="shared" si="31"/>
        <v>1.0651712</v>
      </c>
      <c r="AZ13" s="5">
        <f t="shared" si="32"/>
        <v>0.85199999999999998</v>
      </c>
      <c r="BA13" s="134">
        <f t="shared" si="33"/>
        <v>0</v>
      </c>
      <c r="BB13" s="133">
        <f t="shared" si="34"/>
        <v>0</v>
      </c>
      <c r="BC13" s="106">
        <f t="shared" si="35"/>
        <v>-5.2450814147278799E-2</v>
      </c>
      <c r="BD13" s="106">
        <f t="shared" si="36"/>
        <v>0.13487352209300263</v>
      </c>
      <c r="BE13" s="133">
        <f t="shared" si="37"/>
        <v>-1512022292.1644955</v>
      </c>
      <c r="BF13" s="135">
        <f t="shared" si="38"/>
        <v>3888057322.7087026</v>
      </c>
      <c r="BG13" s="133">
        <f t="shared" si="39"/>
        <v>1.864E-2</v>
      </c>
      <c r="BH13" s="135">
        <f t="shared" si="40"/>
        <v>1.07752</v>
      </c>
      <c r="BI13" s="106">
        <f t="shared" si="41"/>
        <v>0.10390000000000001</v>
      </c>
      <c r="BJ13" s="130">
        <f t="shared" si="42"/>
        <v>0</v>
      </c>
      <c r="BK13" s="96">
        <f t="shared" si="43"/>
        <v>0</v>
      </c>
      <c r="BL13" s="96">
        <f t="shared" si="44"/>
        <v>-0.26927754518834618</v>
      </c>
      <c r="BM13" s="135">
        <f t="shared" si="45"/>
        <v>-1.7244477490481561E+23</v>
      </c>
      <c r="BN13" s="96">
        <f t="shared" si="46"/>
        <v>7.8539284013267638E-2</v>
      </c>
      <c r="BO13" s="5">
        <f t="shared" si="47"/>
        <v>0.12159999999999999</v>
      </c>
      <c r="BP13" s="5">
        <f t="shared" si="48"/>
        <v>1.2026399999999999</v>
      </c>
      <c r="BQ13" s="5">
        <f t="shared" si="49"/>
        <v>3.9E-2</v>
      </c>
    </row>
    <row r="14" spans="1:70" s="79" customFormat="1" ht="15">
      <c r="A14" s="155" t="s">
        <v>164</v>
      </c>
      <c r="B14" s="139">
        <v>-11</v>
      </c>
      <c r="C14" s="47">
        <v>80.2</v>
      </c>
      <c r="D14" s="79">
        <v>30.2</v>
      </c>
      <c r="E14" s="47">
        <v>25.724399999999999</v>
      </c>
      <c r="F14" s="47">
        <v>50.419899999999998</v>
      </c>
      <c r="G14" s="47">
        <v>17.739999999999998</v>
      </c>
      <c r="H14" s="47">
        <v>17.78</v>
      </c>
      <c r="I14" s="47">
        <v>17.559999999999999</v>
      </c>
      <c r="J14" s="47">
        <v>16.52</v>
      </c>
      <c r="K14" s="143">
        <f t="shared" si="6"/>
        <v>17.399999999999999</v>
      </c>
      <c r="L14" s="95">
        <f t="shared" si="7"/>
        <v>0.59441848333756697</v>
      </c>
      <c r="M14" s="10">
        <f t="shared" si="8"/>
        <v>0.80788804071246823</v>
      </c>
      <c r="N14" s="96">
        <f t="shared" si="9"/>
        <v>0.53579287925943042</v>
      </c>
      <c r="O14" s="97">
        <f t="shared" si="10"/>
        <v>24.695499999999999</v>
      </c>
      <c r="P14" s="102">
        <v>41940</v>
      </c>
      <c r="Q14" s="142">
        <v>91085.95</v>
      </c>
      <c r="R14" s="108">
        <f t="shared" si="4"/>
        <v>1860</v>
      </c>
      <c r="S14" s="2">
        <v>606</v>
      </c>
      <c r="T14">
        <v>29.28</v>
      </c>
      <c r="U14"/>
      <c r="V14"/>
      <c r="W14" s="2">
        <v>331</v>
      </c>
      <c r="X14">
        <v>22.01</v>
      </c>
      <c r="Y14" s="47"/>
      <c r="Z14" s="47"/>
      <c r="AA14" s="47">
        <v>1500</v>
      </c>
      <c r="AB14" s="47">
        <v>39.950000000000003</v>
      </c>
      <c r="AC14" s="130">
        <f t="shared" si="11"/>
        <v>0.39918340863766588</v>
      </c>
      <c r="AD14" s="96">
        <f t="shared" si="12"/>
        <v>1.92872775658595E-2</v>
      </c>
      <c r="AE14" s="96">
        <f t="shared" si="13"/>
        <v>3.8199920540748145</v>
      </c>
      <c r="AF14" s="96">
        <f t="shared" si="14"/>
        <v>4.4756080631576562</v>
      </c>
      <c r="AG14" s="96">
        <f t="shared" si="15"/>
        <v>0.19990679980531628</v>
      </c>
      <c r="AH14" s="96">
        <f t="shared" si="16"/>
        <v>0.13766</v>
      </c>
      <c r="AI14" s="126">
        <f t="shared" si="17"/>
        <v>1.3941999999999999</v>
      </c>
      <c r="AJ14" s="131">
        <f t="shared" si="18"/>
        <v>4.1000000000000002E-2</v>
      </c>
      <c r="AK14" s="130">
        <f t="shared" si="19"/>
        <v>0.21803582220968218</v>
      </c>
      <c r="AL14" s="96">
        <f t="shared" si="20"/>
        <v>1.4498394099199714E-2</v>
      </c>
      <c r="AM14" s="96">
        <f t="shared" si="21"/>
        <v>1.0320765490280768</v>
      </c>
      <c r="AN14" s="96">
        <f t="shared" si="22"/>
        <v>7.5873390735725285E-2</v>
      </c>
      <c r="AO14" s="4">
        <f t="shared" si="23"/>
        <v>2.4559999999999998E-2</v>
      </c>
      <c r="AP14" s="6">
        <f t="shared" si="24"/>
        <v>1.07738</v>
      </c>
      <c r="AQ14" s="5">
        <f t="shared" si="5"/>
        <v>0.36599999999999999</v>
      </c>
      <c r="AR14" s="4"/>
      <c r="AS14" s="132">
        <f t="shared" si="25"/>
        <v>0.98807774415263827</v>
      </c>
      <c r="AT14" s="133">
        <f t="shared" si="26"/>
        <v>2.6315803919265267E-2</v>
      </c>
      <c r="AU14" s="133">
        <f t="shared" si="27"/>
        <v>5.5633633566191358</v>
      </c>
      <c r="AV14" s="133">
        <f t="shared" si="28"/>
        <v>6.2543638094611227</v>
      </c>
      <c r="AW14" s="133">
        <f t="shared" si="29"/>
        <v>0.14996957662449359</v>
      </c>
      <c r="AX14" s="5">
        <f t="shared" si="30"/>
        <v>8.9999999999999993E-3</v>
      </c>
      <c r="AY14" s="5">
        <f t="shared" si="31"/>
        <v>1.0699631999999999</v>
      </c>
      <c r="AZ14" s="5">
        <f t="shared" si="32"/>
        <v>0.85199999999999998</v>
      </c>
      <c r="BA14" s="134">
        <f t="shared" si="33"/>
        <v>0</v>
      </c>
      <c r="BB14" s="133">
        <f t="shared" si="34"/>
        <v>0</v>
      </c>
      <c r="BC14" s="106">
        <f t="shared" si="35"/>
        <v>-4.4144458489674479E-2</v>
      </c>
      <c r="BD14" s="106">
        <f t="shared" si="36"/>
        <v>0.11351432183059154</v>
      </c>
      <c r="BE14" s="133">
        <f t="shared" si="37"/>
        <v>-1412098206.1087794</v>
      </c>
      <c r="BF14" s="135">
        <f t="shared" si="38"/>
        <v>3631109672.8511477</v>
      </c>
      <c r="BG14" s="133">
        <f t="shared" si="39"/>
        <v>1.8540000000000001E-2</v>
      </c>
      <c r="BH14" s="135">
        <f t="shared" si="40"/>
        <v>1.0832200000000001</v>
      </c>
      <c r="BI14" s="106">
        <f t="shared" si="41"/>
        <v>0.10390000000000001</v>
      </c>
      <c r="BJ14" s="130">
        <f t="shared" si="42"/>
        <v>0</v>
      </c>
      <c r="BK14" s="96">
        <f t="shared" si="43"/>
        <v>0</v>
      </c>
      <c r="BL14" s="96">
        <f t="shared" si="44"/>
        <v>-0.22918717772538993</v>
      </c>
      <c r="BM14" s="135">
        <f t="shared" si="45"/>
        <v>-2.1020276939400073E+23</v>
      </c>
      <c r="BN14" s="96">
        <f t="shared" si="46"/>
        <v>6.68462601699054E-2</v>
      </c>
      <c r="BO14" s="5">
        <f t="shared" si="47"/>
        <v>0.11959999999999998</v>
      </c>
      <c r="BP14" s="5">
        <f t="shared" si="48"/>
        <v>1.2175400000000001</v>
      </c>
      <c r="BQ14" s="5">
        <f t="shared" si="49"/>
        <v>3.9E-2</v>
      </c>
    </row>
    <row r="15" spans="1:70" s="79" customFormat="1" ht="15">
      <c r="A15" s="155" t="s">
        <v>165</v>
      </c>
      <c r="B15" s="139">
        <v>-13</v>
      </c>
      <c r="C15" s="47">
        <v>73.2</v>
      </c>
      <c r="D15" s="47">
        <v>23.9</v>
      </c>
      <c r="E15" s="47">
        <v>25.6554</v>
      </c>
      <c r="F15" s="47">
        <v>44.273099999999999</v>
      </c>
      <c r="G15" s="47">
        <v>16.29</v>
      </c>
      <c r="H15" s="47">
        <v>15.49</v>
      </c>
      <c r="I15" s="47">
        <v>14.81</v>
      </c>
      <c r="J15" s="47">
        <v>15.81</v>
      </c>
      <c r="K15" s="143">
        <f t="shared" si="6"/>
        <v>15.600000000000001</v>
      </c>
      <c r="L15" s="95">
        <f t="shared" si="7"/>
        <v>0.62085961913033616</v>
      </c>
      <c r="M15" s="10">
        <f t="shared" si="8"/>
        <v>0.83972854441329925</v>
      </c>
      <c r="N15" s="96">
        <f t="shared" si="9"/>
        <v>0.46073162964769993</v>
      </c>
      <c r="O15" s="97">
        <f t="shared" si="10"/>
        <v>18.617699999999999</v>
      </c>
      <c r="P15" s="102">
        <v>41941</v>
      </c>
      <c r="Q15" s="142">
        <v>96986.880000000005</v>
      </c>
      <c r="R15" s="108">
        <f t="shared" si="4"/>
        <v>1861</v>
      </c>
      <c r="S15" s="2">
        <v>374</v>
      </c>
      <c r="T15">
        <v>23.97</v>
      </c>
      <c r="U15"/>
      <c r="V15"/>
      <c r="W15" s="2">
        <v>251</v>
      </c>
      <c r="X15">
        <v>20.12</v>
      </c>
      <c r="Y15" s="47"/>
      <c r="Z15" s="47"/>
      <c r="AA15" s="47">
        <v>1140</v>
      </c>
      <c r="AB15" s="47">
        <v>35.299999999999997</v>
      </c>
      <c r="AC15" s="130">
        <f t="shared" si="11"/>
        <v>0.23137150097002809</v>
      </c>
      <c r="AD15" s="96">
        <f t="shared" si="12"/>
        <v>1.4828809834897254E-2</v>
      </c>
      <c r="AE15" s="96">
        <f t="shared" si="13"/>
        <v>2.7016957208711916</v>
      </c>
      <c r="AF15" s="96">
        <f t="shared" si="14"/>
        <v>3.1656508005342197</v>
      </c>
      <c r="AG15" s="96">
        <f t="shared" si="15"/>
        <v>0.19984828157664578</v>
      </c>
      <c r="AH15" s="96">
        <f t="shared" si="16"/>
        <v>0.13927999999999999</v>
      </c>
      <c r="AI15" s="126">
        <f t="shared" si="17"/>
        <v>1.3456000000000001</v>
      </c>
      <c r="AJ15" s="131">
        <f t="shared" si="18"/>
        <v>4.1000000000000002E-2</v>
      </c>
      <c r="AK15" s="130">
        <f t="shared" si="19"/>
        <v>0.15527873460822741</v>
      </c>
      <c r="AL15" s="96">
        <f t="shared" si="20"/>
        <v>1.2447044383735202E-2</v>
      </c>
      <c r="AM15" s="96">
        <f t="shared" si="21"/>
        <v>0.92890363251903918</v>
      </c>
      <c r="AN15" s="96">
        <f t="shared" si="22"/>
        <v>8.5388025217215793E-2</v>
      </c>
      <c r="AO15" s="4">
        <f t="shared" si="23"/>
        <v>2.528E-2</v>
      </c>
      <c r="AP15" s="6">
        <f t="shared" si="24"/>
        <v>1.0678399999999999</v>
      </c>
      <c r="AQ15" s="5">
        <f t="shared" si="5"/>
        <v>0.36599999999999999</v>
      </c>
      <c r="AR15" s="4"/>
      <c r="AS15" s="132">
        <f t="shared" si="25"/>
        <v>0.70525002969473805</v>
      </c>
      <c r="AT15" s="133">
        <f t="shared" si="26"/>
        <v>2.183800530545987E-2</v>
      </c>
      <c r="AU15" s="133">
        <f t="shared" si="27"/>
        <v>5.2171871826627436</v>
      </c>
      <c r="AV15" s="133">
        <f t="shared" si="28"/>
        <v>5.8655598354493508</v>
      </c>
      <c r="AW15" s="133">
        <f t="shared" si="29"/>
        <v>0.16440796910827313</v>
      </c>
      <c r="AX15" s="5">
        <f t="shared" si="30"/>
        <v>8.9999999999999993E-3</v>
      </c>
      <c r="AY15" s="5">
        <f t="shared" si="31"/>
        <v>1.0613376000000001</v>
      </c>
      <c r="AZ15" s="5">
        <f t="shared" si="32"/>
        <v>0.85199999999999998</v>
      </c>
      <c r="BA15" s="134">
        <f t="shared" si="33"/>
        <v>0</v>
      </c>
      <c r="BB15" s="133">
        <f t="shared" si="34"/>
        <v>0</v>
      </c>
      <c r="BC15" s="106">
        <f t="shared" si="35"/>
        <v>-5.7992505832472327E-2</v>
      </c>
      <c r="BD15" s="106">
        <f t="shared" si="36"/>
        <v>0.14912358642635742</v>
      </c>
      <c r="BE15" s="133">
        <f t="shared" si="37"/>
        <v>-1879353277.7904859</v>
      </c>
      <c r="BF15" s="135">
        <f t="shared" si="38"/>
        <v>4832622714.3183928</v>
      </c>
      <c r="BG15" s="133">
        <f t="shared" si="39"/>
        <v>1.8720000000000001E-2</v>
      </c>
      <c r="BH15" s="135">
        <f t="shared" si="40"/>
        <v>1.0729599999999999</v>
      </c>
      <c r="BI15" s="106">
        <f t="shared" si="41"/>
        <v>0.10390000000000001</v>
      </c>
      <c r="BJ15" s="130">
        <f t="shared" si="42"/>
        <v>0</v>
      </c>
      <c r="BK15" s="96">
        <f t="shared" si="43"/>
        <v>0</v>
      </c>
      <c r="BL15" s="96">
        <f t="shared" si="44"/>
        <v>-0.29512267866092456</v>
      </c>
      <c r="BM15" s="135">
        <f t="shared" si="45"/>
        <v>-2.2794086484479257E+23</v>
      </c>
      <c r="BN15" s="96">
        <f t="shared" si="46"/>
        <v>8.6077447942769669E-2</v>
      </c>
      <c r="BO15" s="5">
        <f t="shared" si="47"/>
        <v>0.12319999999999999</v>
      </c>
      <c r="BP15" s="5">
        <f t="shared" si="48"/>
        <v>1.19072</v>
      </c>
      <c r="BQ15" s="5">
        <f t="shared" si="49"/>
        <v>3.9E-2</v>
      </c>
    </row>
    <row r="16" spans="1:70" s="79" customFormat="1" ht="15">
      <c r="A16" s="155" t="s">
        <v>166</v>
      </c>
      <c r="B16" s="139">
        <v>-15</v>
      </c>
      <c r="C16" s="47">
        <v>89.2</v>
      </c>
      <c r="D16" s="47">
        <v>30.1</v>
      </c>
      <c r="E16" s="47">
        <v>25.809200000000001</v>
      </c>
      <c r="F16" s="47">
        <v>50.698</v>
      </c>
      <c r="G16" s="47">
        <v>19.989999999999998</v>
      </c>
      <c r="H16" s="47">
        <v>20.27</v>
      </c>
      <c r="I16" s="47">
        <v>19.649999999999999</v>
      </c>
      <c r="J16" s="47">
        <v>19.739999999999998</v>
      </c>
      <c r="K16" s="143">
        <f t="shared" si="6"/>
        <v>19.912499999999998</v>
      </c>
      <c r="L16" s="95">
        <f t="shared" si="7"/>
        <v>0.27837325063063606</v>
      </c>
      <c r="M16" s="10">
        <f t="shared" si="8"/>
        <v>0.83297635033904138</v>
      </c>
      <c r="N16" s="96">
        <f t="shared" si="9"/>
        <v>0.46070451282740793</v>
      </c>
      <c r="O16" s="97">
        <f t="shared" si="10"/>
        <v>24.8888</v>
      </c>
      <c r="P16" s="102">
        <v>41942</v>
      </c>
      <c r="Q16" s="142">
        <v>88513.04</v>
      </c>
      <c r="R16" s="108">
        <f t="shared" si="4"/>
        <v>1862</v>
      </c>
      <c r="S16" s="2">
        <v>276</v>
      </c>
      <c r="T16">
        <v>21.47</v>
      </c>
      <c r="U16"/>
      <c r="V16"/>
      <c r="W16" s="2">
        <v>278</v>
      </c>
      <c r="X16">
        <v>20.02</v>
      </c>
      <c r="Y16" s="47"/>
      <c r="Z16" s="47"/>
      <c r="AA16" s="47">
        <v>194</v>
      </c>
      <c r="AB16" s="47">
        <v>16.329999999999998</v>
      </c>
      <c r="AC16" s="130">
        <f t="shared" si="11"/>
        <v>0.1870910772017321</v>
      </c>
      <c r="AD16" s="96">
        <f t="shared" si="12"/>
        <v>1.4553787780873869E-2</v>
      </c>
      <c r="AE16" s="96">
        <f t="shared" si="13"/>
        <v>1.8053170304321622</v>
      </c>
      <c r="AF16" s="96">
        <f t="shared" si="14"/>
        <v>2.1155195077766629</v>
      </c>
      <c r="AG16" s="96">
        <f t="shared" si="15"/>
        <v>0.16281511269253102</v>
      </c>
      <c r="AH16" s="96">
        <f t="shared" si="16"/>
        <v>0.13539874999999998</v>
      </c>
      <c r="AI16" s="126">
        <f t="shared" si="17"/>
        <v>1.4620374999999999</v>
      </c>
      <c r="AJ16" s="131">
        <f t="shared" si="18"/>
        <v>4.1000000000000002E-2</v>
      </c>
      <c r="AK16" s="130">
        <f t="shared" si="19"/>
        <v>0.1884468096452229</v>
      </c>
      <c r="AL16" s="96">
        <f t="shared" si="20"/>
        <v>1.3570881759343031E-2</v>
      </c>
      <c r="AM16" s="96">
        <f t="shared" si="21"/>
        <v>0.93087859091808922</v>
      </c>
      <c r="AN16" s="96">
        <f t="shared" si="22"/>
        <v>7.4971762017213089E-2</v>
      </c>
      <c r="AO16" s="4">
        <f t="shared" si="23"/>
        <v>2.3555E-2</v>
      </c>
      <c r="AP16" s="6">
        <f t="shared" si="24"/>
        <v>1.0906962499999999</v>
      </c>
      <c r="AQ16" s="5">
        <f t="shared" si="5"/>
        <v>0.36599999999999999</v>
      </c>
      <c r="AR16" s="4"/>
      <c r="AS16" s="132">
        <f t="shared" si="25"/>
        <v>0.1315060470186088</v>
      </c>
      <c r="AT16" s="133">
        <f t="shared" si="26"/>
        <v>1.1069555401102481E-2</v>
      </c>
      <c r="AU16" s="133">
        <f t="shared" si="27"/>
        <v>0.72618233101084262</v>
      </c>
      <c r="AV16" s="133">
        <f t="shared" si="28"/>
        <v>0.81648096623984945</v>
      </c>
      <c r="AW16" s="133">
        <f t="shared" si="29"/>
        <v>6.5684815881484018E-2</v>
      </c>
      <c r="AX16" s="5">
        <f t="shared" si="30"/>
        <v>8.9999999999999993E-3</v>
      </c>
      <c r="AY16" s="5">
        <f t="shared" si="31"/>
        <v>1.0820031000000001</v>
      </c>
      <c r="AZ16" s="5">
        <f t="shared" si="32"/>
        <v>0.85199999999999998</v>
      </c>
      <c r="BA16" s="134">
        <f t="shared" si="33"/>
        <v>0</v>
      </c>
      <c r="BB16" s="133">
        <f t="shared" si="34"/>
        <v>0</v>
      </c>
      <c r="BC16" s="106">
        <f t="shared" si="35"/>
        <v>-4.4403353008414796E-2</v>
      </c>
      <c r="BD16" s="106">
        <f t="shared" si="36"/>
        <v>0.11418005059306663</v>
      </c>
      <c r="BE16" s="133">
        <f t="shared" si="37"/>
        <v>-1457807433.1951332</v>
      </c>
      <c r="BF16" s="135">
        <f t="shared" si="38"/>
        <v>3748647685.3589144</v>
      </c>
      <c r="BG16" s="133">
        <f t="shared" si="39"/>
        <v>1.8288749999999999E-2</v>
      </c>
      <c r="BH16" s="135">
        <f t="shared" si="40"/>
        <v>1.0975412499999999</v>
      </c>
      <c r="BI16" s="106">
        <f t="shared" si="41"/>
        <v>0.10390000000000001</v>
      </c>
      <c r="BJ16" s="130">
        <f t="shared" si="42"/>
        <v>0</v>
      </c>
      <c r="BK16" s="96">
        <f t="shared" si="43"/>
        <v>0</v>
      </c>
      <c r="BL16" s="96">
        <f t="shared" si="44"/>
        <v>-0.23738074914385307</v>
      </c>
      <c r="BM16" s="135">
        <f t="shared" si="45"/>
        <v>-2.2413284804000707E+23</v>
      </c>
      <c r="BN16" s="96">
        <f t="shared" si="46"/>
        <v>6.9236051833623816E-2</v>
      </c>
      <c r="BO16" s="5">
        <f t="shared" si="47"/>
        <v>0.11457499999999998</v>
      </c>
      <c r="BP16" s="5">
        <f t="shared" si="48"/>
        <v>1.2549762499999999</v>
      </c>
      <c r="BQ16" s="5">
        <f t="shared" si="49"/>
        <v>3.9E-2</v>
      </c>
    </row>
    <row r="17" spans="1:69" s="79" customFormat="1" ht="15">
      <c r="A17" s="155" t="s">
        <v>167</v>
      </c>
      <c r="B17" s="139">
        <v>-17</v>
      </c>
      <c r="C17" s="47">
        <v>94.2</v>
      </c>
      <c r="D17" s="47">
        <v>31.2</v>
      </c>
      <c r="E17" s="47">
        <v>25.734500000000001</v>
      </c>
      <c r="F17" s="47">
        <v>48.230600000000003</v>
      </c>
      <c r="G17" s="47">
        <v>19.760000000000002</v>
      </c>
      <c r="H17" s="47">
        <v>20.21</v>
      </c>
      <c r="I17" s="47">
        <v>19.91</v>
      </c>
      <c r="J17" s="47">
        <v>18.920000000000002</v>
      </c>
      <c r="K17" s="143">
        <f t="shared" si="6"/>
        <v>19.7</v>
      </c>
      <c r="L17" s="95">
        <f t="shared" si="7"/>
        <v>0.55263007518592355</v>
      </c>
      <c r="M17" s="10">
        <f t="shared" si="8"/>
        <v>0.83683715092563549</v>
      </c>
      <c r="N17" s="96">
        <f t="shared" si="9"/>
        <v>0.42165038282296802</v>
      </c>
      <c r="O17" s="97">
        <f t="shared" si="10"/>
        <v>22.496100000000002</v>
      </c>
      <c r="P17" s="102">
        <v>41943</v>
      </c>
      <c r="Q17" s="142">
        <v>91794.58</v>
      </c>
      <c r="R17" s="108">
        <f t="shared" si="4"/>
        <v>1863</v>
      </c>
      <c r="S17" s="2">
        <v>275</v>
      </c>
      <c r="T17">
        <v>21.14</v>
      </c>
      <c r="U17"/>
      <c r="V17"/>
      <c r="W17" s="2">
        <v>294</v>
      </c>
      <c r="X17">
        <v>19.97</v>
      </c>
      <c r="Y17" s="47"/>
      <c r="Z17" s="47"/>
      <c r="AA17" s="47">
        <v>90.6</v>
      </c>
      <c r="AB17" s="47">
        <v>12.59</v>
      </c>
      <c r="AC17" s="130">
        <f t="shared" si="11"/>
        <v>0.17974917473341018</v>
      </c>
      <c r="AD17" s="96">
        <f t="shared" si="12"/>
        <v>1.3817809286779241E-2</v>
      </c>
      <c r="AE17" s="96">
        <f t="shared" si="13"/>
        <v>1.9004361444194653</v>
      </c>
      <c r="AF17" s="96">
        <f t="shared" si="14"/>
        <v>2.2271723213464067</v>
      </c>
      <c r="AG17" s="96">
        <f t="shared" si="15"/>
        <v>0.17116632582218022</v>
      </c>
      <c r="AH17" s="96">
        <f t="shared" si="16"/>
        <v>0.13558999999999999</v>
      </c>
      <c r="AI17" s="126">
        <f t="shared" si="17"/>
        <v>1.4562999999999999</v>
      </c>
      <c r="AJ17" s="131">
        <f t="shared" si="18"/>
        <v>4.1000000000000002E-2</v>
      </c>
      <c r="AK17" s="130">
        <f t="shared" si="19"/>
        <v>0.19216820862408215</v>
      </c>
      <c r="AL17" s="96">
        <f t="shared" si="20"/>
        <v>1.3053058252458914E-2</v>
      </c>
      <c r="AM17" s="96">
        <f t="shared" si="21"/>
        <v>1.0459257230857961</v>
      </c>
      <c r="AN17" s="96">
        <f t="shared" si="22"/>
        <v>7.991667334601428E-2</v>
      </c>
      <c r="AO17" s="4">
        <f t="shared" si="23"/>
        <v>2.3640000000000001E-2</v>
      </c>
      <c r="AP17" s="6">
        <f t="shared" si="24"/>
        <v>1.0895699999999999</v>
      </c>
      <c r="AQ17" s="5">
        <f t="shared" si="5"/>
        <v>0.36599999999999999</v>
      </c>
      <c r="AR17" s="4"/>
      <c r="AS17" s="132">
        <f t="shared" si="25"/>
        <v>5.9219182657625317E-2</v>
      </c>
      <c r="AT17" s="133">
        <f t="shared" si="26"/>
        <v>8.2292440359768518E-3</v>
      </c>
      <c r="AU17" s="133">
        <f t="shared" si="27"/>
        <v>0.34965219231471728</v>
      </c>
      <c r="AV17" s="133">
        <f t="shared" si="28"/>
        <v>0.39315515930947925</v>
      </c>
      <c r="AW17" s="133">
        <f t="shared" si="29"/>
        <v>5.5852043857386451E-2</v>
      </c>
      <c r="AX17" s="5">
        <f t="shared" si="30"/>
        <v>8.9999999999999993E-3</v>
      </c>
      <c r="AY17" s="5">
        <f t="shared" si="31"/>
        <v>1.0809848</v>
      </c>
      <c r="AZ17" s="5">
        <f t="shared" si="32"/>
        <v>0.85199999999999998</v>
      </c>
      <c r="BA17" s="134">
        <f t="shared" si="33"/>
        <v>0</v>
      </c>
      <c r="BB17" s="133">
        <f t="shared" si="34"/>
        <v>0</v>
      </c>
      <c r="BC17" s="106">
        <f t="shared" si="35"/>
        <v>-4.9069108648952663E-2</v>
      </c>
      <c r="BD17" s="106">
        <f t="shared" si="36"/>
        <v>0.12617770795444971</v>
      </c>
      <c r="BE17" s="133">
        <f t="shared" si="37"/>
        <v>-1632076106.142617</v>
      </c>
      <c r="BF17" s="135">
        <f t="shared" si="38"/>
        <v>4196767130.0810156</v>
      </c>
      <c r="BG17" s="133">
        <f t="shared" si="39"/>
        <v>1.831E-2</v>
      </c>
      <c r="BH17" s="135">
        <f t="shared" si="40"/>
        <v>1.09633</v>
      </c>
      <c r="BI17" s="106">
        <f t="shared" si="41"/>
        <v>0.10390000000000001</v>
      </c>
      <c r="BJ17" s="130">
        <f t="shared" si="42"/>
        <v>0</v>
      </c>
      <c r="BK17" s="96">
        <f t="shared" si="43"/>
        <v>0</v>
      </c>
      <c r="BL17" s="96">
        <f t="shared" si="44"/>
        <v>-0.26165813742906818</v>
      </c>
      <c r="BM17" s="135">
        <f t="shared" si="45"/>
        <v>-2.3519859276844298E+23</v>
      </c>
      <c r="BN17" s="96">
        <f t="shared" si="46"/>
        <v>7.6316956750144882E-2</v>
      </c>
      <c r="BO17" s="5">
        <f t="shared" si="47"/>
        <v>0.11499999999999999</v>
      </c>
      <c r="BP17" s="5">
        <f t="shared" si="48"/>
        <v>1.2518099999999999</v>
      </c>
      <c r="BQ17" s="5">
        <f t="shared" si="49"/>
        <v>3.9E-2</v>
      </c>
    </row>
    <row r="18" spans="1:69" s="79" customFormat="1" ht="15">
      <c r="A18" s="157" t="s">
        <v>168</v>
      </c>
      <c r="B18" s="139">
        <v>-19</v>
      </c>
      <c r="C18" s="47">
        <v>93.6</v>
      </c>
      <c r="D18" s="47">
        <v>29.1</v>
      </c>
      <c r="E18" s="47">
        <v>25.3583</v>
      </c>
      <c r="F18" s="47">
        <v>41.841200000000001</v>
      </c>
      <c r="G18" s="47">
        <v>17.78</v>
      </c>
      <c r="H18" s="47">
        <v>16.98</v>
      </c>
      <c r="I18" s="47">
        <v>17.5</v>
      </c>
      <c r="J18" s="47">
        <v>17.489999999999998</v>
      </c>
      <c r="K18" s="143">
        <f t="shared" si="6"/>
        <v>17.4375</v>
      </c>
      <c r="L18" s="95">
        <f t="shared" si="7"/>
        <v>0.33330416539051344</v>
      </c>
      <c r="M18" s="10">
        <f t="shared" si="8"/>
        <v>0.84916809205411292</v>
      </c>
      <c r="N18" s="96">
        <f t="shared" si="9"/>
        <v>0.35669636652891207</v>
      </c>
      <c r="O18" s="97">
        <f t="shared" si="10"/>
        <v>16.482900000000001</v>
      </c>
      <c r="P18" s="102">
        <v>41944</v>
      </c>
      <c r="Q18" s="142">
        <v>87902.69</v>
      </c>
      <c r="R18" s="108">
        <f t="shared" si="4"/>
        <v>1864</v>
      </c>
      <c r="S18" s="2">
        <v>224</v>
      </c>
      <c r="T18">
        <v>19.18</v>
      </c>
      <c r="U18"/>
      <c r="V18"/>
      <c r="W18" s="2">
        <v>204</v>
      </c>
      <c r="X18">
        <v>17.600000000000001</v>
      </c>
      <c r="Y18" s="47"/>
      <c r="Z18" s="47"/>
      <c r="AA18" s="47">
        <v>45.3</v>
      </c>
      <c r="AB18" s="47">
        <v>9.3800000000000008</v>
      </c>
      <c r="AC18" s="130">
        <f t="shared" si="11"/>
        <v>0.15289634481038067</v>
      </c>
      <c r="AD18" s="96">
        <f t="shared" si="12"/>
        <v>1.3091749524388843E-2</v>
      </c>
      <c r="AE18" s="96">
        <f t="shared" si="13"/>
        <v>2.0344869925031248</v>
      </c>
      <c r="AF18" s="96">
        <f t="shared" si="14"/>
        <v>2.3844731702858137</v>
      </c>
      <c r="AG18" s="96">
        <f t="shared" si="15"/>
        <v>0.21149328050912658</v>
      </c>
      <c r="AH18" s="96">
        <f t="shared" si="16"/>
        <v>0.13762624999999998</v>
      </c>
      <c r="AI18" s="126">
        <f t="shared" si="17"/>
        <v>1.3952125</v>
      </c>
      <c r="AJ18" s="131">
        <f t="shared" si="18"/>
        <v>4.1000000000000002E-2</v>
      </c>
      <c r="AK18" s="130">
        <f t="shared" si="19"/>
        <v>0.13924488545231095</v>
      </c>
      <c r="AL18" s="96">
        <f t="shared" si="20"/>
        <v>1.2013284235101339E-2</v>
      </c>
      <c r="AM18" s="96">
        <f t="shared" si="21"/>
        <v>0.97415942423111224</v>
      </c>
      <c r="AN18" s="96">
        <f t="shared" si="22"/>
        <v>9.7227745997914394E-2</v>
      </c>
      <c r="AO18" s="4">
        <f t="shared" si="23"/>
        <v>2.4545000000000001E-2</v>
      </c>
      <c r="AP18" s="6">
        <f t="shared" si="24"/>
        <v>1.07757875</v>
      </c>
      <c r="AQ18" s="5">
        <f t="shared" si="5"/>
        <v>0.36599999999999999</v>
      </c>
      <c r="AR18" s="4"/>
      <c r="AS18" s="132">
        <f t="shared" si="25"/>
        <v>3.0920555446027873E-2</v>
      </c>
      <c r="AT18" s="133">
        <f t="shared" si="26"/>
        <v>6.4025344389346903E-3</v>
      </c>
      <c r="AU18" s="133">
        <f t="shared" si="27"/>
        <v>0.23252796029034173</v>
      </c>
      <c r="AV18" s="133">
        <f t="shared" si="28"/>
        <v>0.26147504237720581</v>
      </c>
      <c r="AW18" s="133">
        <f t="shared" si="29"/>
        <v>6.1609148832780618E-2</v>
      </c>
      <c r="AX18" s="5">
        <f t="shared" si="30"/>
        <v>8.9999999999999993E-3</v>
      </c>
      <c r="AY18" s="5">
        <f t="shared" si="31"/>
        <v>1.0701429</v>
      </c>
      <c r="AZ18" s="5">
        <f t="shared" si="32"/>
        <v>0.85199999999999998</v>
      </c>
      <c r="BA18" s="134">
        <f t="shared" si="33"/>
        <v>0</v>
      </c>
      <c r="BB18" s="133">
        <f t="shared" si="34"/>
        <v>0</v>
      </c>
      <c r="BC18" s="106">
        <f t="shared" si="35"/>
        <v>-6.6152802163182534E-2</v>
      </c>
      <c r="BD18" s="106">
        <f t="shared" si="36"/>
        <v>0.17010720556246939</v>
      </c>
      <c r="BE18" s="133">
        <f t="shared" si="37"/>
        <v>-2229093709.296916</v>
      </c>
      <c r="BF18" s="135">
        <f t="shared" si="38"/>
        <v>5731955252.4777842</v>
      </c>
      <c r="BG18" s="133">
        <f t="shared" si="39"/>
        <v>1.8536250000000001E-2</v>
      </c>
      <c r="BH18" s="135">
        <f t="shared" si="40"/>
        <v>1.08343375</v>
      </c>
      <c r="BI18" s="106">
        <f t="shared" si="41"/>
        <v>0.10390000000000001</v>
      </c>
      <c r="BJ18" s="130">
        <f t="shared" si="42"/>
        <v>0</v>
      </c>
      <c r="BK18" s="96">
        <f t="shared" si="43"/>
        <v>0</v>
      </c>
      <c r="BL18" s="96">
        <f t="shared" si="44"/>
        <v>-0.34359508569290576</v>
      </c>
      <c r="BM18" s="135">
        <f t="shared" si="45"/>
        <v>-2.5778183075478741E+23</v>
      </c>
      <c r="BN18" s="96">
        <f t="shared" si="46"/>
        <v>0.10021523332709752</v>
      </c>
      <c r="BO18" s="5">
        <f t="shared" si="47"/>
        <v>0.11952499999999999</v>
      </c>
      <c r="BP18" s="5">
        <f t="shared" si="48"/>
        <v>1.21809875</v>
      </c>
      <c r="BQ18" s="5">
        <f t="shared" si="49"/>
        <v>3.9E-2</v>
      </c>
    </row>
    <row r="19" spans="1:69" s="79" customFormat="1" ht="15">
      <c r="A19" s="157" t="s">
        <v>169</v>
      </c>
      <c r="B19" s="139">
        <v>-21</v>
      </c>
      <c r="C19" s="47">
        <v>90.1</v>
      </c>
      <c r="D19" s="47">
        <v>29.8</v>
      </c>
      <c r="E19" s="47">
        <v>25.3904</v>
      </c>
      <c r="F19" s="47">
        <v>44.695799999999998</v>
      </c>
      <c r="G19" s="47">
        <v>16.920000000000002</v>
      </c>
      <c r="H19" s="47">
        <v>16.79</v>
      </c>
      <c r="I19" s="47">
        <v>17.73</v>
      </c>
      <c r="J19" s="47">
        <v>16.760000000000002</v>
      </c>
      <c r="K19" s="143">
        <f t="shared" si="6"/>
        <v>17.05</v>
      </c>
      <c r="L19" s="95">
        <f t="shared" si="7"/>
        <v>0.4586211217697384</v>
      </c>
      <c r="M19" s="10">
        <f t="shared" si="8"/>
        <v>0.83712464883418414</v>
      </c>
      <c r="N19" s="96">
        <f t="shared" si="9"/>
        <v>0.42913694959930715</v>
      </c>
      <c r="O19" s="97">
        <f t="shared" si="10"/>
        <v>19.305399999999999</v>
      </c>
      <c r="P19" s="102">
        <v>41947</v>
      </c>
      <c r="Q19" s="142">
        <v>232646.36</v>
      </c>
      <c r="R19" s="108">
        <f t="shared" si="4"/>
        <v>1867</v>
      </c>
      <c r="S19" s="2">
        <v>603</v>
      </c>
      <c r="T19">
        <v>32.5</v>
      </c>
      <c r="U19"/>
      <c r="V19"/>
      <c r="W19" s="2">
        <v>600</v>
      </c>
      <c r="X19">
        <v>29.63</v>
      </c>
      <c r="Y19" s="47"/>
      <c r="Z19" s="47"/>
      <c r="AA19" s="47">
        <v>68.5</v>
      </c>
      <c r="AB19" s="47">
        <v>14.51</v>
      </c>
      <c r="AC19" s="130">
        <f t="shared" si="11"/>
        <v>0.15551500569362015</v>
      </c>
      <c r="AD19" s="96">
        <f t="shared" si="12"/>
        <v>8.3818203732050657E-3</v>
      </c>
      <c r="AE19" s="96">
        <f t="shared" si="13"/>
        <v>1.7512051542573133</v>
      </c>
      <c r="AF19" s="96">
        <f t="shared" si="14"/>
        <v>2.0529836960770385</v>
      </c>
      <c r="AG19" s="96">
        <f t="shared" si="15"/>
        <v>0.12555178356500582</v>
      </c>
      <c r="AH19" s="96">
        <f t="shared" si="16"/>
        <v>0.13797499999999999</v>
      </c>
      <c r="AI19" s="126">
        <f t="shared" si="17"/>
        <v>1.3847499999999999</v>
      </c>
      <c r="AJ19" s="131">
        <f t="shared" si="18"/>
        <v>4.1000000000000002E-2</v>
      </c>
      <c r="AK19" s="130">
        <f t="shared" si="19"/>
        <v>0.15474129919763199</v>
      </c>
      <c r="AL19" s="96">
        <f t="shared" si="20"/>
        <v>7.6416411587097253E-3</v>
      </c>
      <c r="AM19" s="96">
        <f t="shared" si="21"/>
        <v>0.92037492065321613</v>
      </c>
      <c r="AN19" s="96">
        <f t="shared" si="22"/>
        <v>5.9335974334988932E-2</v>
      </c>
      <c r="AO19" s="4">
        <f t="shared" si="23"/>
        <v>2.47E-2</v>
      </c>
      <c r="AP19" s="6">
        <f t="shared" si="24"/>
        <v>1.0755250000000001</v>
      </c>
      <c r="AQ19" s="5">
        <f t="shared" si="5"/>
        <v>0.36599999999999999</v>
      </c>
      <c r="AR19" s="4"/>
      <c r="AS19" s="132">
        <f t="shared" si="25"/>
        <v>1.7666298325062984E-2</v>
      </c>
      <c r="AT19" s="133">
        <f t="shared" si="26"/>
        <v>3.7421604189293999E-3</v>
      </c>
      <c r="AU19" s="133">
        <f t="shared" si="27"/>
        <v>0.10249455485522524</v>
      </c>
      <c r="AV19" s="133">
        <f t="shared" si="28"/>
        <v>0.11527572514092954</v>
      </c>
      <c r="AW19" s="133">
        <f t="shared" si="29"/>
        <v>3.6796750798921772E-2</v>
      </c>
      <c r="AX19" s="5">
        <f t="shared" si="30"/>
        <v>8.9999999999999993E-3</v>
      </c>
      <c r="AY19" s="5">
        <f t="shared" si="31"/>
        <v>1.0682860000000001</v>
      </c>
      <c r="AZ19" s="5">
        <f t="shared" si="32"/>
        <v>0.85199999999999998</v>
      </c>
      <c r="BA19" s="134">
        <f t="shared" si="33"/>
        <v>0</v>
      </c>
      <c r="BB19" s="133">
        <f t="shared" si="34"/>
        <v>0</v>
      </c>
      <c r="BC19" s="106">
        <f t="shared" si="35"/>
        <v>-5.636326206646123E-2</v>
      </c>
      <c r="BD19" s="106">
        <f t="shared" si="36"/>
        <v>0.14493410245661462</v>
      </c>
      <c r="BE19" s="133">
        <f t="shared" si="37"/>
        <v>-1974784598.8540776</v>
      </c>
      <c r="BF19" s="135">
        <f t="shared" si="38"/>
        <v>5078017539.9104862</v>
      </c>
      <c r="BG19" s="133">
        <f t="shared" si="39"/>
        <v>1.8575000000000001E-2</v>
      </c>
      <c r="BH19" s="135">
        <f t="shared" si="40"/>
        <v>1.0812250000000001</v>
      </c>
      <c r="BI19" s="106">
        <f t="shared" si="41"/>
        <v>0.10390000000000001</v>
      </c>
      <c r="BJ19" s="130">
        <f t="shared" si="42"/>
        <v>0</v>
      </c>
      <c r="BK19" s="96">
        <f t="shared" si="43"/>
        <v>0</v>
      </c>
      <c r="BL19" s="96">
        <f t="shared" si="44"/>
        <v>-0.29147068931035414</v>
      </c>
      <c r="BM19" s="135">
        <f t="shared" si="45"/>
        <v>-2.7011024983957764E+23</v>
      </c>
      <c r="BN19" s="96">
        <f t="shared" si="46"/>
        <v>8.5012284382186623E-2</v>
      </c>
      <c r="BO19" s="5">
        <f t="shared" si="47"/>
        <v>0.12029999999999999</v>
      </c>
      <c r="BP19" s="5">
        <f t="shared" si="48"/>
        <v>1.2123250000000001</v>
      </c>
      <c r="BQ19" s="5">
        <f t="shared" si="49"/>
        <v>3.9E-2</v>
      </c>
    </row>
    <row r="20" spans="1:69" s="79" customFormat="1" ht="15">
      <c r="A20" s="157" t="s">
        <v>170</v>
      </c>
      <c r="B20" s="139">
        <v>-23</v>
      </c>
      <c r="C20" s="47">
        <v>83.9</v>
      </c>
      <c r="D20" s="47">
        <v>27.2</v>
      </c>
      <c r="E20" s="47">
        <v>25.651599999999998</v>
      </c>
      <c r="F20" s="47">
        <v>44.505299999999998</v>
      </c>
      <c r="G20" s="47">
        <v>18.350000000000001</v>
      </c>
      <c r="H20" s="47">
        <v>17.11</v>
      </c>
      <c r="I20" s="47">
        <v>17.829999999999998</v>
      </c>
      <c r="J20" s="47">
        <v>18.149999999999999</v>
      </c>
      <c r="K20" s="143">
        <f t="shared" si="6"/>
        <v>17.86</v>
      </c>
      <c r="L20" s="95">
        <f t="shared" si="7"/>
        <v>0.54393627077688722</v>
      </c>
      <c r="M20" s="10">
        <f t="shared" si="8"/>
        <v>0.8411381980866498</v>
      </c>
      <c r="N20" s="96">
        <f t="shared" si="9"/>
        <v>0.39655514614841558</v>
      </c>
      <c r="O20" s="97">
        <f t="shared" si="10"/>
        <v>18.8537</v>
      </c>
      <c r="P20" s="102">
        <v>41927</v>
      </c>
      <c r="Q20" s="142">
        <v>86384.95</v>
      </c>
      <c r="R20" s="108">
        <f t="shared" si="4"/>
        <v>1847</v>
      </c>
      <c r="S20" s="2">
        <v>205</v>
      </c>
      <c r="T20">
        <v>19.02</v>
      </c>
      <c r="U20"/>
      <c r="V20"/>
      <c r="W20" s="2">
        <v>255</v>
      </c>
      <c r="X20">
        <v>18.88</v>
      </c>
      <c r="Y20" s="47"/>
      <c r="Z20" s="47"/>
      <c r="AA20" s="47">
        <v>0</v>
      </c>
      <c r="AB20" s="47">
        <v>0</v>
      </c>
      <c r="AC20" s="130">
        <f t="shared" si="11"/>
        <v>0.1423859132869788</v>
      </c>
      <c r="AD20" s="96">
        <f t="shared" si="12"/>
        <v>1.3210634491308959E-2</v>
      </c>
      <c r="AE20" s="96">
        <f t="shared" si="13"/>
        <v>1.6606707778890815</v>
      </c>
      <c r="AF20" s="96">
        <f t="shared" si="14"/>
        <v>1.9435349026667925</v>
      </c>
      <c r="AG20" s="96">
        <f t="shared" si="15"/>
        <v>0.188184972222284</v>
      </c>
      <c r="AH20" s="96">
        <f t="shared" si="16"/>
        <v>0.13724599999999998</v>
      </c>
      <c r="AI20" s="126">
        <f t="shared" si="17"/>
        <v>1.40662</v>
      </c>
      <c r="AJ20" s="131">
        <f t="shared" si="18"/>
        <v>4.1000000000000002E-2</v>
      </c>
      <c r="AK20" s="130">
        <f t="shared" si="19"/>
        <v>0.17711418482038827</v>
      </c>
      <c r="AL20" s="96">
        <f t="shared" si="20"/>
        <v>1.3113395331015413E-2</v>
      </c>
      <c r="AM20" s="96">
        <f t="shared" si="21"/>
        <v>1.1025270645673486</v>
      </c>
      <c r="AN20" s="96">
        <f t="shared" si="22"/>
        <v>9.2139205107720903E-2</v>
      </c>
      <c r="AO20" s="4">
        <f t="shared" si="23"/>
        <v>2.4376000000000002E-2</v>
      </c>
      <c r="AP20" s="6">
        <f t="shared" si="24"/>
        <v>1.0798179999999999</v>
      </c>
      <c r="AQ20" s="5">
        <f t="shared" si="5"/>
        <v>0.36599999999999999</v>
      </c>
      <c r="AR20" s="4"/>
      <c r="AS20" s="132">
        <f t="shared" si="25"/>
        <v>0</v>
      </c>
      <c r="AT20" s="133">
        <f t="shared" si="26"/>
        <v>0</v>
      </c>
      <c r="AU20" s="133">
        <f t="shared" si="27"/>
        <v>-2.559310789391081E-2</v>
      </c>
      <c r="AV20" s="133">
        <f t="shared" si="28"/>
        <v>-2.8748379462829182E-2</v>
      </c>
      <c r="AW20" s="133">
        <f t="shared" si="29"/>
        <v>2.559310789391081E-2</v>
      </c>
      <c r="AX20" s="5">
        <f t="shared" si="30"/>
        <v>8.9999999999999993E-3</v>
      </c>
      <c r="AY20" s="5">
        <f t="shared" si="31"/>
        <v>1.07216752</v>
      </c>
      <c r="AZ20" s="5">
        <f t="shared" si="32"/>
        <v>0.85199999999999998</v>
      </c>
      <c r="BA20" s="134">
        <f t="shared" si="33"/>
        <v>0</v>
      </c>
      <c r="BB20" s="133">
        <f t="shared" si="34"/>
        <v>0</v>
      </c>
      <c r="BC20" s="106">
        <f t="shared" si="35"/>
        <v>-5.7966396289686972E-2</v>
      </c>
      <c r="BD20" s="106">
        <f t="shared" si="36"/>
        <v>0.14905644760205222</v>
      </c>
      <c r="BE20" s="133">
        <f t="shared" si="37"/>
        <v>-1565824359.1964862</v>
      </c>
      <c r="BF20" s="135">
        <f t="shared" si="38"/>
        <v>4026405495.0766792</v>
      </c>
      <c r="BG20" s="133">
        <f t="shared" si="39"/>
        <v>1.8494E-2</v>
      </c>
      <c r="BH20" s="135">
        <f t="shared" si="40"/>
        <v>1.085842</v>
      </c>
      <c r="BI20" s="106">
        <f t="shared" si="41"/>
        <v>0.10390000000000001</v>
      </c>
      <c r="BJ20" s="130">
        <f t="shared" si="42"/>
        <v>0</v>
      </c>
      <c r="BK20" s="96">
        <f t="shared" si="43"/>
        <v>0</v>
      </c>
      <c r="BL20" s="96">
        <f t="shared" si="44"/>
        <v>-0.30252773083763235</v>
      </c>
      <c r="BM20" s="135">
        <f t="shared" si="45"/>
        <v>-1.5325902734384631E+23</v>
      </c>
      <c r="BN20" s="96">
        <f t="shared" si="46"/>
        <v>8.8237254827642775E-2</v>
      </c>
      <c r="BO20" s="5">
        <f t="shared" si="47"/>
        <v>0.11867999999999999</v>
      </c>
      <c r="BP20" s="5">
        <f t="shared" si="48"/>
        <v>1.224394</v>
      </c>
      <c r="BQ20" s="5">
        <f t="shared" si="49"/>
        <v>3.9E-2</v>
      </c>
    </row>
    <row r="21" spans="1:69" s="79" customFormat="1" ht="15">
      <c r="A21" s="157" t="s">
        <v>172</v>
      </c>
      <c r="B21" s="139">
        <v>-25</v>
      </c>
      <c r="C21" s="47">
        <v>97.8</v>
      </c>
      <c r="D21" s="47">
        <v>32.200000000000003</v>
      </c>
      <c r="E21" s="47">
        <v>25.2547</v>
      </c>
      <c r="F21" s="47">
        <v>45.645200000000003</v>
      </c>
      <c r="G21" s="47">
        <v>18.55</v>
      </c>
      <c r="H21" s="47">
        <v>18.170000000000002</v>
      </c>
      <c r="I21" s="47">
        <v>17.8</v>
      </c>
      <c r="J21" s="47">
        <v>18.27</v>
      </c>
      <c r="K21" s="143">
        <f t="shared" si="6"/>
        <v>18.197499999999998</v>
      </c>
      <c r="L21" s="95">
        <f t="shared" si="7"/>
        <v>0.30998655884839038</v>
      </c>
      <c r="M21" s="10">
        <f t="shared" si="8"/>
        <v>0.83804772059711097</v>
      </c>
      <c r="N21" s="96">
        <f t="shared" si="9"/>
        <v>0.41947842845363065</v>
      </c>
      <c r="O21" s="97">
        <f t="shared" si="10"/>
        <v>20.390500000000003</v>
      </c>
      <c r="P21" s="102">
        <v>41948</v>
      </c>
      <c r="Q21" s="142">
        <v>96876.92</v>
      </c>
      <c r="R21" s="108">
        <f t="shared" si="4"/>
        <v>1868</v>
      </c>
      <c r="S21" s="2">
        <v>178</v>
      </c>
      <c r="T21">
        <v>18.98</v>
      </c>
      <c r="U21"/>
      <c r="V21"/>
      <c r="W21" s="2">
        <v>299</v>
      </c>
      <c r="X21">
        <v>20.47</v>
      </c>
      <c r="Y21" s="47"/>
      <c r="Z21" s="47"/>
      <c r="AA21" s="47">
        <v>0</v>
      </c>
      <c r="AB21" s="47">
        <v>0</v>
      </c>
      <c r="AC21" s="130">
        <f t="shared" si="11"/>
        <v>0.1102429763456559</v>
      </c>
      <c r="AD21" s="96">
        <f t="shared" si="12"/>
        <v>1.1755121859778365E-2</v>
      </c>
      <c r="AE21" s="96">
        <f t="shared" si="13"/>
        <v>1.1527657015517765</v>
      </c>
      <c r="AF21" s="96">
        <f t="shared" si="14"/>
        <v>1.3515325313059989</v>
      </c>
      <c r="AG21" s="96">
        <f t="shared" si="15"/>
        <v>0.15873476907347814</v>
      </c>
      <c r="AH21" s="96">
        <f t="shared" si="16"/>
        <v>0.13694224999999999</v>
      </c>
      <c r="AI21" s="126">
        <f t="shared" si="17"/>
        <v>1.4157324999999998</v>
      </c>
      <c r="AJ21" s="131">
        <f t="shared" si="18"/>
        <v>4.1000000000000002E-2</v>
      </c>
      <c r="AK21" s="130">
        <f t="shared" si="19"/>
        <v>0.18518342655815234</v>
      </c>
      <c r="AL21" s="96">
        <f t="shared" si="20"/>
        <v>1.2677942279750429E-2</v>
      </c>
      <c r="AM21" s="96">
        <f t="shared" si="21"/>
        <v>1.0751037759681841</v>
      </c>
      <c r="AN21" s="96">
        <f t="shared" si="22"/>
        <v>8.3415139807443431E-2</v>
      </c>
      <c r="AO21" s="4">
        <f t="shared" si="23"/>
        <v>2.4240999999999999E-2</v>
      </c>
      <c r="AP21" s="6">
        <f t="shared" si="24"/>
        <v>1.08160675</v>
      </c>
      <c r="AQ21" s="5">
        <f t="shared" si="5"/>
        <v>0.36599999999999999</v>
      </c>
      <c r="AR21" s="4"/>
      <c r="AS21" s="132">
        <f t="shared" si="25"/>
        <v>0</v>
      </c>
      <c r="AT21" s="133">
        <f t="shared" si="26"/>
        <v>0</v>
      </c>
      <c r="AU21" s="133">
        <f t="shared" si="27"/>
        <v>-2.3664195497875296E-2</v>
      </c>
      <c r="AV21" s="133">
        <f t="shared" si="28"/>
        <v>-2.6616818928964846E-2</v>
      </c>
      <c r="AW21" s="133">
        <f t="shared" si="29"/>
        <v>2.3664195497875296E-2</v>
      </c>
      <c r="AX21" s="5">
        <f t="shared" si="30"/>
        <v>8.9999999999999993E-3</v>
      </c>
      <c r="AY21" s="5">
        <f t="shared" si="31"/>
        <v>1.07378482</v>
      </c>
      <c r="AZ21" s="5">
        <f t="shared" si="32"/>
        <v>0.85199999999999998</v>
      </c>
      <c r="BA21" s="134">
        <f t="shared" si="33"/>
        <v>0</v>
      </c>
      <c r="BB21" s="133">
        <f t="shared" si="34"/>
        <v>0</v>
      </c>
      <c r="BC21" s="106">
        <f t="shared" si="35"/>
        <v>-5.3695549806856639E-2</v>
      </c>
      <c r="BD21" s="106">
        <f t="shared" si="36"/>
        <v>0.13807427093191707</v>
      </c>
      <c r="BE21" s="133">
        <f t="shared" si="37"/>
        <v>-1905942297.7518208</v>
      </c>
      <c r="BF21" s="135">
        <f t="shared" si="38"/>
        <v>4900994479.9332533</v>
      </c>
      <c r="BG21" s="133">
        <f t="shared" si="39"/>
        <v>1.8460250000000001E-2</v>
      </c>
      <c r="BH21" s="135">
        <f t="shared" si="40"/>
        <v>1.08776575</v>
      </c>
      <c r="BI21" s="106">
        <f t="shared" si="41"/>
        <v>0.10390000000000001</v>
      </c>
      <c r="BJ21" s="130">
        <f t="shared" si="42"/>
        <v>0</v>
      </c>
      <c r="BK21" s="96">
        <f t="shared" si="43"/>
        <v>0</v>
      </c>
      <c r="BL21" s="96">
        <f t="shared" si="44"/>
        <v>-0.28132675400815549</v>
      </c>
      <c r="BM21" s="135">
        <f t="shared" si="45"/>
        <v>-2.758082648263503E+23</v>
      </c>
      <c r="BN21" s="96">
        <f t="shared" si="46"/>
        <v>8.205363658571202E-2</v>
      </c>
      <c r="BO21" s="5">
        <f t="shared" si="47"/>
        <v>0.118005</v>
      </c>
      <c r="BP21" s="5">
        <f t="shared" si="48"/>
        <v>1.2294227499999999</v>
      </c>
      <c r="BQ21" s="5">
        <f t="shared" si="49"/>
        <v>3.9E-2</v>
      </c>
    </row>
    <row r="22" spans="1:69" s="79" customFormat="1" ht="15">
      <c r="A22" s="157" t="s">
        <v>173</v>
      </c>
      <c r="B22" s="139">
        <v>-27</v>
      </c>
      <c r="C22" s="47">
        <v>93.7</v>
      </c>
      <c r="D22" s="47">
        <v>30.1</v>
      </c>
      <c r="E22" s="47">
        <v>25.733000000000001</v>
      </c>
      <c r="F22" s="47">
        <v>46.531500000000001</v>
      </c>
      <c r="G22" s="47">
        <v>18.850000000000001</v>
      </c>
      <c r="H22" s="47">
        <v>19.52</v>
      </c>
      <c r="I22" s="47">
        <v>18.809999999999999</v>
      </c>
      <c r="J22" s="47">
        <v>18.12</v>
      </c>
      <c r="K22" s="143">
        <f t="shared" si="6"/>
        <v>18.825000000000003</v>
      </c>
      <c r="L22" s="95">
        <f t="shared" si="7"/>
        <v>0.57180999175133873</v>
      </c>
      <c r="M22" s="10">
        <f t="shared" si="8"/>
        <v>0.84293794744421946</v>
      </c>
      <c r="N22" s="96">
        <f t="shared" si="9"/>
        <v>0.41111748323143249</v>
      </c>
      <c r="O22" s="97">
        <f t="shared" si="10"/>
        <v>20.798500000000001</v>
      </c>
      <c r="P22" s="102">
        <v>41949</v>
      </c>
      <c r="Q22" s="142">
        <v>87056.6</v>
      </c>
      <c r="R22" s="108">
        <f t="shared" si="4"/>
        <v>1869</v>
      </c>
      <c r="S22" s="2">
        <v>149</v>
      </c>
      <c r="T22">
        <v>17.62</v>
      </c>
      <c r="U22"/>
      <c r="V22"/>
      <c r="W22" s="2">
        <v>239</v>
      </c>
      <c r="X22">
        <v>19</v>
      </c>
      <c r="Y22" s="47"/>
      <c r="Z22" s="47"/>
      <c r="AA22" s="47">
        <v>0</v>
      </c>
      <c r="AB22" s="47">
        <v>0</v>
      </c>
      <c r="AC22" s="130">
        <f t="shared" si="11"/>
        <v>0.10269181199357659</v>
      </c>
      <c r="AD22" s="96">
        <f t="shared" si="12"/>
        <v>1.214382367333436E-2</v>
      </c>
      <c r="AE22" s="96">
        <f t="shared" si="13"/>
        <v>1.0578673621375243</v>
      </c>
      <c r="AF22" s="96">
        <f t="shared" si="14"/>
        <v>1.2403768701459266</v>
      </c>
      <c r="AG22" s="96">
        <f t="shared" si="15"/>
        <v>0.16223990682416259</v>
      </c>
      <c r="AH22" s="96">
        <f t="shared" si="16"/>
        <v>0.13637749999999998</v>
      </c>
      <c r="AI22" s="126">
        <f t="shared" si="17"/>
        <v>1.4326750000000001</v>
      </c>
      <c r="AJ22" s="131">
        <f t="shared" si="18"/>
        <v>4.1000000000000002E-2</v>
      </c>
      <c r="AK22" s="130">
        <f t="shared" si="19"/>
        <v>0.16472042326486447</v>
      </c>
      <c r="AL22" s="96">
        <f t="shared" si="20"/>
        <v>1.3094929046160773E-2</v>
      </c>
      <c r="AM22" s="96">
        <f t="shared" si="21"/>
        <v>0.94684332260425208</v>
      </c>
      <c r="AN22" s="96">
        <f t="shared" si="22"/>
        <v>8.5102843840509632E-2</v>
      </c>
      <c r="AO22" s="4">
        <f t="shared" si="23"/>
        <v>2.3989999999999997E-2</v>
      </c>
      <c r="AP22" s="6">
        <f t="shared" si="24"/>
        <v>1.0849325000000001</v>
      </c>
      <c r="AQ22" s="5">
        <f t="shared" si="5"/>
        <v>0.36599999999999999</v>
      </c>
      <c r="AR22" s="4"/>
      <c r="AS22" s="132">
        <f t="shared" si="25"/>
        <v>0</v>
      </c>
      <c r="AT22" s="133">
        <f t="shared" si="26"/>
        <v>0</v>
      </c>
      <c r="AU22" s="133">
        <f t="shared" si="27"/>
        <v>-2.3199979724471777E-2</v>
      </c>
      <c r="AV22" s="133">
        <f t="shared" si="28"/>
        <v>-2.6096324700144138E-2</v>
      </c>
      <c r="AW22" s="133">
        <f t="shared" si="29"/>
        <v>2.3199979724471777E-2</v>
      </c>
      <c r="AX22" s="5">
        <f t="shared" si="30"/>
        <v>8.9999999999999993E-3</v>
      </c>
      <c r="AY22" s="5">
        <f t="shared" si="31"/>
        <v>1.0767918000000001</v>
      </c>
      <c r="AZ22" s="5">
        <f t="shared" si="32"/>
        <v>0.85199999999999998</v>
      </c>
      <c r="BA22" s="134">
        <f t="shared" si="33"/>
        <v>0</v>
      </c>
      <c r="BB22" s="133">
        <f t="shared" si="34"/>
        <v>0</v>
      </c>
      <c r="BC22" s="106">
        <f t="shared" si="35"/>
        <v>-5.2821766498234723E-2</v>
      </c>
      <c r="BD22" s="106">
        <f t="shared" si="36"/>
        <v>0.1358273995668893</v>
      </c>
      <c r="BE22" s="133">
        <f t="shared" si="37"/>
        <v>-1899469039.3018193</v>
      </c>
      <c r="BF22" s="135">
        <f t="shared" si="38"/>
        <v>4884348958.2046785</v>
      </c>
      <c r="BG22" s="133">
        <f t="shared" si="39"/>
        <v>1.8397500000000001E-2</v>
      </c>
      <c r="BH22" s="135">
        <f t="shared" si="40"/>
        <v>1.0913425000000001</v>
      </c>
      <c r="BI22" s="106">
        <f t="shared" si="41"/>
        <v>0.10390000000000001</v>
      </c>
      <c r="BJ22" s="130">
        <f t="shared" si="42"/>
        <v>0</v>
      </c>
      <c r="BK22" s="96">
        <f t="shared" si="43"/>
        <v>0</v>
      </c>
      <c r="BL22" s="96">
        <f t="shared" si="44"/>
        <v>-0.27877281214454114</v>
      </c>
      <c r="BM22" s="135">
        <f t="shared" si="45"/>
        <v>-2.8329026271206979E+23</v>
      </c>
      <c r="BN22" s="96">
        <f t="shared" si="46"/>
        <v>8.1308736875491172E-2</v>
      </c>
      <c r="BO22" s="5">
        <f t="shared" si="47"/>
        <v>0.11674999999999999</v>
      </c>
      <c r="BP22" s="5">
        <f t="shared" si="48"/>
        <v>1.2387725000000001</v>
      </c>
      <c r="BQ22" s="5">
        <f t="shared" si="49"/>
        <v>3.9E-2</v>
      </c>
    </row>
    <row r="23" spans="1:69" s="79" customFormat="1" ht="15">
      <c r="A23" s="157" t="s">
        <v>174</v>
      </c>
      <c r="B23" s="139">
        <v>-29</v>
      </c>
      <c r="C23" s="47">
        <v>91</v>
      </c>
      <c r="D23" s="47">
        <v>29.7</v>
      </c>
      <c r="E23" s="47">
        <v>25.131699999999999</v>
      </c>
      <c r="F23" s="47">
        <v>49.639699999999998</v>
      </c>
      <c r="G23" s="47">
        <v>19.64</v>
      </c>
      <c r="H23" s="47">
        <v>18.86</v>
      </c>
      <c r="I23" s="47">
        <v>20</v>
      </c>
      <c r="J23" s="47">
        <v>20.2</v>
      </c>
      <c r="K23" s="143">
        <f t="shared" si="6"/>
        <v>19.675000000000001</v>
      </c>
      <c r="L23" s="95">
        <f t="shared" si="7"/>
        <v>0.59067757702489443</v>
      </c>
      <c r="M23" s="10">
        <f t="shared" si="8"/>
        <v>0.83980755331657697</v>
      </c>
      <c r="N23" s="96">
        <f t="shared" si="9"/>
        <v>0.46004049265390706</v>
      </c>
      <c r="O23" s="97">
        <f t="shared" si="10"/>
        <v>24.507999999999999</v>
      </c>
      <c r="P23" s="102">
        <v>41950</v>
      </c>
      <c r="Q23" s="142">
        <v>97388.2</v>
      </c>
      <c r="R23" s="108">
        <f t="shared" si="4"/>
        <v>1870</v>
      </c>
      <c r="S23" s="2">
        <v>186</v>
      </c>
      <c r="T23">
        <v>19.75</v>
      </c>
      <c r="U23"/>
      <c r="V23"/>
      <c r="W23" s="2">
        <v>286</v>
      </c>
      <c r="X23">
        <v>20.12</v>
      </c>
      <c r="Y23" s="47"/>
      <c r="Z23" s="47"/>
      <c r="AA23" s="47">
        <v>0</v>
      </c>
      <c r="AB23" s="47">
        <v>0</v>
      </c>
      <c r="AC23" s="130">
        <f t="shared" si="11"/>
        <v>0.11459293836419608</v>
      </c>
      <c r="AD23" s="96">
        <f t="shared" si="12"/>
        <v>1.2167798562864906E-2</v>
      </c>
      <c r="AE23" s="96">
        <f t="shared" si="13"/>
        <v>1.0472388586648826</v>
      </c>
      <c r="AF23" s="96">
        <f t="shared" si="14"/>
        <v>1.2280192458641082</v>
      </c>
      <c r="AG23" s="96">
        <f t="shared" si="15"/>
        <v>0.14058510327841642</v>
      </c>
      <c r="AH23" s="96">
        <f t="shared" si="16"/>
        <v>0.1356125</v>
      </c>
      <c r="AI23" s="126">
        <f t="shared" si="17"/>
        <v>1.4556249999999999</v>
      </c>
      <c r="AJ23" s="131">
        <f t="shared" si="18"/>
        <v>4.1000000000000002E-2</v>
      </c>
      <c r="AK23" s="130">
        <f t="shared" si="19"/>
        <v>0.17620204501161332</v>
      </c>
      <c r="AL23" s="96">
        <f t="shared" si="20"/>
        <v>1.2395752257460351E-2</v>
      </c>
      <c r="AM23" s="96">
        <f t="shared" si="21"/>
        <v>0.87754393759869742</v>
      </c>
      <c r="AN23" s="96">
        <f t="shared" si="22"/>
        <v>7.0244745132217762E-2</v>
      </c>
      <c r="AO23" s="4">
        <f t="shared" si="23"/>
        <v>2.3650000000000001E-2</v>
      </c>
      <c r="AP23" s="6">
        <f t="shared" si="24"/>
        <v>1.0894375000000001</v>
      </c>
      <c r="AQ23" s="5">
        <f t="shared" si="5"/>
        <v>0.36599999999999999</v>
      </c>
      <c r="AR23" s="4"/>
      <c r="AS23" s="132">
        <f t="shared" si="25"/>
        <v>0</v>
      </c>
      <c r="AT23" s="133">
        <f t="shared" si="26"/>
        <v>0</v>
      </c>
      <c r="AU23" s="133">
        <f t="shared" si="27"/>
        <v>-1.9688460025274454E-2</v>
      </c>
      <c r="AV23" s="133">
        <f t="shared" si="28"/>
        <v>-2.2147811911672487E-2</v>
      </c>
      <c r="AW23" s="133">
        <f t="shared" si="29"/>
        <v>1.9688460025274454E-2</v>
      </c>
      <c r="AX23" s="5">
        <f t="shared" si="30"/>
        <v>8.9999999999999993E-3</v>
      </c>
      <c r="AY23" s="5">
        <f t="shared" si="31"/>
        <v>1.080865</v>
      </c>
      <c r="AZ23" s="5">
        <f t="shared" si="32"/>
        <v>0.85199999999999998</v>
      </c>
      <c r="BA23" s="134">
        <f t="shared" si="33"/>
        <v>0</v>
      </c>
      <c r="BB23" s="133">
        <f t="shared" si="34"/>
        <v>0</v>
      </c>
      <c r="BC23" s="106">
        <f t="shared" si="35"/>
        <v>-4.5034799942007403E-2</v>
      </c>
      <c r="BD23" s="106">
        <f t="shared" si="36"/>
        <v>0.11580377127944762</v>
      </c>
      <c r="BE23" s="133">
        <f t="shared" si="37"/>
        <v>-1640647870.8351045</v>
      </c>
      <c r="BF23" s="135">
        <f t="shared" si="38"/>
        <v>4218808810.7188401</v>
      </c>
      <c r="BG23" s="133">
        <f t="shared" si="39"/>
        <v>1.8312499999999999E-2</v>
      </c>
      <c r="BH23" s="135">
        <f t="shared" si="40"/>
        <v>1.0961875000000001</v>
      </c>
      <c r="BI23" s="106">
        <f t="shared" si="41"/>
        <v>0.10390000000000001</v>
      </c>
      <c r="BJ23" s="130">
        <f t="shared" si="42"/>
        <v>0</v>
      </c>
      <c r="BK23" s="96">
        <f t="shared" si="43"/>
        <v>0</v>
      </c>
      <c r="BL23" s="96">
        <f t="shared" si="44"/>
        <v>-0.24007383230638757</v>
      </c>
      <c r="BM23" s="135">
        <f t="shared" si="45"/>
        <v>-2.8273310805814746E+23</v>
      </c>
      <c r="BN23" s="96">
        <f t="shared" si="46"/>
        <v>7.0021534422696374E-2</v>
      </c>
      <c r="BO23" s="5">
        <f t="shared" si="47"/>
        <v>0.11504999999999999</v>
      </c>
      <c r="BP23" s="5">
        <f t="shared" si="48"/>
        <v>1.2514375</v>
      </c>
      <c r="BQ23" s="5">
        <f t="shared" si="49"/>
        <v>3.9E-2</v>
      </c>
    </row>
    <row r="24" spans="1:69" s="79" customFormat="1" ht="15">
      <c r="A24" s="157" t="s">
        <v>175</v>
      </c>
      <c r="B24" s="139">
        <v>-31</v>
      </c>
      <c r="C24" s="47">
        <v>87.3</v>
      </c>
      <c r="D24" s="47">
        <v>26.7</v>
      </c>
      <c r="E24" s="47">
        <v>26.1188</v>
      </c>
      <c r="F24" s="47">
        <v>46.340499999999999</v>
      </c>
      <c r="G24" s="47">
        <v>19.55</v>
      </c>
      <c r="H24" s="47">
        <v>18.809999999999999</v>
      </c>
      <c r="I24" s="47">
        <v>18.88</v>
      </c>
      <c r="J24" s="47">
        <v>18.89</v>
      </c>
      <c r="K24" s="143">
        <f t="shared" si="6"/>
        <v>19.032499999999999</v>
      </c>
      <c r="L24" s="95">
        <f t="shared" si="7"/>
        <v>0.34683089058886779</v>
      </c>
      <c r="M24" s="10">
        <f t="shared" si="8"/>
        <v>0.85217911241031097</v>
      </c>
      <c r="N24" s="96">
        <f t="shared" si="9"/>
        <v>0.39460648777252016</v>
      </c>
      <c r="O24" s="97">
        <f t="shared" si="10"/>
        <v>20.221699999999998</v>
      </c>
      <c r="P24" s="102">
        <v>41952</v>
      </c>
      <c r="Q24" s="142">
        <v>158371.66</v>
      </c>
      <c r="R24" s="108">
        <f t="shared" si="4"/>
        <v>1872</v>
      </c>
      <c r="S24" s="2">
        <v>281</v>
      </c>
      <c r="T24">
        <v>23.62</v>
      </c>
      <c r="U24"/>
      <c r="V24"/>
      <c r="W24" s="2">
        <v>398</v>
      </c>
      <c r="X24">
        <v>24.43</v>
      </c>
      <c r="Y24" s="47"/>
      <c r="Z24" s="47"/>
      <c r="AA24" s="47">
        <v>0</v>
      </c>
      <c r="AB24" s="47">
        <v>0</v>
      </c>
      <c r="AC24" s="130">
        <f t="shared" si="11"/>
        <v>0.10645844085993668</v>
      </c>
      <c r="AD24" s="96">
        <f t="shared" si="12"/>
        <v>8.9485707228174529E-3</v>
      </c>
      <c r="AE24" s="96">
        <f t="shared" si="13"/>
        <v>1.1426074931155508</v>
      </c>
      <c r="AF24" s="96">
        <f t="shared" si="14"/>
        <v>1.3400791792884554</v>
      </c>
      <c r="AG24" s="96">
        <f t="shared" si="15"/>
        <v>0.13104302525670319</v>
      </c>
      <c r="AH24" s="96">
        <f t="shared" si="16"/>
        <v>0.13619075</v>
      </c>
      <c r="AI24" s="126">
        <f t="shared" si="17"/>
        <v>1.4382774999999999</v>
      </c>
      <c r="AJ24" s="131">
        <f t="shared" si="18"/>
        <v>4.1000000000000002E-2</v>
      </c>
      <c r="AK24" s="130">
        <f t="shared" si="19"/>
        <v>0.15078455324645834</v>
      </c>
      <c r="AL24" s="96">
        <f t="shared" si="20"/>
        <v>9.2554438085702944E-3</v>
      </c>
      <c r="AM24" s="96">
        <f t="shared" si="21"/>
        <v>0.89271891717269936</v>
      </c>
      <c r="AN24" s="96">
        <f t="shared" si="22"/>
        <v>6.7044739021671004E-2</v>
      </c>
      <c r="AO24" s="4">
        <f t="shared" si="23"/>
        <v>2.3907000000000001E-2</v>
      </c>
      <c r="AP24" s="6">
        <f t="shared" si="24"/>
        <v>1.0860322499999999</v>
      </c>
      <c r="AQ24" s="5">
        <f t="shared" si="5"/>
        <v>0.36599999999999999</v>
      </c>
      <c r="AR24" s="4"/>
      <c r="AS24" s="132">
        <f t="shared" si="25"/>
        <v>0</v>
      </c>
      <c r="AT24" s="133">
        <f t="shared" si="26"/>
        <v>0</v>
      </c>
      <c r="AU24" s="133">
        <f t="shared" si="27"/>
        <v>-2.3861731619964015E-2</v>
      </c>
      <c r="AV24" s="133">
        <f t="shared" si="28"/>
        <v>-2.6845760291852185E-2</v>
      </c>
      <c r="AW24" s="133">
        <f t="shared" si="29"/>
        <v>2.3861731619964015E-2</v>
      </c>
      <c r="AX24" s="5">
        <f t="shared" si="30"/>
        <v>8.9999999999999993E-3</v>
      </c>
      <c r="AY24" s="5">
        <f t="shared" si="31"/>
        <v>1.0777861399999999</v>
      </c>
      <c r="AZ24" s="5">
        <f t="shared" si="32"/>
        <v>0.85199999999999998</v>
      </c>
      <c r="BA24" s="134">
        <f t="shared" si="33"/>
        <v>0</v>
      </c>
      <c r="BB24" s="133">
        <f t="shared" si="34"/>
        <v>0</v>
      </c>
      <c r="BC24" s="106">
        <f t="shared" si="35"/>
        <v>-5.4389789362243493E-2</v>
      </c>
      <c r="BD24" s="106">
        <f t="shared" si="36"/>
        <v>0.1398594583600547</v>
      </c>
      <c r="BE24" s="133">
        <f t="shared" si="37"/>
        <v>-2033668702.9125004</v>
      </c>
      <c r="BF24" s="135">
        <f t="shared" si="38"/>
        <v>5229433807.4892864</v>
      </c>
      <c r="BG24" s="133">
        <f t="shared" si="39"/>
        <v>1.8376750000000001E-2</v>
      </c>
      <c r="BH24" s="135">
        <f t="shared" si="40"/>
        <v>1.09252525</v>
      </c>
      <c r="BI24" s="106">
        <f t="shared" si="41"/>
        <v>0.10390000000000001</v>
      </c>
      <c r="BJ24" s="130">
        <f t="shared" si="42"/>
        <v>0</v>
      </c>
      <c r="BK24" s="96">
        <f t="shared" si="43"/>
        <v>0</v>
      </c>
      <c r="BL24" s="96">
        <f t="shared" si="44"/>
        <v>-0.28774730352877781</v>
      </c>
      <c r="BM24" s="135">
        <f t="shared" si="45"/>
        <v>-3.1098648501409123E+23</v>
      </c>
      <c r="BN24" s="96">
        <f t="shared" si="46"/>
        <v>8.3926296862560187E-2</v>
      </c>
      <c r="BO24" s="5">
        <f t="shared" si="47"/>
        <v>0.11633499999999999</v>
      </c>
      <c r="BP24" s="5">
        <f t="shared" si="48"/>
        <v>1.2418642499999999</v>
      </c>
      <c r="BQ24" s="5">
        <f t="shared" si="49"/>
        <v>3.9E-2</v>
      </c>
    </row>
    <row r="25" spans="1:69" s="79" customFormat="1" ht="15">
      <c r="A25" s="157" t="s">
        <v>176</v>
      </c>
      <c r="B25" s="139">
        <v>-33</v>
      </c>
      <c r="C25" s="47">
        <v>95.3</v>
      </c>
      <c r="D25" s="47">
        <v>30.4</v>
      </c>
      <c r="E25" s="47">
        <v>25.273099999999999</v>
      </c>
      <c r="F25" s="47">
        <v>48.223300000000002</v>
      </c>
      <c r="G25" s="47">
        <v>19.25</v>
      </c>
      <c r="H25" s="47">
        <v>19.989999999999998</v>
      </c>
      <c r="I25" s="47">
        <v>19.559999999999999</v>
      </c>
      <c r="J25" s="47">
        <v>18.46</v>
      </c>
      <c r="K25" s="143">
        <f t="shared" si="6"/>
        <v>19.314999999999998</v>
      </c>
      <c r="L25" s="95">
        <f t="shared" si="7"/>
        <v>0.64572956155550543</v>
      </c>
      <c r="M25" s="10">
        <f t="shared" si="8"/>
        <v>0.84429898691906613</v>
      </c>
      <c r="N25" s="96">
        <f t="shared" si="9"/>
        <v>0.44018968981931023</v>
      </c>
      <c r="O25" s="97">
        <f t="shared" si="10"/>
        <v>22.950200000000002</v>
      </c>
      <c r="P25" s="102">
        <v>41953</v>
      </c>
      <c r="Q25" s="142">
        <v>89826.02</v>
      </c>
      <c r="R25" s="108">
        <f t="shared" si="4"/>
        <v>1873</v>
      </c>
      <c r="S25" s="2">
        <v>166</v>
      </c>
      <c r="T25">
        <v>18.7</v>
      </c>
      <c r="U25"/>
      <c r="V25"/>
      <c r="W25" s="2">
        <v>298</v>
      </c>
      <c r="X25">
        <v>20.36</v>
      </c>
      <c r="Y25" s="47"/>
      <c r="Z25" s="47"/>
      <c r="AA25" s="47">
        <v>0</v>
      </c>
      <c r="AB25" s="47">
        <v>0</v>
      </c>
      <c r="AC25" s="130">
        <f t="shared" si="11"/>
        <v>0.11088101198294213</v>
      </c>
      <c r="AD25" s="96">
        <f t="shared" si="12"/>
        <v>1.2490812795668783E-2</v>
      </c>
      <c r="AE25" s="96">
        <f t="shared" si="13"/>
        <v>1.064989512937103</v>
      </c>
      <c r="AF25" s="96">
        <f t="shared" si="14"/>
        <v>1.2491532054431131</v>
      </c>
      <c r="AG25" s="96">
        <f t="shared" si="15"/>
        <v>0.1522943709247917</v>
      </c>
      <c r="AH25" s="96">
        <f t="shared" si="16"/>
        <v>0.13593649999999999</v>
      </c>
      <c r="AI25" s="126">
        <f t="shared" si="17"/>
        <v>1.445905</v>
      </c>
      <c r="AJ25" s="131">
        <f t="shared" si="18"/>
        <v>4.1000000000000002E-2</v>
      </c>
      <c r="AK25" s="130">
        <f t="shared" si="19"/>
        <v>0.19905145524648649</v>
      </c>
      <c r="AL25" s="96">
        <f t="shared" si="20"/>
        <v>1.3599622915498204E-2</v>
      </c>
      <c r="AM25" s="96">
        <f t="shared" si="21"/>
        <v>1.0540873547501406</v>
      </c>
      <c r="AN25" s="96">
        <f t="shared" si="22"/>
        <v>8.0434000711972833E-2</v>
      </c>
      <c r="AO25" s="4">
        <f t="shared" si="23"/>
        <v>2.3794000000000003E-2</v>
      </c>
      <c r="AP25" s="6">
        <f t="shared" si="24"/>
        <v>1.0875295</v>
      </c>
      <c r="AQ25" s="5">
        <f t="shared" si="5"/>
        <v>0.36599999999999999</v>
      </c>
      <c r="AR25" s="4"/>
      <c r="AS25" s="132">
        <f t="shared" si="25"/>
        <v>0</v>
      </c>
      <c r="AT25" s="133">
        <f t="shared" si="26"/>
        <v>0</v>
      </c>
      <c r="AU25" s="133">
        <f t="shared" si="27"/>
        <v>-2.1024861582880593E-2</v>
      </c>
      <c r="AV25" s="133">
        <f t="shared" si="28"/>
        <v>-2.365561443478377E-2</v>
      </c>
      <c r="AW25" s="133">
        <f t="shared" si="29"/>
        <v>2.1024861582880593E-2</v>
      </c>
      <c r="AX25" s="5">
        <f t="shared" si="30"/>
        <v>8.9999999999999993E-3</v>
      </c>
      <c r="AY25" s="5">
        <f t="shared" si="31"/>
        <v>1.0791398800000001</v>
      </c>
      <c r="AZ25" s="5">
        <f t="shared" si="32"/>
        <v>0.85199999999999998</v>
      </c>
      <c r="BA25" s="134">
        <f t="shared" si="33"/>
        <v>0</v>
      </c>
      <c r="BB25" s="133">
        <f t="shared" si="34"/>
        <v>0</v>
      </c>
      <c r="BC25" s="106">
        <f t="shared" si="35"/>
        <v>-4.7997288812165674E-2</v>
      </c>
      <c r="BD25" s="106">
        <f t="shared" si="36"/>
        <v>0.12342159980271175</v>
      </c>
      <c r="BE25" s="133">
        <f t="shared" si="37"/>
        <v>-1818140236.0184343</v>
      </c>
      <c r="BF25" s="135">
        <f t="shared" si="38"/>
        <v>4675217749.7616882</v>
      </c>
      <c r="BG25" s="133">
        <f t="shared" si="39"/>
        <v>1.83485E-2</v>
      </c>
      <c r="BH25" s="135">
        <f t="shared" si="40"/>
        <v>1.0941354999999999</v>
      </c>
      <c r="BI25" s="106">
        <f t="shared" si="41"/>
        <v>0.10390000000000001</v>
      </c>
      <c r="BJ25" s="130">
        <f t="shared" si="42"/>
        <v>0</v>
      </c>
      <c r="BK25" s="96">
        <f t="shared" si="43"/>
        <v>0</v>
      </c>
      <c r="BL25" s="96">
        <f t="shared" si="44"/>
        <v>-0.25477500101629019</v>
      </c>
      <c r="BM25" s="135">
        <f t="shared" si="45"/>
        <v>-3.1186568783617883E+23</v>
      </c>
      <c r="BN25" s="96">
        <f t="shared" si="46"/>
        <v>7.4309375296417984E-2</v>
      </c>
      <c r="BO25" s="5">
        <f t="shared" si="47"/>
        <v>0.11576999999999998</v>
      </c>
      <c r="BP25" s="5">
        <f t="shared" si="48"/>
        <v>1.2460735000000001</v>
      </c>
      <c r="BQ25" s="5">
        <f t="shared" si="49"/>
        <v>3.9E-2</v>
      </c>
    </row>
    <row r="26" spans="1:69" s="79" customFormat="1" ht="15">
      <c r="A26" s="157" t="s">
        <v>177</v>
      </c>
      <c r="B26" s="139">
        <v>-35</v>
      </c>
      <c r="C26" s="47">
        <v>98.2</v>
      </c>
      <c r="D26" s="47">
        <v>33.5</v>
      </c>
      <c r="E26" s="47">
        <v>25.888000000000002</v>
      </c>
      <c r="F26" s="47">
        <v>48.861600000000003</v>
      </c>
      <c r="G26" s="47">
        <v>18.64</v>
      </c>
      <c r="H26" s="47">
        <v>18.22</v>
      </c>
      <c r="I26" s="47">
        <v>19.690000000000001</v>
      </c>
      <c r="J26" s="47">
        <v>18.75</v>
      </c>
      <c r="K26" s="143">
        <f t="shared" si="6"/>
        <v>18.824999999999999</v>
      </c>
      <c r="L26" s="95">
        <f t="shared" si="7"/>
        <v>0.62024188829842919</v>
      </c>
      <c r="M26" s="10">
        <f t="shared" si="8"/>
        <v>0.83066953770256469</v>
      </c>
      <c r="N26" s="96">
        <f t="shared" si="9"/>
        <v>0.45411200869128254</v>
      </c>
      <c r="O26" s="97">
        <f t="shared" si="10"/>
        <v>22.973600000000001</v>
      </c>
      <c r="P26" s="102">
        <v>41954</v>
      </c>
      <c r="Q26" s="142">
        <v>90740.81</v>
      </c>
      <c r="R26" s="108">
        <f t="shared" si="4"/>
        <v>1874</v>
      </c>
      <c r="S26" s="2">
        <v>162</v>
      </c>
      <c r="T26">
        <v>18.989999999999998</v>
      </c>
      <c r="U26"/>
      <c r="V26"/>
      <c r="W26" s="2">
        <v>286</v>
      </c>
      <c r="X26">
        <v>20.329999999999998</v>
      </c>
      <c r="Y26" s="47"/>
      <c r="Z26" s="47"/>
      <c r="AA26" s="47">
        <v>0</v>
      </c>
      <c r="AB26" s="47">
        <v>0</v>
      </c>
      <c r="AC26" s="130">
        <f t="shared" si="11"/>
        <v>0.10711828558726774</v>
      </c>
      <c r="AD26" s="96">
        <f t="shared" si="12"/>
        <v>1.2556643477174162E-2</v>
      </c>
      <c r="AE26" s="96">
        <f t="shared" si="13"/>
        <v>1.0070788418470675</v>
      </c>
      <c r="AF26" s="96">
        <f t="shared" si="14"/>
        <v>1.181328906161986</v>
      </c>
      <c r="AG26" s="96">
        <f t="shared" si="15"/>
        <v>0.15113542020312812</v>
      </c>
      <c r="AH26" s="96">
        <f t="shared" si="16"/>
        <v>0.13637749999999998</v>
      </c>
      <c r="AI26" s="126">
        <f t="shared" si="17"/>
        <v>1.4326749999999999</v>
      </c>
      <c r="AJ26" s="131">
        <f t="shared" si="18"/>
        <v>4.1000000000000002E-2</v>
      </c>
      <c r="AK26" s="130">
        <f t="shared" si="19"/>
        <v>0.18911005974048503</v>
      </c>
      <c r="AL26" s="96">
        <f t="shared" si="20"/>
        <v>1.3442683617216993E-2</v>
      </c>
      <c r="AM26" s="96">
        <f t="shared" si="21"/>
        <v>0.98837787327972559</v>
      </c>
      <c r="AN26" s="96">
        <f t="shared" si="22"/>
        <v>7.8758938844902218E-2</v>
      </c>
      <c r="AO26" s="4">
        <f t="shared" si="23"/>
        <v>2.3990000000000001E-2</v>
      </c>
      <c r="AP26" s="6">
        <f t="shared" si="24"/>
        <v>1.0849325000000001</v>
      </c>
      <c r="AQ26" s="5">
        <f t="shared" si="5"/>
        <v>0.36599999999999999</v>
      </c>
      <c r="AR26" s="4"/>
      <c r="AS26" s="132">
        <f t="shared" si="25"/>
        <v>0</v>
      </c>
      <c r="AT26" s="133">
        <f t="shared" si="26"/>
        <v>0</v>
      </c>
      <c r="AU26" s="133">
        <f t="shared" si="27"/>
        <v>-2.1003446490729629E-2</v>
      </c>
      <c r="AV26" s="133">
        <f t="shared" si="28"/>
        <v>-2.3633007280512174E-2</v>
      </c>
      <c r="AW26" s="133">
        <f t="shared" si="29"/>
        <v>2.1003446490729629E-2</v>
      </c>
      <c r="AX26" s="5">
        <f t="shared" si="30"/>
        <v>8.9999999999999993E-3</v>
      </c>
      <c r="AY26" s="5">
        <f t="shared" si="31"/>
        <v>1.0767918000000001</v>
      </c>
      <c r="AZ26" s="5">
        <f t="shared" si="32"/>
        <v>0.85199999999999998</v>
      </c>
      <c r="BA26" s="134">
        <f t="shared" si="33"/>
        <v>0</v>
      </c>
      <c r="BB26" s="133">
        <f t="shared" si="34"/>
        <v>0</v>
      </c>
      <c r="BC26" s="106">
        <f t="shared" si="35"/>
        <v>-4.7820694645747071E-2</v>
      </c>
      <c r="BD26" s="106">
        <f t="shared" si="36"/>
        <v>0.12296750051763533</v>
      </c>
      <c r="BE26" s="133">
        <f t="shared" si="37"/>
        <v>-1835161947.271143</v>
      </c>
      <c r="BF26" s="135">
        <f t="shared" si="38"/>
        <v>4718987864.4115105</v>
      </c>
      <c r="BG26" s="133">
        <f t="shared" si="39"/>
        <v>1.8397500000000001E-2</v>
      </c>
      <c r="BH26" s="135">
        <f t="shared" si="40"/>
        <v>1.0913425000000001</v>
      </c>
      <c r="BI26" s="106">
        <f t="shared" si="41"/>
        <v>0.10390000000000001</v>
      </c>
      <c r="BJ26" s="130">
        <f t="shared" si="42"/>
        <v>0</v>
      </c>
      <c r="BK26" s="96">
        <f t="shared" si="43"/>
        <v>0</v>
      </c>
      <c r="BL26" s="96">
        <f t="shared" si="44"/>
        <v>-0.25237909310635853</v>
      </c>
      <c r="BM26" s="135">
        <f t="shared" si="45"/>
        <v>-3.2035272156032478E+23</v>
      </c>
      <c r="BN26" s="96">
        <f t="shared" si="46"/>
        <v>7.3610568822687905E-2</v>
      </c>
      <c r="BO26" s="5">
        <f t="shared" si="47"/>
        <v>0.11674999999999999</v>
      </c>
      <c r="BP26" s="5">
        <f t="shared" si="48"/>
        <v>1.2387725000000001</v>
      </c>
      <c r="BQ26" s="5">
        <f t="shared" si="49"/>
        <v>3.9E-2</v>
      </c>
    </row>
    <row r="27" spans="1:69" s="79" customFormat="1" ht="15">
      <c r="A27" s="157" t="s">
        <v>178</v>
      </c>
      <c r="B27" s="139">
        <v>-37</v>
      </c>
      <c r="C27" s="47">
        <v>92.5</v>
      </c>
      <c r="D27" s="47">
        <v>34.200000000000003</v>
      </c>
      <c r="E27" s="47">
        <v>25.724399999999999</v>
      </c>
      <c r="F27" s="47">
        <v>53.46</v>
      </c>
      <c r="G27" s="47">
        <v>19.89</v>
      </c>
      <c r="H27" s="47">
        <v>19.77</v>
      </c>
      <c r="I27" s="47">
        <v>19.75</v>
      </c>
      <c r="J27" s="47">
        <v>19.88</v>
      </c>
      <c r="K27" s="143">
        <f t="shared" si="6"/>
        <v>19.822499999999998</v>
      </c>
      <c r="L27" s="95">
        <f t="shared" si="7"/>
        <v>7.2743842809317338E-2</v>
      </c>
      <c r="M27" s="10">
        <f t="shared" si="8"/>
        <v>0.81237862213493384</v>
      </c>
      <c r="N27" s="96">
        <f t="shared" si="9"/>
        <v>0.51611465645279042</v>
      </c>
      <c r="O27" s="97">
        <f t="shared" si="10"/>
        <v>27.735600000000002</v>
      </c>
      <c r="P27" s="102">
        <v>41955</v>
      </c>
      <c r="Q27" s="142">
        <v>88669.73</v>
      </c>
      <c r="R27" s="108">
        <f t="shared" si="4"/>
        <v>1875</v>
      </c>
      <c r="S27" s="2">
        <v>164</v>
      </c>
      <c r="T27">
        <v>20.28</v>
      </c>
      <c r="U27"/>
      <c r="V27"/>
      <c r="W27" s="2">
        <v>359</v>
      </c>
      <c r="X27">
        <v>22.08</v>
      </c>
      <c r="Y27" s="47"/>
      <c r="Z27" s="47"/>
      <c r="AA27" s="47">
        <v>0</v>
      </c>
      <c r="AB27" s="47">
        <v>0</v>
      </c>
      <c r="AC27" s="130">
        <f t="shared" si="11"/>
        <v>0.11097360959596923</v>
      </c>
      <c r="AD27" s="96">
        <f t="shared" si="12"/>
        <v>1.3722834162233268E-2</v>
      </c>
      <c r="AE27" s="96">
        <f t="shared" si="13"/>
        <v>0.89495024651465516</v>
      </c>
      <c r="AF27" s="96">
        <f t="shared" si="14"/>
        <v>1.0498886356523824</v>
      </c>
      <c r="AG27" s="96">
        <f t="shared" si="15"/>
        <v>0.13837762174416618</v>
      </c>
      <c r="AH27" s="96">
        <f t="shared" si="16"/>
        <v>0.13547974999999998</v>
      </c>
      <c r="AI27" s="126">
        <f t="shared" si="17"/>
        <v>1.4596074999999999</v>
      </c>
      <c r="AJ27" s="131">
        <f t="shared" si="18"/>
        <v>4.1000000000000002E-2</v>
      </c>
      <c r="AK27" s="130">
        <f t="shared" si="19"/>
        <v>0.24292393807898141</v>
      </c>
      <c r="AL27" s="96">
        <f t="shared" si="20"/>
        <v>1.4940837194384148E-2</v>
      </c>
      <c r="AM27" s="96">
        <f t="shared" si="21"/>
        <v>1.0816890238975065</v>
      </c>
      <c r="AN27" s="96">
        <f t="shared" si="22"/>
        <v>7.2928172445734921E-2</v>
      </c>
      <c r="AO27" s="4">
        <f t="shared" si="23"/>
        <v>2.3591000000000001E-2</v>
      </c>
      <c r="AP27" s="6">
        <f t="shared" si="24"/>
        <v>1.0902192500000001</v>
      </c>
      <c r="AQ27" s="5">
        <f t="shared" si="5"/>
        <v>0.36599999999999999</v>
      </c>
      <c r="AR27" s="4"/>
      <c r="AS27" s="132">
        <f t="shared" si="25"/>
        <v>0</v>
      </c>
      <c r="AT27" s="133">
        <f t="shared" si="26"/>
        <v>0</v>
      </c>
      <c r="AU27" s="133">
        <f t="shared" si="27"/>
        <v>-1.7397308091385302E-2</v>
      </c>
      <c r="AV27" s="133">
        <f t="shared" si="28"/>
        <v>-1.9576624694222684E-2</v>
      </c>
      <c r="AW27" s="133">
        <f t="shared" si="29"/>
        <v>1.7397308091385302E-2</v>
      </c>
      <c r="AX27" s="5">
        <f t="shared" si="30"/>
        <v>8.9999999999999993E-3</v>
      </c>
      <c r="AY27" s="5">
        <f t="shared" si="31"/>
        <v>1.08157182</v>
      </c>
      <c r="AZ27" s="5">
        <f t="shared" si="32"/>
        <v>0.85199999999999998</v>
      </c>
      <c r="BA27" s="134">
        <f t="shared" si="33"/>
        <v>0</v>
      </c>
      <c r="BB27" s="133">
        <f t="shared" si="34"/>
        <v>0</v>
      </c>
      <c r="BC27" s="106">
        <f t="shared" si="35"/>
        <v>-3.9826165325829159E-2</v>
      </c>
      <c r="BD27" s="106">
        <f t="shared" si="36"/>
        <v>0.102410139409275</v>
      </c>
      <c r="BE27" s="133">
        <f t="shared" si="37"/>
        <v>-1548370365.2723899</v>
      </c>
      <c r="BF27" s="135">
        <f t="shared" si="38"/>
        <v>3981523796.4147177</v>
      </c>
      <c r="BG27" s="133">
        <f t="shared" si="39"/>
        <v>1.8297750000000002E-2</v>
      </c>
      <c r="BH27" s="135">
        <f t="shared" si="40"/>
        <v>1.0970282499999999</v>
      </c>
      <c r="BI27" s="106">
        <f t="shared" si="41"/>
        <v>0.10390000000000001</v>
      </c>
      <c r="BJ27" s="130">
        <f t="shared" si="42"/>
        <v>0</v>
      </c>
      <c r="BK27" s="96">
        <f t="shared" si="43"/>
        <v>0</v>
      </c>
      <c r="BL27" s="96">
        <f t="shared" si="44"/>
        <v>-0.21268170693104271</v>
      </c>
      <c r="BM27" s="135">
        <f t="shared" si="45"/>
        <v>-3.1924955932035753E+23</v>
      </c>
      <c r="BN27" s="96">
        <f t="shared" si="46"/>
        <v>6.2032164521554127E-2</v>
      </c>
      <c r="BO27" s="5">
        <f t="shared" si="47"/>
        <v>0.114755</v>
      </c>
      <c r="BP27" s="5">
        <f t="shared" si="48"/>
        <v>1.2536352499999999</v>
      </c>
      <c r="BQ27" s="5">
        <f t="shared" si="49"/>
        <v>3.9E-2</v>
      </c>
    </row>
    <row r="28" spans="1:69" s="79" customFormat="1" ht="15">
      <c r="A28" s="157" t="s">
        <v>179</v>
      </c>
      <c r="B28" s="139">
        <v>-39</v>
      </c>
      <c r="C28" s="47">
        <v>109.7</v>
      </c>
      <c r="D28" s="47">
        <v>43.8</v>
      </c>
      <c r="E28" s="47"/>
      <c r="F28" s="47"/>
      <c r="G28" s="47"/>
      <c r="H28" s="47"/>
      <c r="I28" s="47"/>
      <c r="J28" s="47"/>
      <c r="K28" s="143" t="e">
        <f t="shared" si="6"/>
        <v>#DIV/0!</v>
      </c>
      <c r="L28" s="95" t="e">
        <f t="shared" si="7"/>
        <v>#DIV/0!</v>
      </c>
      <c r="M28" s="10">
        <f t="shared" si="8"/>
        <v>0.79259988825016814</v>
      </c>
      <c r="N28" s="96" t="e">
        <f t="shared" si="9"/>
        <v>#DIV/0!</v>
      </c>
      <c r="O28" s="97">
        <f t="shared" si="10"/>
        <v>0</v>
      </c>
      <c r="P28" s="102"/>
      <c r="Q28" s="142"/>
      <c r="R28" s="108">
        <f t="shared" si="4"/>
        <v>-40080</v>
      </c>
      <c r="S28" s="2"/>
      <c r="T28"/>
      <c r="U28"/>
      <c r="V28"/>
      <c r="W28" s="2"/>
      <c r="X28"/>
      <c r="Y28" s="47"/>
      <c r="Z28" s="47"/>
      <c r="AA28" s="47"/>
      <c r="AB28" s="47"/>
      <c r="AC28" s="130" t="e">
        <f t="shared" si="11"/>
        <v>#DIV/0!</v>
      </c>
      <c r="AD28" s="96" t="e">
        <f t="shared" si="12"/>
        <v>#DIV/0!</v>
      </c>
      <c r="AE28" s="96" t="e">
        <f t="shared" si="13"/>
        <v>#DIV/0!</v>
      </c>
      <c r="AF28" s="96" t="e">
        <f t="shared" si="14"/>
        <v>#DIV/0!</v>
      </c>
      <c r="AG28" s="96" t="e">
        <f t="shared" si="15"/>
        <v>#DIV/0!</v>
      </c>
      <c r="AH28" s="96" t="e">
        <f t="shared" si="16"/>
        <v>#DIV/0!</v>
      </c>
      <c r="AI28" s="126" t="e">
        <f t="shared" si="17"/>
        <v>#DIV/0!</v>
      </c>
      <c r="AJ28" s="131">
        <f t="shared" si="18"/>
        <v>4.1000000000000002E-2</v>
      </c>
      <c r="AK28" s="130" t="e">
        <f t="shared" si="19"/>
        <v>#DIV/0!</v>
      </c>
      <c r="AL28" s="96" t="e">
        <f t="shared" si="20"/>
        <v>#DIV/0!</v>
      </c>
      <c r="AM28" s="96" t="e">
        <f t="shared" si="21"/>
        <v>#DIV/0!</v>
      </c>
      <c r="AN28" s="96" t="e">
        <f t="shared" si="22"/>
        <v>#DIV/0!</v>
      </c>
      <c r="AO28" s="4" t="e">
        <f t="shared" si="23"/>
        <v>#DIV/0!</v>
      </c>
      <c r="AP28" s="6" t="e">
        <f t="shared" si="24"/>
        <v>#DIV/0!</v>
      </c>
      <c r="AQ28" s="5">
        <f t="shared" si="5"/>
        <v>0.36599999999999999</v>
      </c>
      <c r="AR28" s="4"/>
      <c r="AS28" s="132" t="e">
        <f t="shared" si="25"/>
        <v>#DIV/0!</v>
      </c>
      <c r="AT28" s="133" t="e">
        <f t="shared" si="26"/>
        <v>#DIV/0!</v>
      </c>
      <c r="AU28" s="133" t="e">
        <f t="shared" si="27"/>
        <v>#DIV/0!</v>
      </c>
      <c r="AV28" s="133" t="e">
        <f t="shared" si="28"/>
        <v>#DIV/0!</v>
      </c>
      <c r="AW28" s="133" t="e">
        <f t="shared" si="29"/>
        <v>#DIV/0!</v>
      </c>
      <c r="AX28" s="5" t="e">
        <f t="shared" si="30"/>
        <v>#DIV/0!</v>
      </c>
      <c r="AY28" s="5" t="e">
        <f t="shared" si="31"/>
        <v>#DIV/0!</v>
      </c>
      <c r="AZ28" s="5">
        <f t="shared" si="32"/>
        <v>0.85199999999999998</v>
      </c>
      <c r="BA28" s="134" t="e">
        <f t="shared" si="33"/>
        <v>#DIV/0!</v>
      </c>
      <c r="BB28" s="133" t="e">
        <f t="shared" si="34"/>
        <v>#DIV/0!</v>
      </c>
      <c r="BC28" s="106" t="e">
        <f t="shared" si="35"/>
        <v>#DIV/0!</v>
      </c>
      <c r="BD28" s="106" t="e">
        <f t="shared" si="36"/>
        <v>#DIV/0!</v>
      </c>
      <c r="BE28" s="133" t="e">
        <f t="shared" si="37"/>
        <v>#DIV/0!</v>
      </c>
      <c r="BF28" s="135" t="e">
        <f t="shared" si="38"/>
        <v>#DIV/0!</v>
      </c>
      <c r="BG28" s="133" t="e">
        <f t="shared" si="39"/>
        <v>#DIV/0!</v>
      </c>
      <c r="BH28" s="135" t="e">
        <f t="shared" si="40"/>
        <v>#DIV/0!</v>
      </c>
      <c r="BI28" s="106">
        <f t="shared" si="41"/>
        <v>0.10390000000000001</v>
      </c>
      <c r="BJ28" s="130" t="e">
        <f t="shared" si="42"/>
        <v>#DIV/0!</v>
      </c>
      <c r="BK28" s="96" t="e">
        <f t="shared" si="43"/>
        <v>#DIV/0!</v>
      </c>
      <c r="BL28" s="96" t="e">
        <f t="shared" si="44"/>
        <v>#DIV/0!</v>
      </c>
      <c r="BM28" s="135" t="e">
        <f t="shared" si="45"/>
        <v>#DIV/0!</v>
      </c>
      <c r="BN28" s="96" t="e">
        <f t="shared" si="46"/>
        <v>#DIV/0!</v>
      </c>
      <c r="BO28" s="5" t="e">
        <f t="shared" si="47"/>
        <v>#DIV/0!</v>
      </c>
      <c r="BP28" s="5" t="e">
        <f t="shared" si="48"/>
        <v>#DIV/0!</v>
      </c>
      <c r="BQ28" s="5">
        <f t="shared" si="49"/>
        <v>3.9E-2</v>
      </c>
    </row>
    <row r="29" spans="1:69" s="79" customFormat="1" ht="15">
      <c r="A29" s="157" t="s">
        <v>180</v>
      </c>
      <c r="B29" s="139">
        <v>-41</v>
      </c>
      <c r="C29" s="47">
        <v>105.4</v>
      </c>
      <c r="D29" s="47">
        <v>42.4</v>
      </c>
      <c r="E29" s="47"/>
      <c r="F29" s="47"/>
      <c r="G29" s="47"/>
      <c r="H29" s="47"/>
      <c r="I29" s="47"/>
      <c r="J29" s="47"/>
      <c r="K29" s="143" t="e">
        <f t="shared" si="6"/>
        <v>#DIV/0!</v>
      </c>
      <c r="L29" s="95" t="e">
        <f t="shared" si="7"/>
        <v>#DIV/0!</v>
      </c>
      <c r="M29" s="10">
        <f t="shared" si="8"/>
        <v>0.79053453216085368</v>
      </c>
      <c r="N29" s="96" t="e">
        <f t="shared" si="9"/>
        <v>#DIV/0!</v>
      </c>
      <c r="O29" s="97">
        <f t="shared" si="10"/>
        <v>0</v>
      </c>
      <c r="P29" s="102"/>
      <c r="Q29" s="142"/>
      <c r="R29" s="108">
        <f t="shared" si="4"/>
        <v>-40080</v>
      </c>
      <c r="S29" s="2"/>
      <c r="T29"/>
      <c r="U29"/>
      <c r="V29"/>
      <c r="W29" s="2"/>
      <c r="X29"/>
      <c r="Y29" s="47"/>
      <c r="Z29" s="47"/>
      <c r="AA29" s="47"/>
      <c r="AB29" s="47"/>
      <c r="AC29" s="130" t="e">
        <f t="shared" si="11"/>
        <v>#DIV/0!</v>
      </c>
      <c r="AD29" s="96" t="e">
        <f t="shared" si="12"/>
        <v>#DIV/0!</v>
      </c>
      <c r="AE29" s="96" t="e">
        <f t="shared" si="13"/>
        <v>#DIV/0!</v>
      </c>
      <c r="AF29" s="96" t="e">
        <f t="shared" si="14"/>
        <v>#DIV/0!</v>
      </c>
      <c r="AG29" s="96" t="e">
        <f t="shared" si="15"/>
        <v>#DIV/0!</v>
      </c>
      <c r="AH29" s="96" t="e">
        <f t="shared" si="16"/>
        <v>#DIV/0!</v>
      </c>
      <c r="AI29" s="126" t="e">
        <f t="shared" si="17"/>
        <v>#DIV/0!</v>
      </c>
      <c r="AJ29" s="131">
        <f t="shared" si="18"/>
        <v>4.1000000000000002E-2</v>
      </c>
      <c r="AK29" s="130" t="e">
        <f t="shared" si="19"/>
        <v>#DIV/0!</v>
      </c>
      <c r="AL29" s="96" t="e">
        <f t="shared" si="20"/>
        <v>#DIV/0!</v>
      </c>
      <c r="AM29" s="96" t="e">
        <f t="shared" si="21"/>
        <v>#DIV/0!</v>
      </c>
      <c r="AN29" s="96" t="e">
        <f t="shared" si="22"/>
        <v>#DIV/0!</v>
      </c>
      <c r="AO29" s="4" t="e">
        <f t="shared" si="23"/>
        <v>#DIV/0!</v>
      </c>
      <c r="AP29" s="6" t="e">
        <f t="shared" si="24"/>
        <v>#DIV/0!</v>
      </c>
      <c r="AQ29" s="5">
        <f t="shared" si="5"/>
        <v>0.36599999999999999</v>
      </c>
      <c r="AR29" s="4"/>
      <c r="AS29" s="132" t="e">
        <f t="shared" si="25"/>
        <v>#DIV/0!</v>
      </c>
      <c r="AT29" s="133" t="e">
        <f t="shared" si="26"/>
        <v>#DIV/0!</v>
      </c>
      <c r="AU29" s="133" t="e">
        <f t="shared" si="27"/>
        <v>#DIV/0!</v>
      </c>
      <c r="AV29" s="133" t="e">
        <f t="shared" si="28"/>
        <v>#DIV/0!</v>
      </c>
      <c r="AW29" s="133" t="e">
        <f t="shared" si="29"/>
        <v>#DIV/0!</v>
      </c>
      <c r="AX29" s="5" t="e">
        <f t="shared" si="30"/>
        <v>#DIV/0!</v>
      </c>
      <c r="AY29" s="5" t="e">
        <f t="shared" si="31"/>
        <v>#DIV/0!</v>
      </c>
      <c r="AZ29" s="5">
        <f t="shared" si="32"/>
        <v>0.85199999999999998</v>
      </c>
      <c r="BA29" s="134" t="e">
        <f t="shared" si="33"/>
        <v>#DIV/0!</v>
      </c>
      <c r="BB29" s="133" t="e">
        <f t="shared" si="34"/>
        <v>#DIV/0!</v>
      </c>
      <c r="BC29" s="106" t="e">
        <f t="shared" si="35"/>
        <v>#DIV/0!</v>
      </c>
      <c r="BD29" s="106" t="e">
        <f t="shared" si="36"/>
        <v>#DIV/0!</v>
      </c>
      <c r="BE29" s="133" t="e">
        <f t="shared" si="37"/>
        <v>#DIV/0!</v>
      </c>
      <c r="BF29" s="135" t="e">
        <f t="shared" si="38"/>
        <v>#DIV/0!</v>
      </c>
      <c r="BG29" s="133" t="e">
        <f t="shared" si="39"/>
        <v>#DIV/0!</v>
      </c>
      <c r="BH29" s="135" t="e">
        <f t="shared" si="40"/>
        <v>#DIV/0!</v>
      </c>
      <c r="BI29" s="106">
        <f t="shared" si="41"/>
        <v>0.10390000000000001</v>
      </c>
      <c r="BJ29" s="130" t="e">
        <f t="shared" si="42"/>
        <v>#DIV/0!</v>
      </c>
      <c r="BK29" s="96" t="e">
        <f t="shared" si="43"/>
        <v>#DIV/0!</v>
      </c>
      <c r="BL29" s="96" t="e">
        <f t="shared" si="44"/>
        <v>#DIV/0!</v>
      </c>
      <c r="BM29" s="135" t="e">
        <f t="shared" si="45"/>
        <v>#DIV/0!</v>
      </c>
      <c r="BN29" s="96" t="e">
        <f t="shared" si="46"/>
        <v>#DIV/0!</v>
      </c>
      <c r="BO29" s="5" t="e">
        <f t="shared" si="47"/>
        <v>#DIV/0!</v>
      </c>
      <c r="BP29" s="5" t="e">
        <f t="shared" si="48"/>
        <v>#DIV/0!</v>
      </c>
      <c r="BQ29" s="5">
        <f t="shared" si="49"/>
        <v>3.9E-2</v>
      </c>
    </row>
    <row r="30" spans="1:69" s="79" customFormat="1" ht="15">
      <c r="A30" s="157" t="s">
        <v>181</v>
      </c>
      <c r="B30" s="139">
        <v>-43</v>
      </c>
      <c r="C30" s="47">
        <v>97.9</v>
      </c>
      <c r="D30" s="47">
        <v>39.1</v>
      </c>
      <c r="E30" s="47"/>
      <c r="F30" s="47"/>
      <c r="G30" s="47"/>
      <c r="H30" s="47"/>
      <c r="I30" s="47"/>
      <c r="J30" s="47"/>
      <c r="K30" s="143" t="e">
        <f t="shared" si="6"/>
        <v>#DIV/0!</v>
      </c>
      <c r="L30" s="95" t="e">
        <f t="shared" si="7"/>
        <v>#DIV/0!</v>
      </c>
      <c r="M30" s="10">
        <f t="shared" si="8"/>
        <v>0.79252011122195576</v>
      </c>
      <c r="N30" s="96" t="e">
        <f t="shared" si="9"/>
        <v>#DIV/0!</v>
      </c>
      <c r="O30" s="97">
        <f t="shared" si="10"/>
        <v>0</v>
      </c>
      <c r="P30" s="102"/>
      <c r="Q30" s="142"/>
      <c r="R30" s="108">
        <f t="shared" si="4"/>
        <v>-40080</v>
      </c>
      <c r="S30" s="2"/>
      <c r="T30"/>
      <c r="U30"/>
      <c r="V30"/>
      <c r="W30" s="2"/>
      <c r="X30"/>
      <c r="Y30" s="47"/>
      <c r="Z30" s="47"/>
      <c r="AA30" s="47"/>
      <c r="AB30" s="47"/>
      <c r="AC30" s="130" t="e">
        <f t="shared" si="11"/>
        <v>#DIV/0!</v>
      </c>
      <c r="AD30" s="96" t="e">
        <f t="shared" si="12"/>
        <v>#DIV/0!</v>
      </c>
      <c r="AE30" s="96" t="e">
        <f t="shared" si="13"/>
        <v>#DIV/0!</v>
      </c>
      <c r="AF30" s="96" t="e">
        <f t="shared" si="14"/>
        <v>#DIV/0!</v>
      </c>
      <c r="AG30" s="96" t="e">
        <f t="shared" si="15"/>
        <v>#DIV/0!</v>
      </c>
      <c r="AH30" s="96" t="e">
        <f t="shared" si="16"/>
        <v>#DIV/0!</v>
      </c>
      <c r="AI30" s="126" t="e">
        <f t="shared" si="17"/>
        <v>#DIV/0!</v>
      </c>
      <c r="AJ30" s="131">
        <f t="shared" si="18"/>
        <v>4.1000000000000002E-2</v>
      </c>
      <c r="AK30" s="130" t="e">
        <f t="shared" si="19"/>
        <v>#DIV/0!</v>
      </c>
      <c r="AL30" s="96" t="e">
        <f t="shared" si="20"/>
        <v>#DIV/0!</v>
      </c>
      <c r="AM30" s="96" t="e">
        <f t="shared" si="21"/>
        <v>#DIV/0!</v>
      </c>
      <c r="AN30" s="96" t="e">
        <f t="shared" si="22"/>
        <v>#DIV/0!</v>
      </c>
      <c r="AO30" s="4" t="e">
        <f t="shared" si="23"/>
        <v>#DIV/0!</v>
      </c>
      <c r="AP30" s="6" t="e">
        <f t="shared" si="24"/>
        <v>#DIV/0!</v>
      </c>
      <c r="AQ30" s="5">
        <f t="shared" si="5"/>
        <v>0.36599999999999999</v>
      </c>
      <c r="AR30" s="4"/>
      <c r="AS30" s="132" t="e">
        <f t="shared" si="25"/>
        <v>#DIV/0!</v>
      </c>
      <c r="AT30" s="133" t="e">
        <f t="shared" si="26"/>
        <v>#DIV/0!</v>
      </c>
      <c r="AU30" s="133" t="e">
        <f t="shared" si="27"/>
        <v>#DIV/0!</v>
      </c>
      <c r="AV30" s="133" t="e">
        <f t="shared" si="28"/>
        <v>#DIV/0!</v>
      </c>
      <c r="AW30" s="133" t="e">
        <f t="shared" si="29"/>
        <v>#DIV/0!</v>
      </c>
      <c r="AX30" s="5" t="e">
        <f t="shared" si="30"/>
        <v>#DIV/0!</v>
      </c>
      <c r="AY30" s="5" t="e">
        <f t="shared" si="31"/>
        <v>#DIV/0!</v>
      </c>
      <c r="AZ30" s="5">
        <f t="shared" si="32"/>
        <v>0.85199999999999998</v>
      </c>
      <c r="BA30" s="134" t="e">
        <f t="shared" si="33"/>
        <v>#DIV/0!</v>
      </c>
      <c r="BB30" s="133" t="e">
        <f t="shared" si="34"/>
        <v>#DIV/0!</v>
      </c>
      <c r="BC30" s="106" t="e">
        <f t="shared" si="35"/>
        <v>#DIV/0!</v>
      </c>
      <c r="BD30" s="106" t="e">
        <f t="shared" si="36"/>
        <v>#DIV/0!</v>
      </c>
      <c r="BE30" s="133" t="e">
        <f t="shared" si="37"/>
        <v>#DIV/0!</v>
      </c>
      <c r="BF30" s="135" t="e">
        <f t="shared" si="38"/>
        <v>#DIV/0!</v>
      </c>
      <c r="BG30" s="133" t="e">
        <f t="shared" si="39"/>
        <v>#DIV/0!</v>
      </c>
      <c r="BH30" s="135" t="e">
        <f t="shared" si="40"/>
        <v>#DIV/0!</v>
      </c>
      <c r="BI30" s="106">
        <f t="shared" si="41"/>
        <v>0.10390000000000001</v>
      </c>
      <c r="BJ30" s="130" t="e">
        <f t="shared" si="42"/>
        <v>#DIV/0!</v>
      </c>
      <c r="BK30" s="96" t="e">
        <f t="shared" si="43"/>
        <v>#DIV/0!</v>
      </c>
      <c r="BL30" s="96" t="e">
        <f t="shared" si="44"/>
        <v>#DIV/0!</v>
      </c>
      <c r="BM30" s="135" t="e">
        <f t="shared" si="45"/>
        <v>#DIV/0!</v>
      </c>
      <c r="BN30" s="96" t="e">
        <f t="shared" si="46"/>
        <v>#DIV/0!</v>
      </c>
      <c r="BO30" s="5" t="e">
        <f t="shared" si="47"/>
        <v>#DIV/0!</v>
      </c>
      <c r="BP30" s="5" t="e">
        <f t="shared" si="48"/>
        <v>#DIV/0!</v>
      </c>
      <c r="BQ30" s="5">
        <f t="shared" si="49"/>
        <v>3.9E-2</v>
      </c>
    </row>
    <row r="31" spans="1:69" s="79" customFormat="1" ht="15">
      <c r="A31" s="157" t="s">
        <v>182</v>
      </c>
      <c r="B31" s="139">
        <v>-45</v>
      </c>
      <c r="C31" s="47">
        <v>89.6</v>
      </c>
      <c r="D31" s="47">
        <v>34.9</v>
      </c>
      <c r="E31" s="47"/>
      <c r="F31" s="47"/>
      <c r="G31" s="47"/>
      <c r="H31" s="47"/>
      <c r="I31" s="47"/>
      <c r="J31" s="47"/>
      <c r="K31" s="143" t="e">
        <f t="shared" si="6"/>
        <v>#DIV/0!</v>
      </c>
      <c r="L31" s="95" t="e">
        <f t="shared" si="7"/>
        <v>#DIV/0!</v>
      </c>
      <c r="M31" s="10">
        <f t="shared" si="8"/>
        <v>0.79923837135724074</v>
      </c>
      <c r="N31" s="96" t="e">
        <f t="shared" si="9"/>
        <v>#DIV/0!</v>
      </c>
      <c r="O31" s="97">
        <f t="shared" si="10"/>
        <v>0</v>
      </c>
      <c r="P31" s="102"/>
      <c r="Q31" s="142"/>
      <c r="R31" s="108">
        <f t="shared" si="4"/>
        <v>-40080</v>
      </c>
      <c r="S31" s="2"/>
      <c r="T31"/>
      <c r="U31"/>
      <c r="V31"/>
      <c r="W31" s="2"/>
      <c r="X31"/>
      <c r="Y31" s="47"/>
      <c r="Z31" s="47"/>
      <c r="AA31" s="47"/>
      <c r="AB31" s="47"/>
      <c r="AC31" s="130" t="e">
        <f t="shared" si="11"/>
        <v>#DIV/0!</v>
      </c>
      <c r="AD31" s="96" t="e">
        <f t="shared" si="12"/>
        <v>#DIV/0!</v>
      </c>
      <c r="AE31" s="96" t="e">
        <f t="shared" si="13"/>
        <v>#DIV/0!</v>
      </c>
      <c r="AF31" s="96" t="e">
        <f t="shared" si="14"/>
        <v>#DIV/0!</v>
      </c>
      <c r="AG31" s="96" t="e">
        <f t="shared" si="15"/>
        <v>#DIV/0!</v>
      </c>
      <c r="AH31" s="96" t="e">
        <f t="shared" si="16"/>
        <v>#DIV/0!</v>
      </c>
      <c r="AI31" s="126" t="e">
        <f t="shared" si="17"/>
        <v>#DIV/0!</v>
      </c>
      <c r="AJ31" s="131">
        <f t="shared" si="18"/>
        <v>4.1000000000000002E-2</v>
      </c>
      <c r="AK31" s="130" t="e">
        <f t="shared" si="19"/>
        <v>#DIV/0!</v>
      </c>
      <c r="AL31" s="96" t="e">
        <f t="shared" si="20"/>
        <v>#DIV/0!</v>
      </c>
      <c r="AM31" s="96" t="e">
        <f t="shared" si="21"/>
        <v>#DIV/0!</v>
      </c>
      <c r="AN31" s="96" t="e">
        <f t="shared" si="22"/>
        <v>#DIV/0!</v>
      </c>
      <c r="AO31" s="4" t="e">
        <f t="shared" si="23"/>
        <v>#DIV/0!</v>
      </c>
      <c r="AP31" s="6" t="e">
        <f t="shared" si="24"/>
        <v>#DIV/0!</v>
      </c>
      <c r="AQ31" s="5">
        <f t="shared" si="5"/>
        <v>0.36599999999999999</v>
      </c>
      <c r="AR31" s="4"/>
      <c r="AS31" s="132" t="e">
        <f t="shared" si="25"/>
        <v>#DIV/0!</v>
      </c>
      <c r="AT31" s="133" t="e">
        <f t="shared" si="26"/>
        <v>#DIV/0!</v>
      </c>
      <c r="AU31" s="133" t="e">
        <f t="shared" si="27"/>
        <v>#DIV/0!</v>
      </c>
      <c r="AV31" s="133" t="e">
        <f t="shared" si="28"/>
        <v>#DIV/0!</v>
      </c>
      <c r="AW31" s="133" t="e">
        <f t="shared" si="29"/>
        <v>#DIV/0!</v>
      </c>
      <c r="AX31" s="5" t="e">
        <f t="shared" si="30"/>
        <v>#DIV/0!</v>
      </c>
      <c r="AY31" s="5" t="e">
        <f t="shared" si="31"/>
        <v>#DIV/0!</v>
      </c>
      <c r="AZ31" s="5">
        <f t="shared" si="32"/>
        <v>0.85199999999999998</v>
      </c>
      <c r="BA31" s="134" t="e">
        <f t="shared" si="33"/>
        <v>#DIV/0!</v>
      </c>
      <c r="BB31" s="133" t="e">
        <f t="shared" si="34"/>
        <v>#DIV/0!</v>
      </c>
      <c r="BC31" s="106" t="e">
        <f t="shared" si="35"/>
        <v>#DIV/0!</v>
      </c>
      <c r="BD31" s="106" t="e">
        <f t="shared" si="36"/>
        <v>#DIV/0!</v>
      </c>
      <c r="BE31" s="133" t="e">
        <f t="shared" si="37"/>
        <v>#DIV/0!</v>
      </c>
      <c r="BF31" s="135" t="e">
        <f t="shared" si="38"/>
        <v>#DIV/0!</v>
      </c>
      <c r="BG31" s="133" t="e">
        <f t="shared" si="39"/>
        <v>#DIV/0!</v>
      </c>
      <c r="BH31" s="135" t="e">
        <f t="shared" si="40"/>
        <v>#DIV/0!</v>
      </c>
      <c r="BI31" s="106">
        <f t="shared" si="41"/>
        <v>0.10390000000000001</v>
      </c>
      <c r="BJ31" s="130" t="e">
        <f t="shared" si="42"/>
        <v>#DIV/0!</v>
      </c>
      <c r="BK31" s="96" t="e">
        <f t="shared" si="43"/>
        <v>#DIV/0!</v>
      </c>
      <c r="BL31" s="96" t="e">
        <f t="shared" si="44"/>
        <v>#DIV/0!</v>
      </c>
      <c r="BM31" s="135" t="e">
        <f t="shared" si="45"/>
        <v>#DIV/0!</v>
      </c>
      <c r="BN31" s="96" t="e">
        <f t="shared" si="46"/>
        <v>#DIV/0!</v>
      </c>
      <c r="BO31" s="5" t="e">
        <f t="shared" si="47"/>
        <v>#DIV/0!</v>
      </c>
      <c r="BP31" s="5" t="e">
        <f t="shared" si="48"/>
        <v>#DIV/0!</v>
      </c>
      <c r="BQ31" s="5">
        <f t="shared" si="49"/>
        <v>3.9E-2</v>
      </c>
    </row>
    <row r="32" spans="1:69" s="79" customFormat="1" ht="15">
      <c r="A32" s="157" t="s">
        <v>183</v>
      </c>
      <c r="B32" s="139">
        <v>-47</v>
      </c>
      <c r="C32" s="47">
        <v>112.7</v>
      </c>
      <c r="D32" s="47">
        <v>48.7</v>
      </c>
      <c r="E32" s="47"/>
      <c r="F32" s="47"/>
      <c r="G32" s="47"/>
      <c r="H32" s="47"/>
      <c r="I32" s="47"/>
      <c r="J32" s="47"/>
      <c r="K32" s="143" t="e">
        <f t="shared" si="6"/>
        <v>#DIV/0!</v>
      </c>
      <c r="L32" s="95" t="e">
        <f t="shared" si="7"/>
        <v>#DIV/0!</v>
      </c>
      <c r="M32" s="10">
        <f t="shared" si="8"/>
        <v>0.76947836788791057</v>
      </c>
      <c r="N32" s="96" t="e">
        <f t="shared" si="9"/>
        <v>#DIV/0!</v>
      </c>
      <c r="O32" s="97">
        <f t="shared" si="10"/>
        <v>0</v>
      </c>
      <c r="P32" s="102"/>
      <c r="Q32" s="142"/>
      <c r="R32" s="108">
        <f t="shared" si="4"/>
        <v>-40080</v>
      </c>
      <c r="S32" s="2"/>
      <c r="T32"/>
      <c r="U32"/>
      <c r="V32"/>
      <c r="W32" s="2"/>
      <c r="X32"/>
      <c r="Y32" s="47"/>
      <c r="Z32" s="47"/>
      <c r="AA32" s="47"/>
      <c r="AB32" s="47"/>
      <c r="AC32" s="130" t="e">
        <f t="shared" ref="AC32:AC58" si="50">S32/(Q32/60)</f>
        <v>#DIV/0!</v>
      </c>
      <c r="AD32" s="96" t="e">
        <f t="shared" ref="AD32:AD58" si="51">T32/(Q32/60)</f>
        <v>#DIV/0!</v>
      </c>
      <c r="AE32" s="96" t="e">
        <f t="shared" ref="AE32:AE58" si="52">(AC32*AI32-$AI$5)/(AJ32*AH32*O32)</f>
        <v>#DIV/0!</v>
      </c>
      <c r="AF32" s="96" t="e">
        <f t="shared" ref="AF32:AF58" si="53">(AE32*(EXP(0.000085158*R32)))</f>
        <v>#DIV/0!</v>
      </c>
      <c r="AG32" s="96" t="e">
        <f t="shared" ref="AG32:AG58" si="54">SQRT(AI32^2*AD32^2+$AJ$5^2)/(AJ32*AH32*O32)</f>
        <v>#DIV/0!</v>
      </c>
      <c r="AH32" s="96" t="e">
        <f t="shared" ref="AH32:AH58" si="55">$AF$5+$AE$5*(K32-2.8)</f>
        <v>#DIV/0!</v>
      </c>
      <c r="AI32" s="126" t="e">
        <f t="shared" ref="AI32:AI58" si="56">$AH$5+$AG$5*(K32-2.8)</f>
        <v>#DIV/0!</v>
      </c>
      <c r="AJ32" s="131">
        <f t="shared" si="18"/>
        <v>4.1000000000000002E-2</v>
      </c>
      <c r="AK32" s="130" t="e">
        <f t="shared" ref="AK32:AK58" si="57">W32/(Q32/60)</f>
        <v>#DIV/0!</v>
      </c>
      <c r="AL32" s="96" t="e">
        <f t="shared" ref="AL32:AL58" si="58">X32/(Q32/60)</f>
        <v>#DIV/0!</v>
      </c>
      <c r="AM32" s="96" t="e">
        <f t="shared" ref="AM32:AM58" si="59">(AK32*AP32-$AQ$5)/(AQ32*AO32*O32)</f>
        <v>#DIV/0!</v>
      </c>
      <c r="AN32" s="96" t="e">
        <f t="shared" ref="AN32:AN58" si="60">SQRT(AP32^2*AL32^2+$AR$5^2)/(AQ32*AO32*O32)</f>
        <v>#DIV/0!</v>
      </c>
      <c r="AO32" s="4" t="e">
        <f t="shared" ref="AO32:AO58" si="61">$AN$5+$AM$5*(K32-2.8)</f>
        <v>#DIV/0!</v>
      </c>
      <c r="AP32" s="6" t="e">
        <f t="shared" ref="AP32:AP58" si="62">$AP$5+$AO$5*(K32-2.8)</f>
        <v>#DIV/0!</v>
      </c>
      <c r="AQ32" s="5">
        <f t="shared" si="5"/>
        <v>0.36599999999999999</v>
      </c>
      <c r="AR32" s="4"/>
      <c r="AS32" s="132" t="e">
        <f t="shared" ref="AS32:AS58" si="63">AA32/(Q32/60)</f>
        <v>#DIV/0!</v>
      </c>
      <c r="AT32" s="133" t="e">
        <f t="shared" ref="AT32:AT58" si="64">AB32/(Q32/60)</f>
        <v>#DIV/0!</v>
      </c>
      <c r="AU32" s="133" t="e">
        <f t="shared" ref="AU32:AU58" si="65">(AS32*AY32-$AY$5)/(AZ32*AX32*O32)</f>
        <v>#DIV/0!</v>
      </c>
      <c r="AV32" s="133" t="e">
        <f t="shared" ref="AV32:AV58" si="66">AU32*EXP((0.0000629444)*(R32))</f>
        <v>#DIV/0!</v>
      </c>
      <c r="AW32" s="133" t="e">
        <f t="shared" ref="AW32:AW58" si="67">SQRT(AY32^2*AT32^2+$AY$5^2)/(AZ32*AX32*O32)</f>
        <v>#DIV/0!</v>
      </c>
      <c r="AX32" s="5" t="e">
        <f t="shared" ref="AX32:AX58" si="68">$AU$5+$AV$5*(K32-2.8)</f>
        <v>#DIV/0!</v>
      </c>
      <c r="AY32" s="5" t="e">
        <f t="shared" ref="AY32:AY58" si="69">$AW$5+$AX$5*(K32-2.8)</f>
        <v>#DIV/0!</v>
      </c>
      <c r="AZ32" s="5">
        <f t="shared" si="32"/>
        <v>0.85199999999999998</v>
      </c>
      <c r="BA32" s="134" t="e">
        <f t="shared" ref="BA32:BA58" si="70">Y32/(Q32/60)</f>
        <v>#DIV/0!</v>
      </c>
      <c r="BB32" s="133" t="e">
        <f t="shared" ref="BB32:BB58" si="71">Z32/(Q32/60)</f>
        <v>#DIV/0!</v>
      </c>
      <c r="BC32" s="106" t="e">
        <f t="shared" ref="BC32:BC58" si="72">(BA32*BH32-$BG$5)/(BI32*BG32*O32)</f>
        <v>#DIV/0!</v>
      </c>
      <c r="BD32" s="106" t="e">
        <f t="shared" ref="BD32:BD58" si="73">SQRT(BH32^2*BB32^2+$BH$5^2)/(BI32*BG32*O32)</f>
        <v>#DIV/0!</v>
      </c>
      <c r="BE32" s="133" t="e">
        <f t="shared" ref="BE32:BE58" si="74">BC32*EXP(0.01300464*R32)</f>
        <v>#DIV/0!</v>
      </c>
      <c r="BF32" s="135" t="e">
        <f t="shared" ref="BF32:BF58" si="75">BD32*EXP(0.01300464*R32)</f>
        <v>#DIV/0!</v>
      </c>
      <c r="BG32" s="133" t="e">
        <f t="shared" ref="BG32:BG58" si="76">$BD$5+$BC$5*(K32-2.8)</f>
        <v>#DIV/0!</v>
      </c>
      <c r="BH32" s="135" t="e">
        <f t="shared" ref="BH32:BH58" si="77">$BF$5+$BE$5*(K32-2.8)</f>
        <v>#DIV/0!</v>
      </c>
      <c r="BI32" s="106">
        <f t="shared" si="41"/>
        <v>0.10390000000000001</v>
      </c>
      <c r="BJ32" s="130" t="e">
        <f t="shared" ref="BJ32:BJ58" si="78">U32/(Q32/60)</f>
        <v>#DIV/0!</v>
      </c>
      <c r="BK32" s="96" t="e">
        <f t="shared" ref="BK32:BK58" si="79">V32/(Q32/60)</f>
        <v>#DIV/0!</v>
      </c>
      <c r="BL32" s="96" t="e">
        <f t="shared" ref="BL32:BL58" si="80">(BJ32*BP32-$BP$5)/(BQ32*BO32*O32)</f>
        <v>#DIV/0!</v>
      </c>
      <c r="BM32" s="135" t="e">
        <f t="shared" ref="BM32:BM58" si="81">(BL32-$D$3)*EXP($BJ$5*R32)</f>
        <v>#DIV/0!</v>
      </c>
      <c r="BN32" s="96" t="e">
        <f t="shared" ref="BN32:BN58" si="82">SQRT(BP32^2*BK32^2+$BQ$5^2)/(BQ32*BO32*O32)</f>
        <v>#DIV/0!</v>
      </c>
      <c r="BO32" s="5" t="e">
        <f t="shared" ref="BO32:BO58" si="83">$BM$5+$BL$5*(K32-2.8)</f>
        <v>#DIV/0!</v>
      </c>
      <c r="BP32" s="5" t="e">
        <f t="shared" ref="BP32:BP58" si="84">$BO$5+$BN$5*(K32-2.8)</f>
        <v>#DIV/0!</v>
      </c>
      <c r="BQ32" s="5">
        <f t="shared" si="49"/>
        <v>3.9E-2</v>
      </c>
    </row>
    <row r="33" spans="1:69" s="79" customFormat="1" ht="15">
      <c r="A33" s="157" t="s">
        <v>184</v>
      </c>
      <c r="B33" s="139">
        <v>-49</v>
      </c>
      <c r="C33" s="47">
        <v>139.80000000000001</v>
      </c>
      <c r="D33" s="47">
        <v>90.3</v>
      </c>
      <c r="E33" s="47"/>
      <c r="F33" s="47"/>
      <c r="G33" s="47"/>
      <c r="H33" s="47"/>
      <c r="I33" s="47"/>
      <c r="J33" s="47"/>
      <c r="K33" s="143" t="e">
        <f t="shared" si="6"/>
        <v>#DIV/0!</v>
      </c>
      <c r="L33" s="95" t="e">
        <f t="shared" si="7"/>
        <v>#DIV/0!</v>
      </c>
      <c r="M33" s="10">
        <f t="shared" si="8"/>
        <v>0.58200249965282602</v>
      </c>
      <c r="N33" s="96" t="e">
        <f t="shared" si="9"/>
        <v>#DIV/0!</v>
      </c>
      <c r="O33" s="97">
        <f t="shared" si="10"/>
        <v>0</v>
      </c>
      <c r="P33" s="102"/>
      <c r="Q33" s="142"/>
      <c r="R33" s="108">
        <f t="shared" si="4"/>
        <v>-40080</v>
      </c>
      <c r="S33" s="2"/>
      <c r="T33"/>
      <c r="U33"/>
      <c r="V33"/>
      <c r="W33" s="2"/>
      <c r="X33"/>
      <c r="Y33" s="47"/>
      <c r="Z33" s="47"/>
      <c r="AA33" s="47"/>
      <c r="AB33" s="47"/>
      <c r="AC33" s="130" t="e">
        <f t="shared" si="50"/>
        <v>#DIV/0!</v>
      </c>
      <c r="AD33" s="96" t="e">
        <f t="shared" si="51"/>
        <v>#DIV/0!</v>
      </c>
      <c r="AE33" s="96" t="e">
        <f t="shared" si="52"/>
        <v>#DIV/0!</v>
      </c>
      <c r="AF33" s="96" t="e">
        <f t="shared" si="53"/>
        <v>#DIV/0!</v>
      </c>
      <c r="AG33" s="96" t="e">
        <f t="shared" si="54"/>
        <v>#DIV/0!</v>
      </c>
      <c r="AH33" s="96" t="e">
        <f t="shared" si="55"/>
        <v>#DIV/0!</v>
      </c>
      <c r="AI33" s="126" t="e">
        <f t="shared" si="56"/>
        <v>#DIV/0!</v>
      </c>
      <c r="AJ33" s="131">
        <f t="shared" si="18"/>
        <v>4.1000000000000002E-2</v>
      </c>
      <c r="AK33" s="130" t="e">
        <f t="shared" si="57"/>
        <v>#DIV/0!</v>
      </c>
      <c r="AL33" s="96" t="e">
        <f t="shared" si="58"/>
        <v>#DIV/0!</v>
      </c>
      <c r="AM33" s="96" t="e">
        <f t="shared" si="59"/>
        <v>#DIV/0!</v>
      </c>
      <c r="AN33" s="96" t="e">
        <f t="shared" si="60"/>
        <v>#DIV/0!</v>
      </c>
      <c r="AO33" s="4" t="e">
        <f t="shared" si="61"/>
        <v>#DIV/0!</v>
      </c>
      <c r="AP33" s="6" t="e">
        <f t="shared" si="62"/>
        <v>#DIV/0!</v>
      </c>
      <c r="AQ33" s="5">
        <f t="shared" si="5"/>
        <v>0.36599999999999999</v>
      </c>
      <c r="AR33" s="4"/>
      <c r="AS33" s="132" t="e">
        <f t="shared" si="63"/>
        <v>#DIV/0!</v>
      </c>
      <c r="AT33" s="133" t="e">
        <f t="shared" si="64"/>
        <v>#DIV/0!</v>
      </c>
      <c r="AU33" s="133" t="e">
        <f t="shared" si="65"/>
        <v>#DIV/0!</v>
      </c>
      <c r="AV33" s="133" t="e">
        <f t="shared" si="66"/>
        <v>#DIV/0!</v>
      </c>
      <c r="AW33" s="133" t="e">
        <f t="shared" si="67"/>
        <v>#DIV/0!</v>
      </c>
      <c r="AX33" s="5" t="e">
        <f t="shared" si="68"/>
        <v>#DIV/0!</v>
      </c>
      <c r="AY33" s="5" t="e">
        <f t="shared" si="69"/>
        <v>#DIV/0!</v>
      </c>
      <c r="AZ33" s="5">
        <f t="shared" si="32"/>
        <v>0.85199999999999998</v>
      </c>
      <c r="BA33" s="134" t="e">
        <f t="shared" si="70"/>
        <v>#DIV/0!</v>
      </c>
      <c r="BB33" s="133" t="e">
        <f t="shared" si="71"/>
        <v>#DIV/0!</v>
      </c>
      <c r="BC33" s="106" t="e">
        <f t="shared" si="72"/>
        <v>#DIV/0!</v>
      </c>
      <c r="BD33" s="106" t="e">
        <f t="shared" si="73"/>
        <v>#DIV/0!</v>
      </c>
      <c r="BE33" s="133" t="e">
        <f t="shared" si="74"/>
        <v>#DIV/0!</v>
      </c>
      <c r="BF33" s="135" t="e">
        <f t="shared" si="75"/>
        <v>#DIV/0!</v>
      </c>
      <c r="BG33" s="133" t="e">
        <f t="shared" si="76"/>
        <v>#DIV/0!</v>
      </c>
      <c r="BH33" s="135" t="e">
        <f t="shared" si="77"/>
        <v>#DIV/0!</v>
      </c>
      <c r="BI33" s="106">
        <f t="shared" si="41"/>
        <v>0.10390000000000001</v>
      </c>
      <c r="BJ33" s="130" t="e">
        <f t="shared" si="78"/>
        <v>#DIV/0!</v>
      </c>
      <c r="BK33" s="96" t="e">
        <f t="shared" si="79"/>
        <v>#DIV/0!</v>
      </c>
      <c r="BL33" s="96" t="e">
        <f t="shared" si="80"/>
        <v>#DIV/0!</v>
      </c>
      <c r="BM33" s="135" t="e">
        <f t="shared" si="81"/>
        <v>#DIV/0!</v>
      </c>
      <c r="BN33" s="96" t="e">
        <f t="shared" si="82"/>
        <v>#DIV/0!</v>
      </c>
      <c r="BO33" s="5" t="e">
        <f t="shared" si="83"/>
        <v>#DIV/0!</v>
      </c>
      <c r="BP33" s="5" t="e">
        <f t="shared" si="84"/>
        <v>#DIV/0!</v>
      </c>
      <c r="BQ33" s="5">
        <f t="shared" si="49"/>
        <v>3.9E-2</v>
      </c>
    </row>
    <row r="34" spans="1:69" s="79" customFormat="1" ht="15">
      <c r="A34" s="158" t="s">
        <v>185</v>
      </c>
      <c r="B34" s="139">
        <v>-51</v>
      </c>
      <c r="C34" s="47">
        <v>106.9</v>
      </c>
      <c r="D34" s="47">
        <v>53.8</v>
      </c>
      <c r="E34" s="47"/>
      <c r="F34" s="47"/>
      <c r="G34" s="47"/>
      <c r="H34" s="47"/>
      <c r="I34" s="47"/>
      <c r="J34" s="47"/>
      <c r="K34" s="143" t="e">
        <f t="shared" si="6"/>
        <v>#DIV/0!</v>
      </c>
      <c r="L34" s="95" t="e">
        <f t="shared" si="7"/>
        <v>#DIV/0!</v>
      </c>
      <c r="M34" s="10">
        <f t="shared" si="8"/>
        <v>0.71485207288762631</v>
      </c>
      <c r="N34" s="96" t="e">
        <f t="shared" si="9"/>
        <v>#DIV/0!</v>
      </c>
      <c r="O34" s="97">
        <f t="shared" si="10"/>
        <v>0</v>
      </c>
      <c r="P34" s="102"/>
      <c r="Q34" s="142"/>
      <c r="R34" s="108">
        <f t="shared" si="4"/>
        <v>-40080</v>
      </c>
      <c r="S34" s="2"/>
      <c r="T34"/>
      <c r="U34"/>
      <c r="V34"/>
      <c r="W34" s="2"/>
      <c r="X34"/>
      <c r="Y34" s="47"/>
      <c r="Z34" s="47"/>
      <c r="AA34" s="47"/>
      <c r="AB34" s="47"/>
      <c r="AC34" s="130" t="e">
        <f t="shared" si="50"/>
        <v>#DIV/0!</v>
      </c>
      <c r="AD34" s="96" t="e">
        <f t="shared" si="51"/>
        <v>#DIV/0!</v>
      </c>
      <c r="AE34" s="96" t="e">
        <f t="shared" si="52"/>
        <v>#DIV/0!</v>
      </c>
      <c r="AF34" s="96" t="e">
        <f t="shared" si="53"/>
        <v>#DIV/0!</v>
      </c>
      <c r="AG34" s="96" t="e">
        <f t="shared" si="54"/>
        <v>#DIV/0!</v>
      </c>
      <c r="AH34" s="96" t="e">
        <f t="shared" si="55"/>
        <v>#DIV/0!</v>
      </c>
      <c r="AI34" s="126" t="e">
        <f t="shared" si="56"/>
        <v>#DIV/0!</v>
      </c>
      <c r="AJ34" s="131">
        <f t="shared" si="18"/>
        <v>4.1000000000000002E-2</v>
      </c>
      <c r="AK34" s="130" t="e">
        <f t="shared" si="57"/>
        <v>#DIV/0!</v>
      </c>
      <c r="AL34" s="96" t="e">
        <f t="shared" si="58"/>
        <v>#DIV/0!</v>
      </c>
      <c r="AM34" s="96" t="e">
        <f t="shared" si="59"/>
        <v>#DIV/0!</v>
      </c>
      <c r="AN34" s="96" t="e">
        <f t="shared" si="60"/>
        <v>#DIV/0!</v>
      </c>
      <c r="AO34" s="4" t="e">
        <f t="shared" si="61"/>
        <v>#DIV/0!</v>
      </c>
      <c r="AP34" s="6" t="e">
        <f t="shared" si="62"/>
        <v>#DIV/0!</v>
      </c>
      <c r="AQ34" s="5">
        <f t="shared" si="5"/>
        <v>0.36599999999999999</v>
      </c>
      <c r="AR34" s="4"/>
      <c r="AS34" s="132" t="e">
        <f t="shared" si="63"/>
        <v>#DIV/0!</v>
      </c>
      <c r="AT34" s="133" t="e">
        <f t="shared" si="64"/>
        <v>#DIV/0!</v>
      </c>
      <c r="AU34" s="133" t="e">
        <f t="shared" si="65"/>
        <v>#DIV/0!</v>
      </c>
      <c r="AV34" s="133" t="e">
        <f t="shared" si="66"/>
        <v>#DIV/0!</v>
      </c>
      <c r="AW34" s="133" t="e">
        <f t="shared" si="67"/>
        <v>#DIV/0!</v>
      </c>
      <c r="AX34" s="5" t="e">
        <f t="shared" si="68"/>
        <v>#DIV/0!</v>
      </c>
      <c r="AY34" s="5" t="e">
        <f t="shared" si="69"/>
        <v>#DIV/0!</v>
      </c>
      <c r="AZ34" s="5">
        <f t="shared" si="32"/>
        <v>0.85199999999999998</v>
      </c>
      <c r="BA34" s="134" t="e">
        <f t="shared" si="70"/>
        <v>#DIV/0!</v>
      </c>
      <c r="BB34" s="133" t="e">
        <f t="shared" si="71"/>
        <v>#DIV/0!</v>
      </c>
      <c r="BC34" s="106" t="e">
        <f t="shared" si="72"/>
        <v>#DIV/0!</v>
      </c>
      <c r="BD34" s="106" t="e">
        <f t="shared" si="73"/>
        <v>#DIV/0!</v>
      </c>
      <c r="BE34" s="133" t="e">
        <f t="shared" si="74"/>
        <v>#DIV/0!</v>
      </c>
      <c r="BF34" s="135" t="e">
        <f t="shared" si="75"/>
        <v>#DIV/0!</v>
      </c>
      <c r="BG34" s="133" t="e">
        <f t="shared" si="76"/>
        <v>#DIV/0!</v>
      </c>
      <c r="BH34" s="135" t="e">
        <f t="shared" si="77"/>
        <v>#DIV/0!</v>
      </c>
      <c r="BI34" s="106">
        <f t="shared" si="41"/>
        <v>0.10390000000000001</v>
      </c>
      <c r="BJ34" s="130" t="e">
        <f t="shared" si="78"/>
        <v>#DIV/0!</v>
      </c>
      <c r="BK34" s="96" t="e">
        <f t="shared" si="79"/>
        <v>#DIV/0!</v>
      </c>
      <c r="BL34" s="96" t="e">
        <f t="shared" si="80"/>
        <v>#DIV/0!</v>
      </c>
      <c r="BM34" s="135" t="e">
        <f t="shared" si="81"/>
        <v>#DIV/0!</v>
      </c>
      <c r="BN34" s="96" t="e">
        <f t="shared" si="82"/>
        <v>#DIV/0!</v>
      </c>
      <c r="BO34" s="5" t="e">
        <f t="shared" si="83"/>
        <v>#DIV/0!</v>
      </c>
      <c r="BP34" s="5" t="e">
        <f t="shared" si="84"/>
        <v>#DIV/0!</v>
      </c>
      <c r="BQ34" s="5">
        <f t="shared" si="49"/>
        <v>3.9E-2</v>
      </c>
    </row>
    <row r="35" spans="1:69" s="79" customFormat="1" ht="15">
      <c r="A35" s="158" t="s">
        <v>186</v>
      </c>
      <c r="B35" s="139">
        <v>-53</v>
      </c>
      <c r="C35" s="47">
        <v>101.8</v>
      </c>
      <c r="D35" s="47">
        <v>41.7</v>
      </c>
      <c r="E35" s="47"/>
      <c r="F35" s="47"/>
      <c r="G35" s="47"/>
      <c r="H35" s="47"/>
      <c r="I35" s="47"/>
      <c r="J35" s="47"/>
      <c r="K35" s="143" t="e">
        <f t="shared" si="6"/>
        <v>#DIV/0!</v>
      </c>
      <c r="L35" s="95" t="e">
        <f t="shared" si="7"/>
        <v>#DIV/0!</v>
      </c>
      <c r="M35" s="10">
        <f t="shared" si="8"/>
        <v>0.7854430575136091</v>
      </c>
      <c r="N35" s="96" t="e">
        <f t="shared" si="9"/>
        <v>#DIV/0!</v>
      </c>
      <c r="O35" s="97">
        <f t="shared" si="10"/>
        <v>0</v>
      </c>
      <c r="P35" s="102"/>
      <c r="Q35" s="142"/>
      <c r="R35" s="108">
        <f t="shared" si="4"/>
        <v>-40080</v>
      </c>
      <c r="S35" s="2"/>
      <c r="T35"/>
      <c r="U35"/>
      <c r="V35"/>
      <c r="W35" s="2"/>
      <c r="X35"/>
      <c r="Y35" s="47"/>
      <c r="Z35" s="47"/>
      <c r="AA35" s="47"/>
      <c r="AB35" s="47"/>
      <c r="AC35" s="130" t="e">
        <f t="shared" si="50"/>
        <v>#DIV/0!</v>
      </c>
      <c r="AD35" s="96" t="e">
        <f t="shared" si="51"/>
        <v>#DIV/0!</v>
      </c>
      <c r="AE35" s="96" t="e">
        <f t="shared" si="52"/>
        <v>#DIV/0!</v>
      </c>
      <c r="AF35" s="96" t="e">
        <f t="shared" si="53"/>
        <v>#DIV/0!</v>
      </c>
      <c r="AG35" s="96" t="e">
        <f t="shared" si="54"/>
        <v>#DIV/0!</v>
      </c>
      <c r="AH35" s="96" t="e">
        <f t="shared" si="55"/>
        <v>#DIV/0!</v>
      </c>
      <c r="AI35" s="126" t="e">
        <f t="shared" si="56"/>
        <v>#DIV/0!</v>
      </c>
      <c r="AJ35" s="131">
        <f t="shared" si="18"/>
        <v>4.1000000000000002E-2</v>
      </c>
      <c r="AK35" s="130" t="e">
        <f t="shared" si="57"/>
        <v>#DIV/0!</v>
      </c>
      <c r="AL35" s="96" t="e">
        <f t="shared" si="58"/>
        <v>#DIV/0!</v>
      </c>
      <c r="AM35" s="96" t="e">
        <f t="shared" si="59"/>
        <v>#DIV/0!</v>
      </c>
      <c r="AN35" s="96" t="e">
        <f t="shared" si="60"/>
        <v>#DIV/0!</v>
      </c>
      <c r="AO35" s="4" t="e">
        <f t="shared" si="61"/>
        <v>#DIV/0!</v>
      </c>
      <c r="AP35" s="6" t="e">
        <f t="shared" si="62"/>
        <v>#DIV/0!</v>
      </c>
      <c r="AQ35" s="5">
        <f t="shared" si="5"/>
        <v>0.36599999999999999</v>
      </c>
      <c r="AR35" s="4"/>
      <c r="AS35" s="132" t="e">
        <f t="shared" si="63"/>
        <v>#DIV/0!</v>
      </c>
      <c r="AT35" s="133" t="e">
        <f t="shared" si="64"/>
        <v>#DIV/0!</v>
      </c>
      <c r="AU35" s="133" t="e">
        <f t="shared" si="65"/>
        <v>#DIV/0!</v>
      </c>
      <c r="AV35" s="133" t="e">
        <f t="shared" si="66"/>
        <v>#DIV/0!</v>
      </c>
      <c r="AW35" s="133" t="e">
        <f t="shared" si="67"/>
        <v>#DIV/0!</v>
      </c>
      <c r="AX35" s="5" t="e">
        <f t="shared" si="68"/>
        <v>#DIV/0!</v>
      </c>
      <c r="AY35" s="5" t="e">
        <f t="shared" si="69"/>
        <v>#DIV/0!</v>
      </c>
      <c r="AZ35" s="5">
        <f t="shared" si="32"/>
        <v>0.85199999999999998</v>
      </c>
      <c r="BA35" s="134" t="e">
        <f t="shared" si="70"/>
        <v>#DIV/0!</v>
      </c>
      <c r="BB35" s="133" t="e">
        <f t="shared" si="71"/>
        <v>#DIV/0!</v>
      </c>
      <c r="BC35" s="106" t="e">
        <f t="shared" si="72"/>
        <v>#DIV/0!</v>
      </c>
      <c r="BD35" s="106" t="e">
        <f t="shared" si="73"/>
        <v>#DIV/0!</v>
      </c>
      <c r="BE35" s="133" t="e">
        <f t="shared" si="74"/>
        <v>#DIV/0!</v>
      </c>
      <c r="BF35" s="135" t="e">
        <f t="shared" si="75"/>
        <v>#DIV/0!</v>
      </c>
      <c r="BG35" s="133" t="e">
        <f t="shared" si="76"/>
        <v>#DIV/0!</v>
      </c>
      <c r="BH35" s="135" t="e">
        <f t="shared" si="77"/>
        <v>#DIV/0!</v>
      </c>
      <c r="BI35" s="106">
        <f t="shared" si="41"/>
        <v>0.10390000000000001</v>
      </c>
      <c r="BJ35" s="130" t="e">
        <f t="shared" si="78"/>
        <v>#DIV/0!</v>
      </c>
      <c r="BK35" s="96" t="e">
        <f t="shared" si="79"/>
        <v>#DIV/0!</v>
      </c>
      <c r="BL35" s="96" t="e">
        <f t="shared" si="80"/>
        <v>#DIV/0!</v>
      </c>
      <c r="BM35" s="135" t="e">
        <f t="shared" si="81"/>
        <v>#DIV/0!</v>
      </c>
      <c r="BN35" s="96" t="e">
        <f t="shared" si="82"/>
        <v>#DIV/0!</v>
      </c>
      <c r="BO35" s="5" t="e">
        <f t="shared" si="83"/>
        <v>#DIV/0!</v>
      </c>
      <c r="BP35" s="5" t="e">
        <f t="shared" si="84"/>
        <v>#DIV/0!</v>
      </c>
      <c r="BQ35" s="5">
        <f t="shared" si="49"/>
        <v>3.9E-2</v>
      </c>
    </row>
    <row r="36" spans="1:69" s="79" customFormat="1" ht="15">
      <c r="A36" s="158" t="s">
        <v>187</v>
      </c>
      <c r="B36" s="139">
        <v>-55</v>
      </c>
      <c r="C36" s="47">
        <v>103.1</v>
      </c>
      <c r="D36" s="47">
        <v>38.700000000000003</v>
      </c>
      <c r="E36" s="47"/>
      <c r="F36" s="47"/>
      <c r="G36" s="47"/>
      <c r="H36" s="47"/>
      <c r="I36" s="47"/>
      <c r="J36" s="47"/>
      <c r="K36" s="143" t="e">
        <f t="shared" si="6"/>
        <v>#DIV/0!</v>
      </c>
      <c r="L36" s="95" t="e">
        <f t="shared" si="7"/>
        <v>#DIV/0!</v>
      </c>
      <c r="M36" s="10">
        <f t="shared" si="8"/>
        <v>0.80867725286242553</v>
      </c>
      <c r="N36" s="96" t="e">
        <f t="shared" si="9"/>
        <v>#DIV/0!</v>
      </c>
      <c r="O36" s="97">
        <f t="shared" si="10"/>
        <v>0</v>
      </c>
      <c r="P36" s="102"/>
      <c r="Q36" s="142"/>
      <c r="R36" s="108">
        <f t="shared" si="4"/>
        <v>-40080</v>
      </c>
      <c r="S36" s="2"/>
      <c r="T36"/>
      <c r="U36"/>
      <c r="V36"/>
      <c r="W36" s="2"/>
      <c r="X36"/>
      <c r="Y36" s="47"/>
      <c r="Z36" s="47"/>
      <c r="AA36" s="47"/>
      <c r="AB36" s="47"/>
      <c r="AC36" s="130" t="e">
        <f t="shared" si="50"/>
        <v>#DIV/0!</v>
      </c>
      <c r="AD36" s="96" t="e">
        <f t="shared" si="51"/>
        <v>#DIV/0!</v>
      </c>
      <c r="AE36" s="96" t="e">
        <f t="shared" si="52"/>
        <v>#DIV/0!</v>
      </c>
      <c r="AF36" s="96" t="e">
        <f t="shared" si="53"/>
        <v>#DIV/0!</v>
      </c>
      <c r="AG36" s="96" t="e">
        <f t="shared" si="54"/>
        <v>#DIV/0!</v>
      </c>
      <c r="AH36" s="96" t="e">
        <f t="shared" si="55"/>
        <v>#DIV/0!</v>
      </c>
      <c r="AI36" s="126" t="e">
        <f t="shared" si="56"/>
        <v>#DIV/0!</v>
      </c>
      <c r="AJ36" s="131">
        <f t="shared" si="18"/>
        <v>4.1000000000000002E-2</v>
      </c>
      <c r="AK36" s="130" t="e">
        <f t="shared" si="57"/>
        <v>#DIV/0!</v>
      </c>
      <c r="AL36" s="96" t="e">
        <f t="shared" si="58"/>
        <v>#DIV/0!</v>
      </c>
      <c r="AM36" s="96" t="e">
        <f t="shared" si="59"/>
        <v>#DIV/0!</v>
      </c>
      <c r="AN36" s="96" t="e">
        <f t="shared" si="60"/>
        <v>#DIV/0!</v>
      </c>
      <c r="AO36" s="4" t="e">
        <f t="shared" si="61"/>
        <v>#DIV/0!</v>
      </c>
      <c r="AP36" s="6" t="e">
        <f t="shared" si="62"/>
        <v>#DIV/0!</v>
      </c>
      <c r="AQ36" s="5">
        <f t="shared" si="5"/>
        <v>0.36599999999999999</v>
      </c>
      <c r="AR36" s="4"/>
      <c r="AS36" s="132" t="e">
        <f t="shared" si="63"/>
        <v>#DIV/0!</v>
      </c>
      <c r="AT36" s="133" t="e">
        <f t="shared" si="64"/>
        <v>#DIV/0!</v>
      </c>
      <c r="AU36" s="133" t="e">
        <f t="shared" si="65"/>
        <v>#DIV/0!</v>
      </c>
      <c r="AV36" s="133" t="e">
        <f t="shared" si="66"/>
        <v>#DIV/0!</v>
      </c>
      <c r="AW36" s="133" t="e">
        <f t="shared" si="67"/>
        <v>#DIV/0!</v>
      </c>
      <c r="AX36" s="5" t="e">
        <f t="shared" si="68"/>
        <v>#DIV/0!</v>
      </c>
      <c r="AY36" s="5" t="e">
        <f t="shared" si="69"/>
        <v>#DIV/0!</v>
      </c>
      <c r="AZ36" s="5">
        <f t="shared" si="32"/>
        <v>0.85199999999999998</v>
      </c>
      <c r="BA36" s="134" t="e">
        <f t="shared" si="70"/>
        <v>#DIV/0!</v>
      </c>
      <c r="BB36" s="133" t="e">
        <f t="shared" si="71"/>
        <v>#DIV/0!</v>
      </c>
      <c r="BC36" s="106" t="e">
        <f t="shared" si="72"/>
        <v>#DIV/0!</v>
      </c>
      <c r="BD36" s="106" t="e">
        <f t="shared" si="73"/>
        <v>#DIV/0!</v>
      </c>
      <c r="BE36" s="133" t="e">
        <f t="shared" si="74"/>
        <v>#DIV/0!</v>
      </c>
      <c r="BF36" s="135" t="e">
        <f t="shared" si="75"/>
        <v>#DIV/0!</v>
      </c>
      <c r="BG36" s="133" t="e">
        <f t="shared" si="76"/>
        <v>#DIV/0!</v>
      </c>
      <c r="BH36" s="135" t="e">
        <f t="shared" si="77"/>
        <v>#DIV/0!</v>
      </c>
      <c r="BI36" s="106">
        <f t="shared" si="41"/>
        <v>0.10390000000000001</v>
      </c>
      <c r="BJ36" s="130" t="e">
        <f t="shared" si="78"/>
        <v>#DIV/0!</v>
      </c>
      <c r="BK36" s="96" t="e">
        <f t="shared" si="79"/>
        <v>#DIV/0!</v>
      </c>
      <c r="BL36" s="96" t="e">
        <f t="shared" si="80"/>
        <v>#DIV/0!</v>
      </c>
      <c r="BM36" s="135" t="e">
        <f t="shared" si="81"/>
        <v>#DIV/0!</v>
      </c>
      <c r="BN36" s="96" t="e">
        <f t="shared" si="82"/>
        <v>#DIV/0!</v>
      </c>
      <c r="BO36" s="5" t="e">
        <f t="shared" si="83"/>
        <v>#DIV/0!</v>
      </c>
      <c r="BP36" s="5" t="e">
        <f t="shared" si="84"/>
        <v>#DIV/0!</v>
      </c>
      <c r="BQ36" s="5">
        <f t="shared" si="49"/>
        <v>3.9E-2</v>
      </c>
    </row>
    <row r="37" spans="1:69" s="79" customFormat="1" ht="15">
      <c r="A37" s="158" t="s">
        <v>188</v>
      </c>
      <c r="B37" s="139">
        <v>-57</v>
      </c>
      <c r="C37" s="47">
        <v>95.7</v>
      </c>
      <c r="D37" s="47">
        <v>35.5</v>
      </c>
      <c r="E37" s="47"/>
      <c r="F37" s="47"/>
      <c r="G37" s="47"/>
      <c r="H37" s="47"/>
      <c r="I37" s="47"/>
      <c r="J37" s="47"/>
      <c r="K37" s="143" t="e">
        <f t="shared" si="6"/>
        <v>#DIV/0!</v>
      </c>
      <c r="L37" s="95" t="e">
        <f t="shared" si="7"/>
        <v>#DIV/0!</v>
      </c>
      <c r="M37" s="10">
        <f t="shared" si="8"/>
        <v>0.81157912615175576</v>
      </c>
      <c r="N37" s="96" t="e">
        <f t="shared" si="9"/>
        <v>#DIV/0!</v>
      </c>
      <c r="O37" s="97">
        <f t="shared" si="10"/>
        <v>0</v>
      </c>
      <c r="P37" s="102"/>
      <c r="Q37" s="142"/>
      <c r="R37" s="108">
        <f t="shared" si="4"/>
        <v>-40080</v>
      </c>
      <c r="S37" s="2"/>
      <c r="T37"/>
      <c r="U37"/>
      <c r="V37"/>
      <c r="W37" s="2"/>
      <c r="X37"/>
      <c r="Y37" s="47"/>
      <c r="Z37" s="47"/>
      <c r="AA37" s="47"/>
      <c r="AB37" s="47"/>
      <c r="AC37" s="130" t="e">
        <f t="shared" si="50"/>
        <v>#DIV/0!</v>
      </c>
      <c r="AD37" s="96" t="e">
        <f t="shared" si="51"/>
        <v>#DIV/0!</v>
      </c>
      <c r="AE37" s="96" t="e">
        <f t="shared" si="52"/>
        <v>#DIV/0!</v>
      </c>
      <c r="AF37" s="96" t="e">
        <f t="shared" si="53"/>
        <v>#DIV/0!</v>
      </c>
      <c r="AG37" s="96" t="e">
        <f t="shared" si="54"/>
        <v>#DIV/0!</v>
      </c>
      <c r="AH37" s="96" t="e">
        <f t="shared" si="55"/>
        <v>#DIV/0!</v>
      </c>
      <c r="AI37" s="126" t="e">
        <f t="shared" si="56"/>
        <v>#DIV/0!</v>
      </c>
      <c r="AJ37" s="131">
        <f t="shared" si="18"/>
        <v>4.1000000000000002E-2</v>
      </c>
      <c r="AK37" s="130" t="e">
        <f t="shared" si="57"/>
        <v>#DIV/0!</v>
      </c>
      <c r="AL37" s="96" t="e">
        <f t="shared" si="58"/>
        <v>#DIV/0!</v>
      </c>
      <c r="AM37" s="96" t="e">
        <f t="shared" si="59"/>
        <v>#DIV/0!</v>
      </c>
      <c r="AN37" s="96" t="e">
        <f t="shared" si="60"/>
        <v>#DIV/0!</v>
      </c>
      <c r="AO37" s="4" t="e">
        <f t="shared" si="61"/>
        <v>#DIV/0!</v>
      </c>
      <c r="AP37" s="6" t="e">
        <f t="shared" si="62"/>
        <v>#DIV/0!</v>
      </c>
      <c r="AQ37" s="5">
        <f t="shared" si="5"/>
        <v>0.36599999999999999</v>
      </c>
      <c r="AR37" s="4"/>
      <c r="AS37" s="132" t="e">
        <f t="shared" si="63"/>
        <v>#DIV/0!</v>
      </c>
      <c r="AT37" s="133" t="e">
        <f t="shared" si="64"/>
        <v>#DIV/0!</v>
      </c>
      <c r="AU37" s="133" t="e">
        <f t="shared" si="65"/>
        <v>#DIV/0!</v>
      </c>
      <c r="AV37" s="133" t="e">
        <f t="shared" si="66"/>
        <v>#DIV/0!</v>
      </c>
      <c r="AW37" s="133" t="e">
        <f t="shared" si="67"/>
        <v>#DIV/0!</v>
      </c>
      <c r="AX37" s="5" t="e">
        <f t="shared" si="68"/>
        <v>#DIV/0!</v>
      </c>
      <c r="AY37" s="5" t="e">
        <f t="shared" si="69"/>
        <v>#DIV/0!</v>
      </c>
      <c r="AZ37" s="5">
        <f t="shared" si="32"/>
        <v>0.85199999999999998</v>
      </c>
      <c r="BA37" s="134" t="e">
        <f t="shared" si="70"/>
        <v>#DIV/0!</v>
      </c>
      <c r="BB37" s="133" t="e">
        <f t="shared" si="71"/>
        <v>#DIV/0!</v>
      </c>
      <c r="BC37" s="106" t="e">
        <f t="shared" si="72"/>
        <v>#DIV/0!</v>
      </c>
      <c r="BD37" s="106" t="e">
        <f t="shared" si="73"/>
        <v>#DIV/0!</v>
      </c>
      <c r="BE37" s="133" t="e">
        <f t="shared" si="74"/>
        <v>#DIV/0!</v>
      </c>
      <c r="BF37" s="135" t="e">
        <f t="shared" si="75"/>
        <v>#DIV/0!</v>
      </c>
      <c r="BG37" s="133" t="e">
        <f t="shared" si="76"/>
        <v>#DIV/0!</v>
      </c>
      <c r="BH37" s="135" t="e">
        <f t="shared" si="77"/>
        <v>#DIV/0!</v>
      </c>
      <c r="BI37" s="106">
        <f t="shared" si="41"/>
        <v>0.10390000000000001</v>
      </c>
      <c r="BJ37" s="130" t="e">
        <f t="shared" si="78"/>
        <v>#DIV/0!</v>
      </c>
      <c r="BK37" s="96" t="e">
        <f t="shared" si="79"/>
        <v>#DIV/0!</v>
      </c>
      <c r="BL37" s="96" t="e">
        <f t="shared" si="80"/>
        <v>#DIV/0!</v>
      </c>
      <c r="BM37" s="135" t="e">
        <f t="shared" si="81"/>
        <v>#DIV/0!</v>
      </c>
      <c r="BN37" s="96" t="e">
        <f t="shared" si="82"/>
        <v>#DIV/0!</v>
      </c>
      <c r="BO37" s="5" t="e">
        <f t="shared" si="83"/>
        <v>#DIV/0!</v>
      </c>
      <c r="BP37" s="5" t="e">
        <f t="shared" si="84"/>
        <v>#DIV/0!</v>
      </c>
      <c r="BQ37" s="5">
        <f t="shared" si="49"/>
        <v>3.9E-2</v>
      </c>
    </row>
    <row r="38" spans="1:69" s="79" customFormat="1" ht="15">
      <c r="A38" s="158" t="s">
        <v>189</v>
      </c>
      <c r="B38" s="139">
        <v>-59</v>
      </c>
      <c r="C38" s="47">
        <v>97.9</v>
      </c>
      <c r="D38" s="47">
        <v>35.4</v>
      </c>
      <c r="E38" s="47"/>
      <c r="F38" s="47"/>
      <c r="G38" s="47"/>
      <c r="H38" s="47"/>
      <c r="I38" s="47"/>
      <c r="J38" s="47"/>
      <c r="K38" s="143" t="e">
        <f t="shared" si="6"/>
        <v>#DIV/0!</v>
      </c>
      <c r="L38" s="95" t="e">
        <f t="shared" si="7"/>
        <v>#DIV/0!</v>
      </c>
      <c r="M38" s="10">
        <f t="shared" si="8"/>
        <v>0.81766675251094512</v>
      </c>
      <c r="N38" s="96" t="e">
        <f t="shared" si="9"/>
        <v>#DIV/0!</v>
      </c>
      <c r="O38" s="97">
        <f t="shared" si="10"/>
        <v>0</v>
      </c>
      <c r="P38" s="102"/>
      <c r="Q38" s="142"/>
      <c r="R38" s="108">
        <f t="shared" si="4"/>
        <v>-40080</v>
      </c>
      <c r="S38" s="2"/>
      <c r="T38"/>
      <c r="U38"/>
      <c r="V38"/>
      <c r="W38" s="2"/>
      <c r="X38"/>
      <c r="Y38" s="47"/>
      <c r="Z38" s="47"/>
      <c r="AA38" s="47"/>
      <c r="AB38" s="47"/>
      <c r="AC38" s="130" t="e">
        <f t="shared" si="50"/>
        <v>#DIV/0!</v>
      </c>
      <c r="AD38" s="96" t="e">
        <f t="shared" si="51"/>
        <v>#DIV/0!</v>
      </c>
      <c r="AE38" s="96" t="e">
        <f t="shared" si="52"/>
        <v>#DIV/0!</v>
      </c>
      <c r="AF38" s="96" t="e">
        <f t="shared" si="53"/>
        <v>#DIV/0!</v>
      </c>
      <c r="AG38" s="96" t="e">
        <f t="shared" si="54"/>
        <v>#DIV/0!</v>
      </c>
      <c r="AH38" s="96" t="e">
        <f t="shared" si="55"/>
        <v>#DIV/0!</v>
      </c>
      <c r="AI38" s="126" t="e">
        <f t="shared" si="56"/>
        <v>#DIV/0!</v>
      </c>
      <c r="AJ38" s="131">
        <f t="shared" si="18"/>
        <v>4.1000000000000002E-2</v>
      </c>
      <c r="AK38" s="130" t="e">
        <f t="shared" si="57"/>
        <v>#DIV/0!</v>
      </c>
      <c r="AL38" s="96" t="e">
        <f t="shared" si="58"/>
        <v>#DIV/0!</v>
      </c>
      <c r="AM38" s="96" t="e">
        <f t="shared" si="59"/>
        <v>#DIV/0!</v>
      </c>
      <c r="AN38" s="96" t="e">
        <f t="shared" si="60"/>
        <v>#DIV/0!</v>
      </c>
      <c r="AO38" s="4" t="e">
        <f t="shared" si="61"/>
        <v>#DIV/0!</v>
      </c>
      <c r="AP38" s="6" t="e">
        <f t="shared" si="62"/>
        <v>#DIV/0!</v>
      </c>
      <c r="AQ38" s="5">
        <f t="shared" si="5"/>
        <v>0.36599999999999999</v>
      </c>
      <c r="AR38" s="4"/>
      <c r="AS38" s="132" t="e">
        <f t="shared" si="63"/>
        <v>#DIV/0!</v>
      </c>
      <c r="AT38" s="133" t="e">
        <f t="shared" si="64"/>
        <v>#DIV/0!</v>
      </c>
      <c r="AU38" s="133" t="e">
        <f t="shared" si="65"/>
        <v>#DIV/0!</v>
      </c>
      <c r="AV38" s="133" t="e">
        <f t="shared" si="66"/>
        <v>#DIV/0!</v>
      </c>
      <c r="AW38" s="133" t="e">
        <f t="shared" si="67"/>
        <v>#DIV/0!</v>
      </c>
      <c r="AX38" s="5" t="e">
        <f t="shared" si="68"/>
        <v>#DIV/0!</v>
      </c>
      <c r="AY38" s="5" t="e">
        <f t="shared" si="69"/>
        <v>#DIV/0!</v>
      </c>
      <c r="AZ38" s="5">
        <f t="shared" si="32"/>
        <v>0.85199999999999998</v>
      </c>
      <c r="BA38" s="134" t="e">
        <f t="shared" si="70"/>
        <v>#DIV/0!</v>
      </c>
      <c r="BB38" s="133" t="e">
        <f t="shared" si="71"/>
        <v>#DIV/0!</v>
      </c>
      <c r="BC38" s="106" t="e">
        <f t="shared" si="72"/>
        <v>#DIV/0!</v>
      </c>
      <c r="BD38" s="106" t="e">
        <f t="shared" si="73"/>
        <v>#DIV/0!</v>
      </c>
      <c r="BE38" s="133" t="e">
        <f t="shared" si="74"/>
        <v>#DIV/0!</v>
      </c>
      <c r="BF38" s="135" t="e">
        <f t="shared" si="75"/>
        <v>#DIV/0!</v>
      </c>
      <c r="BG38" s="133" t="e">
        <f t="shared" si="76"/>
        <v>#DIV/0!</v>
      </c>
      <c r="BH38" s="135" t="e">
        <f t="shared" si="77"/>
        <v>#DIV/0!</v>
      </c>
      <c r="BI38" s="106">
        <f t="shared" si="41"/>
        <v>0.10390000000000001</v>
      </c>
      <c r="BJ38" s="130" t="e">
        <f t="shared" si="78"/>
        <v>#DIV/0!</v>
      </c>
      <c r="BK38" s="96" t="e">
        <f t="shared" si="79"/>
        <v>#DIV/0!</v>
      </c>
      <c r="BL38" s="96" t="e">
        <f t="shared" si="80"/>
        <v>#DIV/0!</v>
      </c>
      <c r="BM38" s="135" t="e">
        <f t="shared" si="81"/>
        <v>#DIV/0!</v>
      </c>
      <c r="BN38" s="96" t="e">
        <f t="shared" si="82"/>
        <v>#DIV/0!</v>
      </c>
      <c r="BO38" s="5" t="e">
        <f t="shared" si="83"/>
        <v>#DIV/0!</v>
      </c>
      <c r="BP38" s="5" t="e">
        <f t="shared" si="84"/>
        <v>#DIV/0!</v>
      </c>
      <c r="BQ38" s="5">
        <f t="shared" si="49"/>
        <v>3.9E-2</v>
      </c>
    </row>
    <row r="39" spans="1:69" s="79" customFormat="1" ht="15">
      <c r="A39" s="157" t="s">
        <v>190</v>
      </c>
      <c r="B39" s="139">
        <v>-61</v>
      </c>
      <c r="C39" s="47">
        <v>98</v>
      </c>
      <c r="D39" s="47">
        <v>37.5</v>
      </c>
      <c r="E39" s="47"/>
      <c r="F39" s="47"/>
      <c r="G39" s="47"/>
      <c r="H39" s="47"/>
      <c r="I39" s="47"/>
      <c r="J39" s="47"/>
      <c r="K39" s="143" t="e">
        <f t="shared" si="6"/>
        <v>#DIV/0!</v>
      </c>
      <c r="L39" s="95" t="e">
        <f t="shared" si="7"/>
        <v>#DIV/0!</v>
      </c>
      <c r="M39" s="10">
        <f t="shared" si="8"/>
        <v>0.80383951456818536</v>
      </c>
      <c r="N39" s="96" t="e">
        <f t="shared" si="9"/>
        <v>#DIV/0!</v>
      </c>
      <c r="O39" s="97">
        <f t="shared" si="10"/>
        <v>0</v>
      </c>
      <c r="P39" s="102"/>
      <c r="Q39" s="142"/>
      <c r="R39" s="108">
        <f t="shared" si="4"/>
        <v>-40080</v>
      </c>
      <c r="S39" s="2"/>
      <c r="T39"/>
      <c r="U39"/>
      <c r="V39"/>
      <c r="W39" s="2"/>
      <c r="X39"/>
      <c r="Y39" s="47"/>
      <c r="Z39" s="47"/>
      <c r="AA39" s="47"/>
      <c r="AB39" s="47"/>
      <c r="AC39" s="130" t="e">
        <f t="shared" si="50"/>
        <v>#DIV/0!</v>
      </c>
      <c r="AD39" s="96" t="e">
        <f t="shared" si="51"/>
        <v>#DIV/0!</v>
      </c>
      <c r="AE39" s="96" t="e">
        <f t="shared" si="52"/>
        <v>#DIV/0!</v>
      </c>
      <c r="AF39" s="96" t="e">
        <f t="shared" si="53"/>
        <v>#DIV/0!</v>
      </c>
      <c r="AG39" s="96" t="e">
        <f t="shared" si="54"/>
        <v>#DIV/0!</v>
      </c>
      <c r="AH39" s="96" t="e">
        <f t="shared" si="55"/>
        <v>#DIV/0!</v>
      </c>
      <c r="AI39" s="126" t="e">
        <f t="shared" si="56"/>
        <v>#DIV/0!</v>
      </c>
      <c r="AJ39" s="131">
        <f t="shared" si="18"/>
        <v>4.1000000000000002E-2</v>
      </c>
      <c r="AK39" s="130" t="e">
        <f t="shared" si="57"/>
        <v>#DIV/0!</v>
      </c>
      <c r="AL39" s="96" t="e">
        <f t="shared" si="58"/>
        <v>#DIV/0!</v>
      </c>
      <c r="AM39" s="96" t="e">
        <f t="shared" si="59"/>
        <v>#DIV/0!</v>
      </c>
      <c r="AN39" s="96" t="e">
        <f t="shared" si="60"/>
        <v>#DIV/0!</v>
      </c>
      <c r="AO39" s="4" t="e">
        <f t="shared" si="61"/>
        <v>#DIV/0!</v>
      </c>
      <c r="AP39" s="6" t="e">
        <f t="shared" si="62"/>
        <v>#DIV/0!</v>
      </c>
      <c r="AQ39" s="5">
        <f t="shared" si="5"/>
        <v>0.36599999999999999</v>
      </c>
      <c r="AR39" s="4"/>
      <c r="AS39" s="132" t="e">
        <f t="shared" si="63"/>
        <v>#DIV/0!</v>
      </c>
      <c r="AT39" s="133" t="e">
        <f t="shared" si="64"/>
        <v>#DIV/0!</v>
      </c>
      <c r="AU39" s="133" t="e">
        <f t="shared" si="65"/>
        <v>#DIV/0!</v>
      </c>
      <c r="AV39" s="133" t="e">
        <f t="shared" si="66"/>
        <v>#DIV/0!</v>
      </c>
      <c r="AW39" s="133" t="e">
        <f t="shared" si="67"/>
        <v>#DIV/0!</v>
      </c>
      <c r="AX39" s="5" t="e">
        <f t="shared" si="68"/>
        <v>#DIV/0!</v>
      </c>
      <c r="AY39" s="5" t="e">
        <f t="shared" si="69"/>
        <v>#DIV/0!</v>
      </c>
      <c r="AZ39" s="5">
        <f t="shared" si="32"/>
        <v>0.85199999999999998</v>
      </c>
      <c r="BA39" s="134" t="e">
        <f t="shared" si="70"/>
        <v>#DIV/0!</v>
      </c>
      <c r="BB39" s="133" t="e">
        <f t="shared" si="71"/>
        <v>#DIV/0!</v>
      </c>
      <c r="BC39" s="106" t="e">
        <f t="shared" si="72"/>
        <v>#DIV/0!</v>
      </c>
      <c r="BD39" s="106" t="e">
        <f t="shared" si="73"/>
        <v>#DIV/0!</v>
      </c>
      <c r="BE39" s="133" t="e">
        <f t="shared" si="74"/>
        <v>#DIV/0!</v>
      </c>
      <c r="BF39" s="135" t="e">
        <f t="shared" si="75"/>
        <v>#DIV/0!</v>
      </c>
      <c r="BG39" s="133" t="e">
        <f t="shared" si="76"/>
        <v>#DIV/0!</v>
      </c>
      <c r="BH39" s="135" t="e">
        <f t="shared" si="77"/>
        <v>#DIV/0!</v>
      </c>
      <c r="BI39" s="106">
        <f t="shared" si="41"/>
        <v>0.10390000000000001</v>
      </c>
      <c r="BJ39" s="130" t="e">
        <f t="shared" si="78"/>
        <v>#DIV/0!</v>
      </c>
      <c r="BK39" s="96" t="e">
        <f t="shared" si="79"/>
        <v>#DIV/0!</v>
      </c>
      <c r="BL39" s="96" t="e">
        <f t="shared" si="80"/>
        <v>#DIV/0!</v>
      </c>
      <c r="BM39" s="135" t="e">
        <f t="shared" si="81"/>
        <v>#DIV/0!</v>
      </c>
      <c r="BN39" s="96" t="e">
        <f t="shared" si="82"/>
        <v>#DIV/0!</v>
      </c>
      <c r="BO39" s="5" t="e">
        <f t="shared" si="83"/>
        <v>#DIV/0!</v>
      </c>
      <c r="BP39" s="5" t="e">
        <f t="shared" si="84"/>
        <v>#DIV/0!</v>
      </c>
      <c r="BQ39" s="5">
        <f t="shared" si="49"/>
        <v>3.9E-2</v>
      </c>
    </row>
    <row r="40" spans="1:69" s="79" customFormat="1" ht="15">
      <c r="A40" s="158" t="s">
        <v>191</v>
      </c>
      <c r="B40" s="139">
        <v>-63</v>
      </c>
      <c r="C40" s="47">
        <v>101.3</v>
      </c>
      <c r="D40" s="47">
        <v>40.4</v>
      </c>
      <c r="E40" s="47"/>
      <c r="F40" s="47"/>
      <c r="G40" s="47"/>
      <c r="H40" s="47"/>
      <c r="I40" s="47"/>
      <c r="J40" s="47"/>
      <c r="K40" s="143" t="e">
        <f t="shared" si="6"/>
        <v>#DIV/0!</v>
      </c>
      <c r="L40" s="95" t="e">
        <f t="shared" si="7"/>
        <v>#DIV/0!</v>
      </c>
      <c r="M40" s="10">
        <f t="shared" si="8"/>
        <v>0.79291184400725834</v>
      </c>
      <c r="N40" s="96" t="e">
        <f t="shared" si="9"/>
        <v>#DIV/0!</v>
      </c>
      <c r="O40" s="97">
        <f t="shared" si="10"/>
        <v>0</v>
      </c>
      <c r="P40" s="102"/>
      <c r="Q40" s="142"/>
      <c r="R40" s="108">
        <f t="shared" si="4"/>
        <v>-40080</v>
      </c>
      <c r="S40" s="2"/>
      <c r="T40"/>
      <c r="U40"/>
      <c r="V40"/>
      <c r="W40" s="2"/>
      <c r="X40"/>
      <c r="Y40" s="47"/>
      <c r="Z40" s="47"/>
      <c r="AA40" s="47"/>
      <c r="AB40" s="47"/>
      <c r="AC40" s="130" t="e">
        <f t="shared" si="50"/>
        <v>#DIV/0!</v>
      </c>
      <c r="AD40" s="96" t="e">
        <f t="shared" si="51"/>
        <v>#DIV/0!</v>
      </c>
      <c r="AE40" s="96" t="e">
        <f t="shared" si="52"/>
        <v>#DIV/0!</v>
      </c>
      <c r="AF40" s="96" t="e">
        <f t="shared" si="53"/>
        <v>#DIV/0!</v>
      </c>
      <c r="AG40" s="96" t="e">
        <f t="shared" si="54"/>
        <v>#DIV/0!</v>
      </c>
      <c r="AH40" s="96" t="e">
        <f t="shared" si="55"/>
        <v>#DIV/0!</v>
      </c>
      <c r="AI40" s="126" t="e">
        <f t="shared" si="56"/>
        <v>#DIV/0!</v>
      </c>
      <c r="AJ40" s="131">
        <f t="shared" si="18"/>
        <v>4.1000000000000002E-2</v>
      </c>
      <c r="AK40" s="130" t="e">
        <f t="shared" si="57"/>
        <v>#DIV/0!</v>
      </c>
      <c r="AL40" s="96" t="e">
        <f t="shared" si="58"/>
        <v>#DIV/0!</v>
      </c>
      <c r="AM40" s="96" t="e">
        <f t="shared" si="59"/>
        <v>#DIV/0!</v>
      </c>
      <c r="AN40" s="96" t="e">
        <f t="shared" si="60"/>
        <v>#DIV/0!</v>
      </c>
      <c r="AO40" s="4" t="e">
        <f t="shared" si="61"/>
        <v>#DIV/0!</v>
      </c>
      <c r="AP40" s="6" t="e">
        <f t="shared" si="62"/>
        <v>#DIV/0!</v>
      </c>
      <c r="AQ40" s="5">
        <f t="shared" si="5"/>
        <v>0.36599999999999999</v>
      </c>
      <c r="AR40" s="4"/>
      <c r="AS40" s="132" t="e">
        <f t="shared" si="63"/>
        <v>#DIV/0!</v>
      </c>
      <c r="AT40" s="133" t="e">
        <f t="shared" si="64"/>
        <v>#DIV/0!</v>
      </c>
      <c r="AU40" s="133" t="e">
        <f t="shared" si="65"/>
        <v>#DIV/0!</v>
      </c>
      <c r="AV40" s="133" t="e">
        <f t="shared" si="66"/>
        <v>#DIV/0!</v>
      </c>
      <c r="AW40" s="133" t="e">
        <f t="shared" si="67"/>
        <v>#DIV/0!</v>
      </c>
      <c r="AX40" s="5" t="e">
        <f t="shared" si="68"/>
        <v>#DIV/0!</v>
      </c>
      <c r="AY40" s="5" t="e">
        <f t="shared" si="69"/>
        <v>#DIV/0!</v>
      </c>
      <c r="AZ40" s="5">
        <f t="shared" si="32"/>
        <v>0.85199999999999998</v>
      </c>
      <c r="BA40" s="134" t="e">
        <f t="shared" si="70"/>
        <v>#DIV/0!</v>
      </c>
      <c r="BB40" s="133" t="e">
        <f t="shared" si="71"/>
        <v>#DIV/0!</v>
      </c>
      <c r="BC40" s="106" t="e">
        <f t="shared" si="72"/>
        <v>#DIV/0!</v>
      </c>
      <c r="BD40" s="106" t="e">
        <f t="shared" si="73"/>
        <v>#DIV/0!</v>
      </c>
      <c r="BE40" s="133" t="e">
        <f t="shared" si="74"/>
        <v>#DIV/0!</v>
      </c>
      <c r="BF40" s="135" t="e">
        <f t="shared" si="75"/>
        <v>#DIV/0!</v>
      </c>
      <c r="BG40" s="133" t="e">
        <f t="shared" si="76"/>
        <v>#DIV/0!</v>
      </c>
      <c r="BH40" s="135" t="e">
        <f t="shared" si="77"/>
        <v>#DIV/0!</v>
      </c>
      <c r="BI40" s="106">
        <f t="shared" si="41"/>
        <v>0.10390000000000001</v>
      </c>
      <c r="BJ40" s="130" t="e">
        <f t="shared" si="78"/>
        <v>#DIV/0!</v>
      </c>
      <c r="BK40" s="96" t="e">
        <f t="shared" si="79"/>
        <v>#DIV/0!</v>
      </c>
      <c r="BL40" s="96" t="e">
        <f t="shared" si="80"/>
        <v>#DIV/0!</v>
      </c>
      <c r="BM40" s="135" t="e">
        <f t="shared" si="81"/>
        <v>#DIV/0!</v>
      </c>
      <c r="BN40" s="96" t="e">
        <f t="shared" si="82"/>
        <v>#DIV/0!</v>
      </c>
      <c r="BO40" s="5" t="e">
        <f t="shared" si="83"/>
        <v>#DIV/0!</v>
      </c>
      <c r="BP40" s="5" t="e">
        <f t="shared" si="84"/>
        <v>#DIV/0!</v>
      </c>
      <c r="BQ40" s="5">
        <f t="shared" si="49"/>
        <v>3.9E-2</v>
      </c>
    </row>
    <row r="41" spans="1:69" s="79" customFormat="1" ht="15">
      <c r="A41" s="158" t="s">
        <v>192</v>
      </c>
      <c r="B41" s="139">
        <v>-65</v>
      </c>
      <c r="C41" s="47">
        <v>102.6</v>
      </c>
      <c r="D41" s="47">
        <v>45</v>
      </c>
      <c r="E41" s="47"/>
      <c r="F41" s="47"/>
      <c r="G41" s="47"/>
      <c r="H41" s="47"/>
      <c r="I41" s="47"/>
      <c r="J41" s="47"/>
      <c r="K41" s="143" t="e">
        <f t="shared" si="6"/>
        <v>#DIV/0!</v>
      </c>
      <c r="L41" s="95" t="e">
        <f t="shared" si="7"/>
        <v>#DIV/0!</v>
      </c>
      <c r="M41" s="10">
        <f t="shared" si="8"/>
        <v>0.76477229958599913</v>
      </c>
      <c r="N41" s="96" t="e">
        <f t="shared" si="9"/>
        <v>#DIV/0!</v>
      </c>
      <c r="O41" s="97">
        <f t="shared" si="10"/>
        <v>0</v>
      </c>
      <c r="P41" s="102"/>
      <c r="Q41" s="142"/>
      <c r="R41" s="108">
        <f t="shared" si="4"/>
        <v>-40080</v>
      </c>
      <c r="S41" s="2"/>
      <c r="T41"/>
      <c r="U41"/>
      <c r="V41"/>
      <c r="W41" s="2"/>
      <c r="X41"/>
      <c r="Y41" s="47"/>
      <c r="Z41" s="47"/>
      <c r="AA41" s="47"/>
      <c r="AB41" s="47"/>
      <c r="AC41" s="130" t="e">
        <f t="shared" si="50"/>
        <v>#DIV/0!</v>
      </c>
      <c r="AD41" s="96" t="e">
        <f t="shared" si="51"/>
        <v>#DIV/0!</v>
      </c>
      <c r="AE41" s="96" t="e">
        <f t="shared" si="52"/>
        <v>#DIV/0!</v>
      </c>
      <c r="AF41" s="96" t="e">
        <f t="shared" si="53"/>
        <v>#DIV/0!</v>
      </c>
      <c r="AG41" s="96" t="e">
        <f t="shared" si="54"/>
        <v>#DIV/0!</v>
      </c>
      <c r="AH41" s="96" t="e">
        <f t="shared" si="55"/>
        <v>#DIV/0!</v>
      </c>
      <c r="AI41" s="126" t="e">
        <f t="shared" si="56"/>
        <v>#DIV/0!</v>
      </c>
      <c r="AJ41" s="131">
        <f t="shared" si="18"/>
        <v>4.1000000000000002E-2</v>
      </c>
      <c r="AK41" s="130" t="e">
        <f t="shared" si="57"/>
        <v>#DIV/0!</v>
      </c>
      <c r="AL41" s="96" t="e">
        <f t="shared" si="58"/>
        <v>#DIV/0!</v>
      </c>
      <c r="AM41" s="96" t="e">
        <f t="shared" si="59"/>
        <v>#DIV/0!</v>
      </c>
      <c r="AN41" s="96" t="e">
        <f t="shared" si="60"/>
        <v>#DIV/0!</v>
      </c>
      <c r="AO41" s="4" t="e">
        <f t="shared" si="61"/>
        <v>#DIV/0!</v>
      </c>
      <c r="AP41" s="6" t="e">
        <f t="shared" si="62"/>
        <v>#DIV/0!</v>
      </c>
      <c r="AQ41" s="5">
        <f t="shared" si="5"/>
        <v>0.36599999999999999</v>
      </c>
      <c r="AR41" s="4"/>
      <c r="AS41" s="132" t="e">
        <f t="shared" si="63"/>
        <v>#DIV/0!</v>
      </c>
      <c r="AT41" s="133" t="e">
        <f t="shared" si="64"/>
        <v>#DIV/0!</v>
      </c>
      <c r="AU41" s="133" t="e">
        <f t="shared" si="65"/>
        <v>#DIV/0!</v>
      </c>
      <c r="AV41" s="133" t="e">
        <f t="shared" si="66"/>
        <v>#DIV/0!</v>
      </c>
      <c r="AW41" s="133" t="e">
        <f t="shared" si="67"/>
        <v>#DIV/0!</v>
      </c>
      <c r="AX41" s="5" t="e">
        <f t="shared" si="68"/>
        <v>#DIV/0!</v>
      </c>
      <c r="AY41" s="5" t="e">
        <f t="shared" si="69"/>
        <v>#DIV/0!</v>
      </c>
      <c r="AZ41" s="5">
        <f t="shared" si="32"/>
        <v>0.85199999999999998</v>
      </c>
      <c r="BA41" s="134" t="e">
        <f t="shared" si="70"/>
        <v>#DIV/0!</v>
      </c>
      <c r="BB41" s="133" t="e">
        <f t="shared" si="71"/>
        <v>#DIV/0!</v>
      </c>
      <c r="BC41" s="106" t="e">
        <f t="shared" si="72"/>
        <v>#DIV/0!</v>
      </c>
      <c r="BD41" s="106" t="e">
        <f t="shared" si="73"/>
        <v>#DIV/0!</v>
      </c>
      <c r="BE41" s="133" t="e">
        <f t="shared" si="74"/>
        <v>#DIV/0!</v>
      </c>
      <c r="BF41" s="135" t="e">
        <f t="shared" si="75"/>
        <v>#DIV/0!</v>
      </c>
      <c r="BG41" s="133" t="e">
        <f t="shared" si="76"/>
        <v>#DIV/0!</v>
      </c>
      <c r="BH41" s="135" t="e">
        <f t="shared" si="77"/>
        <v>#DIV/0!</v>
      </c>
      <c r="BI41" s="106">
        <f t="shared" si="41"/>
        <v>0.10390000000000001</v>
      </c>
      <c r="BJ41" s="130" t="e">
        <f t="shared" si="78"/>
        <v>#DIV/0!</v>
      </c>
      <c r="BK41" s="96" t="e">
        <f t="shared" si="79"/>
        <v>#DIV/0!</v>
      </c>
      <c r="BL41" s="96" t="e">
        <f t="shared" si="80"/>
        <v>#DIV/0!</v>
      </c>
      <c r="BM41" s="135" t="e">
        <f t="shared" si="81"/>
        <v>#DIV/0!</v>
      </c>
      <c r="BN41" s="96" t="e">
        <f t="shared" si="82"/>
        <v>#DIV/0!</v>
      </c>
      <c r="BO41" s="5" t="e">
        <f t="shared" si="83"/>
        <v>#DIV/0!</v>
      </c>
      <c r="BP41" s="5" t="e">
        <f t="shared" si="84"/>
        <v>#DIV/0!</v>
      </c>
      <c r="BQ41" s="5">
        <f t="shared" si="49"/>
        <v>3.9E-2</v>
      </c>
    </row>
    <row r="42" spans="1:69" s="79" customFormat="1" ht="15">
      <c r="A42" s="158" t="s">
        <v>193</v>
      </c>
      <c r="B42" s="139">
        <v>-67</v>
      </c>
      <c r="C42" s="47">
        <v>107.4</v>
      </c>
      <c r="D42" s="47">
        <v>47.7</v>
      </c>
      <c r="E42" s="47"/>
      <c r="F42" s="47"/>
      <c r="G42" s="47"/>
      <c r="H42" s="47"/>
      <c r="I42" s="47"/>
      <c r="J42" s="47"/>
      <c r="K42" s="143" t="e">
        <f t="shared" si="6"/>
        <v>#DIV/0!</v>
      </c>
      <c r="L42" s="95" t="e">
        <f t="shared" si="7"/>
        <v>#DIV/0!</v>
      </c>
      <c r="M42" s="10">
        <f t="shared" si="8"/>
        <v>0.76070794329229741</v>
      </c>
      <c r="N42" s="96" t="e">
        <f t="shared" si="9"/>
        <v>#DIV/0!</v>
      </c>
      <c r="O42" s="97">
        <f t="shared" si="10"/>
        <v>0</v>
      </c>
      <c r="P42" s="102"/>
      <c r="Q42" s="142"/>
      <c r="R42" s="108">
        <f t="shared" si="4"/>
        <v>-40080</v>
      </c>
      <c r="S42" s="2"/>
      <c r="T42"/>
      <c r="U42"/>
      <c r="V42"/>
      <c r="W42" s="2"/>
      <c r="X42"/>
      <c r="Y42" s="47"/>
      <c r="Z42" s="47"/>
      <c r="AA42" s="47"/>
      <c r="AB42" s="47"/>
      <c r="AC42" s="130" t="e">
        <f t="shared" si="50"/>
        <v>#DIV/0!</v>
      </c>
      <c r="AD42" s="96" t="e">
        <f t="shared" si="51"/>
        <v>#DIV/0!</v>
      </c>
      <c r="AE42" s="96" t="e">
        <f t="shared" si="52"/>
        <v>#DIV/0!</v>
      </c>
      <c r="AF42" s="96" t="e">
        <f t="shared" si="53"/>
        <v>#DIV/0!</v>
      </c>
      <c r="AG42" s="96" t="e">
        <f t="shared" si="54"/>
        <v>#DIV/0!</v>
      </c>
      <c r="AH42" s="96" t="e">
        <f t="shared" si="55"/>
        <v>#DIV/0!</v>
      </c>
      <c r="AI42" s="126" t="e">
        <f t="shared" si="56"/>
        <v>#DIV/0!</v>
      </c>
      <c r="AJ42" s="131">
        <f t="shared" si="18"/>
        <v>4.1000000000000002E-2</v>
      </c>
      <c r="AK42" s="130" t="e">
        <f t="shared" si="57"/>
        <v>#DIV/0!</v>
      </c>
      <c r="AL42" s="96" t="e">
        <f t="shared" si="58"/>
        <v>#DIV/0!</v>
      </c>
      <c r="AM42" s="96" t="e">
        <f t="shared" si="59"/>
        <v>#DIV/0!</v>
      </c>
      <c r="AN42" s="96" t="e">
        <f t="shared" si="60"/>
        <v>#DIV/0!</v>
      </c>
      <c r="AO42" s="4" t="e">
        <f t="shared" si="61"/>
        <v>#DIV/0!</v>
      </c>
      <c r="AP42" s="6" t="e">
        <f t="shared" si="62"/>
        <v>#DIV/0!</v>
      </c>
      <c r="AQ42" s="5">
        <f t="shared" si="5"/>
        <v>0.36599999999999999</v>
      </c>
      <c r="AR42" s="4"/>
      <c r="AS42" s="132" t="e">
        <f t="shared" si="63"/>
        <v>#DIV/0!</v>
      </c>
      <c r="AT42" s="133" t="e">
        <f t="shared" si="64"/>
        <v>#DIV/0!</v>
      </c>
      <c r="AU42" s="133" t="e">
        <f t="shared" si="65"/>
        <v>#DIV/0!</v>
      </c>
      <c r="AV42" s="133" t="e">
        <f t="shared" si="66"/>
        <v>#DIV/0!</v>
      </c>
      <c r="AW42" s="133" t="e">
        <f t="shared" si="67"/>
        <v>#DIV/0!</v>
      </c>
      <c r="AX42" s="5" t="e">
        <f t="shared" si="68"/>
        <v>#DIV/0!</v>
      </c>
      <c r="AY42" s="5" t="e">
        <f t="shared" si="69"/>
        <v>#DIV/0!</v>
      </c>
      <c r="AZ42" s="5">
        <f t="shared" si="32"/>
        <v>0.85199999999999998</v>
      </c>
      <c r="BA42" s="134" t="e">
        <f t="shared" si="70"/>
        <v>#DIV/0!</v>
      </c>
      <c r="BB42" s="133" t="e">
        <f t="shared" si="71"/>
        <v>#DIV/0!</v>
      </c>
      <c r="BC42" s="106" t="e">
        <f t="shared" si="72"/>
        <v>#DIV/0!</v>
      </c>
      <c r="BD42" s="106" t="e">
        <f t="shared" si="73"/>
        <v>#DIV/0!</v>
      </c>
      <c r="BE42" s="133" t="e">
        <f t="shared" si="74"/>
        <v>#DIV/0!</v>
      </c>
      <c r="BF42" s="135" t="e">
        <f t="shared" si="75"/>
        <v>#DIV/0!</v>
      </c>
      <c r="BG42" s="133" t="e">
        <f t="shared" si="76"/>
        <v>#DIV/0!</v>
      </c>
      <c r="BH42" s="135" t="e">
        <f t="shared" si="77"/>
        <v>#DIV/0!</v>
      </c>
      <c r="BI42" s="106">
        <f t="shared" si="41"/>
        <v>0.10390000000000001</v>
      </c>
      <c r="BJ42" s="130" t="e">
        <f t="shared" si="78"/>
        <v>#DIV/0!</v>
      </c>
      <c r="BK42" s="96" t="e">
        <f t="shared" si="79"/>
        <v>#DIV/0!</v>
      </c>
      <c r="BL42" s="96" t="e">
        <f t="shared" si="80"/>
        <v>#DIV/0!</v>
      </c>
      <c r="BM42" s="135" t="e">
        <f t="shared" si="81"/>
        <v>#DIV/0!</v>
      </c>
      <c r="BN42" s="96" t="e">
        <f t="shared" si="82"/>
        <v>#DIV/0!</v>
      </c>
      <c r="BO42" s="5" t="e">
        <f t="shared" si="83"/>
        <v>#DIV/0!</v>
      </c>
      <c r="BP42" s="5" t="e">
        <f t="shared" si="84"/>
        <v>#DIV/0!</v>
      </c>
      <c r="BQ42" s="5">
        <f t="shared" si="49"/>
        <v>3.9E-2</v>
      </c>
    </row>
    <row r="43" spans="1:69" s="79" customFormat="1" ht="15">
      <c r="A43" s="158" t="s">
        <v>194</v>
      </c>
      <c r="B43" s="139">
        <v>-69</v>
      </c>
      <c r="C43" s="47">
        <v>98.1</v>
      </c>
      <c r="D43" s="47">
        <v>45.4</v>
      </c>
      <c r="E43" s="47"/>
      <c r="F43" s="47"/>
      <c r="G43" s="47"/>
      <c r="H43" s="47"/>
      <c r="I43" s="47"/>
      <c r="J43" s="47"/>
      <c r="K43" s="143" t="e">
        <f t="shared" si="6"/>
        <v>#DIV/0!</v>
      </c>
      <c r="L43" s="95" t="e">
        <f t="shared" si="7"/>
        <v>#DIV/0!</v>
      </c>
      <c r="M43" s="10">
        <f t="shared" si="8"/>
        <v>0.74673375804706077</v>
      </c>
      <c r="N43" s="96" t="e">
        <f t="shared" si="9"/>
        <v>#DIV/0!</v>
      </c>
      <c r="O43" s="97">
        <f t="shared" si="10"/>
        <v>0</v>
      </c>
      <c r="P43" s="102"/>
      <c r="Q43" s="142"/>
      <c r="R43" s="108">
        <f t="shared" si="4"/>
        <v>-40080</v>
      </c>
      <c r="S43" s="2"/>
      <c r="T43"/>
      <c r="U43"/>
      <c r="V43"/>
      <c r="W43" s="2"/>
      <c r="X43"/>
      <c r="Y43" s="47"/>
      <c r="Z43" s="47"/>
      <c r="AA43" s="47"/>
      <c r="AB43" s="47"/>
      <c r="AC43" s="130" t="e">
        <f t="shared" si="50"/>
        <v>#DIV/0!</v>
      </c>
      <c r="AD43" s="96" t="e">
        <f t="shared" si="51"/>
        <v>#DIV/0!</v>
      </c>
      <c r="AE43" s="96" t="e">
        <f t="shared" si="52"/>
        <v>#DIV/0!</v>
      </c>
      <c r="AF43" s="96" t="e">
        <f t="shared" si="53"/>
        <v>#DIV/0!</v>
      </c>
      <c r="AG43" s="96" t="e">
        <f t="shared" si="54"/>
        <v>#DIV/0!</v>
      </c>
      <c r="AH43" s="96" t="e">
        <f t="shared" si="55"/>
        <v>#DIV/0!</v>
      </c>
      <c r="AI43" s="126" t="e">
        <f t="shared" si="56"/>
        <v>#DIV/0!</v>
      </c>
      <c r="AJ43" s="131">
        <f t="shared" si="18"/>
        <v>4.1000000000000002E-2</v>
      </c>
      <c r="AK43" s="130" t="e">
        <f t="shared" si="57"/>
        <v>#DIV/0!</v>
      </c>
      <c r="AL43" s="96" t="e">
        <f t="shared" si="58"/>
        <v>#DIV/0!</v>
      </c>
      <c r="AM43" s="96" t="e">
        <f t="shared" si="59"/>
        <v>#DIV/0!</v>
      </c>
      <c r="AN43" s="96" t="e">
        <f t="shared" si="60"/>
        <v>#DIV/0!</v>
      </c>
      <c r="AO43" s="4" t="e">
        <f t="shared" si="61"/>
        <v>#DIV/0!</v>
      </c>
      <c r="AP43" s="6" t="e">
        <f t="shared" si="62"/>
        <v>#DIV/0!</v>
      </c>
      <c r="AQ43" s="5">
        <f t="shared" si="5"/>
        <v>0.36599999999999999</v>
      </c>
      <c r="AR43" s="4"/>
      <c r="AS43" s="132" t="e">
        <f t="shared" si="63"/>
        <v>#DIV/0!</v>
      </c>
      <c r="AT43" s="133" t="e">
        <f t="shared" si="64"/>
        <v>#DIV/0!</v>
      </c>
      <c r="AU43" s="133" t="e">
        <f t="shared" si="65"/>
        <v>#DIV/0!</v>
      </c>
      <c r="AV43" s="133" t="e">
        <f t="shared" si="66"/>
        <v>#DIV/0!</v>
      </c>
      <c r="AW43" s="133" t="e">
        <f t="shared" si="67"/>
        <v>#DIV/0!</v>
      </c>
      <c r="AX43" s="5" t="e">
        <f t="shared" si="68"/>
        <v>#DIV/0!</v>
      </c>
      <c r="AY43" s="5" t="e">
        <f t="shared" si="69"/>
        <v>#DIV/0!</v>
      </c>
      <c r="AZ43" s="5">
        <f t="shared" si="32"/>
        <v>0.85199999999999998</v>
      </c>
      <c r="BA43" s="134" t="e">
        <f t="shared" si="70"/>
        <v>#DIV/0!</v>
      </c>
      <c r="BB43" s="133" t="e">
        <f t="shared" si="71"/>
        <v>#DIV/0!</v>
      </c>
      <c r="BC43" s="106" t="e">
        <f t="shared" si="72"/>
        <v>#DIV/0!</v>
      </c>
      <c r="BD43" s="106" t="e">
        <f t="shared" si="73"/>
        <v>#DIV/0!</v>
      </c>
      <c r="BE43" s="133" t="e">
        <f t="shared" si="74"/>
        <v>#DIV/0!</v>
      </c>
      <c r="BF43" s="135" t="e">
        <f t="shared" si="75"/>
        <v>#DIV/0!</v>
      </c>
      <c r="BG43" s="133" t="e">
        <f t="shared" si="76"/>
        <v>#DIV/0!</v>
      </c>
      <c r="BH43" s="135" t="e">
        <f t="shared" si="77"/>
        <v>#DIV/0!</v>
      </c>
      <c r="BI43" s="106">
        <f t="shared" si="41"/>
        <v>0.10390000000000001</v>
      </c>
      <c r="BJ43" s="130" t="e">
        <f t="shared" si="78"/>
        <v>#DIV/0!</v>
      </c>
      <c r="BK43" s="96" t="e">
        <f t="shared" si="79"/>
        <v>#DIV/0!</v>
      </c>
      <c r="BL43" s="96" t="e">
        <f t="shared" si="80"/>
        <v>#DIV/0!</v>
      </c>
      <c r="BM43" s="135" t="e">
        <f t="shared" si="81"/>
        <v>#DIV/0!</v>
      </c>
      <c r="BN43" s="96" t="e">
        <f t="shared" si="82"/>
        <v>#DIV/0!</v>
      </c>
      <c r="BO43" s="5" t="e">
        <f t="shared" si="83"/>
        <v>#DIV/0!</v>
      </c>
      <c r="BP43" s="5" t="e">
        <f t="shared" si="84"/>
        <v>#DIV/0!</v>
      </c>
      <c r="BQ43" s="5">
        <f t="shared" si="49"/>
        <v>3.9E-2</v>
      </c>
    </row>
    <row r="44" spans="1:69" s="79" customFormat="1" ht="15">
      <c r="A44" s="158" t="s">
        <v>195</v>
      </c>
      <c r="B44" s="139">
        <v>-71</v>
      </c>
      <c r="C44" s="47">
        <v>112.5</v>
      </c>
      <c r="D44" s="47">
        <v>52.7</v>
      </c>
      <c r="E44" s="47"/>
      <c r="F44" s="47"/>
      <c r="G44" s="47"/>
      <c r="H44" s="47"/>
      <c r="I44" s="47"/>
      <c r="J44" s="47"/>
      <c r="K44" s="143" t="e">
        <f t="shared" si="6"/>
        <v>#DIV/0!</v>
      </c>
      <c r="L44" s="95" t="e">
        <f t="shared" si="7"/>
        <v>#DIV/0!</v>
      </c>
      <c r="M44" s="10">
        <f t="shared" si="8"/>
        <v>0.74241417064205828</v>
      </c>
      <c r="N44" s="96" t="e">
        <f t="shared" si="9"/>
        <v>#DIV/0!</v>
      </c>
      <c r="O44" s="97">
        <f t="shared" si="10"/>
        <v>0</v>
      </c>
      <c r="P44" s="102"/>
      <c r="Q44" s="142"/>
      <c r="R44" s="108">
        <f t="shared" si="4"/>
        <v>-40080</v>
      </c>
      <c r="S44" s="2"/>
      <c r="T44"/>
      <c r="U44"/>
      <c r="V44"/>
      <c r="W44" s="2"/>
      <c r="X44"/>
      <c r="Y44" s="47"/>
      <c r="Z44" s="47"/>
      <c r="AA44" s="47"/>
      <c r="AB44" s="47"/>
      <c r="AC44" s="130" t="e">
        <f t="shared" si="50"/>
        <v>#DIV/0!</v>
      </c>
      <c r="AD44" s="96" t="e">
        <f t="shared" si="51"/>
        <v>#DIV/0!</v>
      </c>
      <c r="AE44" s="96" t="e">
        <f t="shared" si="52"/>
        <v>#DIV/0!</v>
      </c>
      <c r="AF44" s="96" t="e">
        <f t="shared" si="53"/>
        <v>#DIV/0!</v>
      </c>
      <c r="AG44" s="96" t="e">
        <f t="shared" si="54"/>
        <v>#DIV/0!</v>
      </c>
      <c r="AH44" s="96" t="e">
        <f t="shared" si="55"/>
        <v>#DIV/0!</v>
      </c>
      <c r="AI44" s="126" t="e">
        <f t="shared" si="56"/>
        <v>#DIV/0!</v>
      </c>
      <c r="AJ44" s="131">
        <f t="shared" si="18"/>
        <v>4.1000000000000002E-2</v>
      </c>
      <c r="AK44" s="130" t="e">
        <f t="shared" si="57"/>
        <v>#DIV/0!</v>
      </c>
      <c r="AL44" s="96" t="e">
        <f t="shared" si="58"/>
        <v>#DIV/0!</v>
      </c>
      <c r="AM44" s="96" t="e">
        <f t="shared" si="59"/>
        <v>#DIV/0!</v>
      </c>
      <c r="AN44" s="96" t="e">
        <f t="shared" si="60"/>
        <v>#DIV/0!</v>
      </c>
      <c r="AO44" s="4" t="e">
        <f t="shared" si="61"/>
        <v>#DIV/0!</v>
      </c>
      <c r="AP44" s="6" t="e">
        <f t="shared" si="62"/>
        <v>#DIV/0!</v>
      </c>
      <c r="AQ44" s="5">
        <f t="shared" si="5"/>
        <v>0.36599999999999999</v>
      </c>
      <c r="AR44" s="4"/>
      <c r="AS44" s="132" t="e">
        <f t="shared" si="63"/>
        <v>#DIV/0!</v>
      </c>
      <c r="AT44" s="133" t="e">
        <f t="shared" si="64"/>
        <v>#DIV/0!</v>
      </c>
      <c r="AU44" s="133" t="e">
        <f t="shared" si="65"/>
        <v>#DIV/0!</v>
      </c>
      <c r="AV44" s="133" t="e">
        <f t="shared" si="66"/>
        <v>#DIV/0!</v>
      </c>
      <c r="AW44" s="133" t="e">
        <f t="shared" si="67"/>
        <v>#DIV/0!</v>
      </c>
      <c r="AX44" s="5" t="e">
        <f t="shared" si="68"/>
        <v>#DIV/0!</v>
      </c>
      <c r="AY44" s="5" t="e">
        <f t="shared" si="69"/>
        <v>#DIV/0!</v>
      </c>
      <c r="AZ44" s="5">
        <f t="shared" si="32"/>
        <v>0.85199999999999998</v>
      </c>
      <c r="BA44" s="134" t="e">
        <f t="shared" si="70"/>
        <v>#DIV/0!</v>
      </c>
      <c r="BB44" s="133" t="e">
        <f t="shared" si="71"/>
        <v>#DIV/0!</v>
      </c>
      <c r="BC44" s="106" t="e">
        <f t="shared" si="72"/>
        <v>#DIV/0!</v>
      </c>
      <c r="BD44" s="106" t="e">
        <f t="shared" si="73"/>
        <v>#DIV/0!</v>
      </c>
      <c r="BE44" s="133" t="e">
        <f t="shared" si="74"/>
        <v>#DIV/0!</v>
      </c>
      <c r="BF44" s="135" t="e">
        <f t="shared" si="75"/>
        <v>#DIV/0!</v>
      </c>
      <c r="BG44" s="133" t="e">
        <f t="shared" si="76"/>
        <v>#DIV/0!</v>
      </c>
      <c r="BH44" s="135" t="e">
        <f t="shared" si="77"/>
        <v>#DIV/0!</v>
      </c>
      <c r="BI44" s="106">
        <f t="shared" si="41"/>
        <v>0.10390000000000001</v>
      </c>
      <c r="BJ44" s="130" t="e">
        <f t="shared" si="78"/>
        <v>#DIV/0!</v>
      </c>
      <c r="BK44" s="96" t="e">
        <f t="shared" si="79"/>
        <v>#DIV/0!</v>
      </c>
      <c r="BL44" s="96" t="e">
        <f t="shared" si="80"/>
        <v>#DIV/0!</v>
      </c>
      <c r="BM44" s="135" t="e">
        <f t="shared" si="81"/>
        <v>#DIV/0!</v>
      </c>
      <c r="BN44" s="96" t="e">
        <f t="shared" si="82"/>
        <v>#DIV/0!</v>
      </c>
      <c r="BO44" s="5" t="e">
        <f t="shared" si="83"/>
        <v>#DIV/0!</v>
      </c>
      <c r="BP44" s="5" t="e">
        <f t="shared" si="84"/>
        <v>#DIV/0!</v>
      </c>
      <c r="BQ44" s="5">
        <f t="shared" si="49"/>
        <v>3.9E-2</v>
      </c>
    </row>
    <row r="45" spans="1:69" s="79" customFormat="1" ht="15">
      <c r="A45" s="158" t="s">
        <v>196</v>
      </c>
      <c r="B45" s="139">
        <v>-73</v>
      </c>
      <c r="C45" s="47">
        <v>106.2</v>
      </c>
      <c r="D45" s="47">
        <v>50.1</v>
      </c>
      <c r="E45" s="47"/>
      <c r="F45" s="47"/>
      <c r="G45" s="47"/>
      <c r="H45" s="47"/>
      <c r="I45" s="47"/>
      <c r="J45" s="47"/>
      <c r="K45" s="143" t="e">
        <f t="shared" si="6"/>
        <v>#DIV/0!</v>
      </c>
      <c r="L45" s="95" t="e">
        <f t="shared" si="7"/>
        <v>#DIV/0!</v>
      </c>
      <c r="M45" s="10">
        <f t="shared" si="8"/>
        <v>0.73986728558522075</v>
      </c>
      <c r="N45" s="96" t="e">
        <f t="shared" si="9"/>
        <v>#DIV/0!</v>
      </c>
      <c r="O45" s="97">
        <f t="shared" si="10"/>
        <v>0</v>
      </c>
      <c r="P45" s="102"/>
      <c r="Q45" s="142"/>
      <c r="R45" s="108">
        <f t="shared" si="4"/>
        <v>-40080</v>
      </c>
      <c r="S45" s="2"/>
      <c r="T45"/>
      <c r="U45"/>
      <c r="V45"/>
      <c r="W45" s="2"/>
      <c r="X45"/>
      <c r="Y45" s="47"/>
      <c r="Z45" s="47"/>
      <c r="AA45" s="47"/>
      <c r="AB45" s="47"/>
      <c r="AC45" s="130" t="e">
        <f t="shared" si="50"/>
        <v>#DIV/0!</v>
      </c>
      <c r="AD45" s="96" t="e">
        <f t="shared" si="51"/>
        <v>#DIV/0!</v>
      </c>
      <c r="AE45" s="96" t="e">
        <f t="shared" si="52"/>
        <v>#DIV/0!</v>
      </c>
      <c r="AF45" s="96" t="e">
        <f t="shared" si="53"/>
        <v>#DIV/0!</v>
      </c>
      <c r="AG45" s="96" t="e">
        <f t="shared" si="54"/>
        <v>#DIV/0!</v>
      </c>
      <c r="AH45" s="96" t="e">
        <f t="shared" si="55"/>
        <v>#DIV/0!</v>
      </c>
      <c r="AI45" s="126" t="e">
        <f t="shared" si="56"/>
        <v>#DIV/0!</v>
      </c>
      <c r="AJ45" s="131">
        <f t="shared" si="18"/>
        <v>4.1000000000000002E-2</v>
      </c>
      <c r="AK45" s="130" t="e">
        <f t="shared" si="57"/>
        <v>#DIV/0!</v>
      </c>
      <c r="AL45" s="96" t="e">
        <f t="shared" si="58"/>
        <v>#DIV/0!</v>
      </c>
      <c r="AM45" s="96" t="e">
        <f t="shared" si="59"/>
        <v>#DIV/0!</v>
      </c>
      <c r="AN45" s="96" t="e">
        <f t="shared" si="60"/>
        <v>#DIV/0!</v>
      </c>
      <c r="AO45" s="4" t="e">
        <f t="shared" si="61"/>
        <v>#DIV/0!</v>
      </c>
      <c r="AP45" s="6" t="e">
        <f t="shared" si="62"/>
        <v>#DIV/0!</v>
      </c>
      <c r="AQ45" s="5">
        <f t="shared" si="5"/>
        <v>0.36599999999999999</v>
      </c>
      <c r="AR45" s="4"/>
      <c r="AS45" s="132" t="e">
        <f t="shared" si="63"/>
        <v>#DIV/0!</v>
      </c>
      <c r="AT45" s="133" t="e">
        <f t="shared" si="64"/>
        <v>#DIV/0!</v>
      </c>
      <c r="AU45" s="133" t="e">
        <f t="shared" si="65"/>
        <v>#DIV/0!</v>
      </c>
      <c r="AV45" s="133" t="e">
        <f t="shared" si="66"/>
        <v>#DIV/0!</v>
      </c>
      <c r="AW45" s="133" t="e">
        <f t="shared" si="67"/>
        <v>#DIV/0!</v>
      </c>
      <c r="AX45" s="5" t="e">
        <f t="shared" si="68"/>
        <v>#DIV/0!</v>
      </c>
      <c r="AY45" s="5" t="e">
        <f t="shared" si="69"/>
        <v>#DIV/0!</v>
      </c>
      <c r="AZ45" s="5">
        <f t="shared" si="32"/>
        <v>0.85199999999999998</v>
      </c>
      <c r="BA45" s="134" t="e">
        <f t="shared" si="70"/>
        <v>#DIV/0!</v>
      </c>
      <c r="BB45" s="133" t="e">
        <f t="shared" si="71"/>
        <v>#DIV/0!</v>
      </c>
      <c r="BC45" s="106" t="e">
        <f t="shared" si="72"/>
        <v>#DIV/0!</v>
      </c>
      <c r="BD45" s="106" t="e">
        <f t="shared" si="73"/>
        <v>#DIV/0!</v>
      </c>
      <c r="BE45" s="133" t="e">
        <f t="shared" si="74"/>
        <v>#DIV/0!</v>
      </c>
      <c r="BF45" s="135" t="e">
        <f t="shared" si="75"/>
        <v>#DIV/0!</v>
      </c>
      <c r="BG45" s="133" t="e">
        <f t="shared" si="76"/>
        <v>#DIV/0!</v>
      </c>
      <c r="BH45" s="135" t="e">
        <f t="shared" si="77"/>
        <v>#DIV/0!</v>
      </c>
      <c r="BI45" s="106">
        <f t="shared" si="41"/>
        <v>0.10390000000000001</v>
      </c>
      <c r="BJ45" s="130" t="e">
        <f t="shared" si="78"/>
        <v>#DIV/0!</v>
      </c>
      <c r="BK45" s="96" t="e">
        <f t="shared" si="79"/>
        <v>#DIV/0!</v>
      </c>
      <c r="BL45" s="96" t="e">
        <f t="shared" si="80"/>
        <v>#DIV/0!</v>
      </c>
      <c r="BM45" s="135" t="e">
        <f t="shared" si="81"/>
        <v>#DIV/0!</v>
      </c>
      <c r="BN45" s="96" t="e">
        <f t="shared" si="82"/>
        <v>#DIV/0!</v>
      </c>
      <c r="BO45" s="5" t="e">
        <f t="shared" si="83"/>
        <v>#DIV/0!</v>
      </c>
      <c r="BP45" s="5" t="e">
        <f t="shared" si="84"/>
        <v>#DIV/0!</v>
      </c>
      <c r="BQ45" s="5">
        <f t="shared" si="49"/>
        <v>3.9E-2</v>
      </c>
    </row>
    <row r="46" spans="1:69" s="79" customFormat="1" ht="15">
      <c r="A46" s="158" t="s">
        <v>197</v>
      </c>
      <c r="B46" s="139">
        <v>-75</v>
      </c>
      <c r="C46" s="47">
        <v>99.4</v>
      </c>
      <c r="D46" s="47">
        <v>46.7</v>
      </c>
      <c r="E46" s="47"/>
      <c r="F46" s="47"/>
      <c r="G46" s="47"/>
      <c r="H46" s="47"/>
      <c r="I46" s="47"/>
      <c r="J46" s="47"/>
      <c r="K46" s="143" t="e">
        <f t="shared" si="6"/>
        <v>#DIV/0!</v>
      </c>
      <c r="L46" s="95" t="e">
        <f t="shared" si="7"/>
        <v>#DIV/0!</v>
      </c>
      <c r="M46" s="10">
        <f t="shared" si="8"/>
        <v>0.74135734777744555</v>
      </c>
      <c r="N46" s="96" t="e">
        <f t="shared" si="9"/>
        <v>#DIV/0!</v>
      </c>
      <c r="O46" s="97">
        <f t="shared" si="10"/>
        <v>0</v>
      </c>
      <c r="P46" s="102"/>
      <c r="Q46" s="142"/>
      <c r="R46" s="108">
        <f t="shared" si="4"/>
        <v>-40080</v>
      </c>
      <c r="S46" s="2"/>
      <c r="T46"/>
      <c r="U46"/>
      <c r="V46"/>
      <c r="W46" s="2"/>
      <c r="X46"/>
      <c r="Y46" s="47"/>
      <c r="Z46" s="47"/>
      <c r="AA46" s="47"/>
      <c r="AB46" s="47"/>
      <c r="AC46" s="130" t="e">
        <f t="shared" si="50"/>
        <v>#DIV/0!</v>
      </c>
      <c r="AD46" s="96" t="e">
        <f t="shared" si="51"/>
        <v>#DIV/0!</v>
      </c>
      <c r="AE46" s="96" t="e">
        <f t="shared" si="52"/>
        <v>#DIV/0!</v>
      </c>
      <c r="AF46" s="96" t="e">
        <f t="shared" si="53"/>
        <v>#DIV/0!</v>
      </c>
      <c r="AG46" s="96" t="e">
        <f t="shared" si="54"/>
        <v>#DIV/0!</v>
      </c>
      <c r="AH46" s="96" t="e">
        <f t="shared" si="55"/>
        <v>#DIV/0!</v>
      </c>
      <c r="AI46" s="126" t="e">
        <f t="shared" si="56"/>
        <v>#DIV/0!</v>
      </c>
      <c r="AJ46" s="131">
        <f t="shared" si="18"/>
        <v>4.1000000000000002E-2</v>
      </c>
      <c r="AK46" s="130" t="e">
        <f t="shared" si="57"/>
        <v>#DIV/0!</v>
      </c>
      <c r="AL46" s="96" t="e">
        <f t="shared" si="58"/>
        <v>#DIV/0!</v>
      </c>
      <c r="AM46" s="96" t="e">
        <f t="shared" si="59"/>
        <v>#DIV/0!</v>
      </c>
      <c r="AN46" s="96" t="e">
        <f t="shared" si="60"/>
        <v>#DIV/0!</v>
      </c>
      <c r="AO46" s="4" t="e">
        <f t="shared" si="61"/>
        <v>#DIV/0!</v>
      </c>
      <c r="AP46" s="6" t="e">
        <f t="shared" si="62"/>
        <v>#DIV/0!</v>
      </c>
      <c r="AQ46" s="5">
        <f t="shared" si="5"/>
        <v>0.36599999999999999</v>
      </c>
      <c r="AR46" s="4"/>
      <c r="AS46" s="132" t="e">
        <f t="shared" si="63"/>
        <v>#DIV/0!</v>
      </c>
      <c r="AT46" s="133" t="e">
        <f t="shared" si="64"/>
        <v>#DIV/0!</v>
      </c>
      <c r="AU46" s="133" t="e">
        <f t="shared" si="65"/>
        <v>#DIV/0!</v>
      </c>
      <c r="AV46" s="133" t="e">
        <f t="shared" si="66"/>
        <v>#DIV/0!</v>
      </c>
      <c r="AW46" s="133" t="e">
        <f t="shared" si="67"/>
        <v>#DIV/0!</v>
      </c>
      <c r="AX46" s="5" t="e">
        <f t="shared" si="68"/>
        <v>#DIV/0!</v>
      </c>
      <c r="AY46" s="5" t="e">
        <f t="shared" si="69"/>
        <v>#DIV/0!</v>
      </c>
      <c r="AZ46" s="5">
        <f t="shared" si="32"/>
        <v>0.85199999999999998</v>
      </c>
      <c r="BA46" s="134" t="e">
        <f t="shared" si="70"/>
        <v>#DIV/0!</v>
      </c>
      <c r="BB46" s="133" t="e">
        <f t="shared" si="71"/>
        <v>#DIV/0!</v>
      </c>
      <c r="BC46" s="106" t="e">
        <f t="shared" si="72"/>
        <v>#DIV/0!</v>
      </c>
      <c r="BD46" s="106" t="e">
        <f t="shared" si="73"/>
        <v>#DIV/0!</v>
      </c>
      <c r="BE46" s="133" t="e">
        <f t="shared" si="74"/>
        <v>#DIV/0!</v>
      </c>
      <c r="BF46" s="135" t="e">
        <f t="shared" si="75"/>
        <v>#DIV/0!</v>
      </c>
      <c r="BG46" s="133" t="e">
        <f t="shared" si="76"/>
        <v>#DIV/0!</v>
      </c>
      <c r="BH46" s="135" t="e">
        <f t="shared" si="77"/>
        <v>#DIV/0!</v>
      </c>
      <c r="BI46" s="106">
        <f t="shared" si="41"/>
        <v>0.10390000000000001</v>
      </c>
      <c r="BJ46" s="130" t="e">
        <f t="shared" si="78"/>
        <v>#DIV/0!</v>
      </c>
      <c r="BK46" s="96" t="e">
        <f t="shared" si="79"/>
        <v>#DIV/0!</v>
      </c>
      <c r="BL46" s="96" t="e">
        <f t="shared" si="80"/>
        <v>#DIV/0!</v>
      </c>
      <c r="BM46" s="135" t="e">
        <f t="shared" si="81"/>
        <v>#DIV/0!</v>
      </c>
      <c r="BN46" s="96" t="e">
        <f t="shared" si="82"/>
        <v>#DIV/0!</v>
      </c>
      <c r="BO46" s="5" t="e">
        <f t="shared" si="83"/>
        <v>#DIV/0!</v>
      </c>
      <c r="BP46" s="5" t="e">
        <f t="shared" si="84"/>
        <v>#DIV/0!</v>
      </c>
      <c r="BQ46" s="5">
        <f t="shared" si="49"/>
        <v>3.9E-2</v>
      </c>
    </row>
    <row r="47" spans="1:69" s="79" customFormat="1" ht="15">
      <c r="A47" s="158" t="s">
        <v>198</v>
      </c>
      <c r="B47" s="139">
        <v>-77</v>
      </c>
      <c r="C47" s="47">
        <v>122.6</v>
      </c>
      <c r="D47" s="47">
        <v>60.4</v>
      </c>
      <c r="E47" s="47"/>
      <c r="F47" s="47"/>
      <c r="G47" s="47"/>
      <c r="H47" s="47"/>
      <c r="I47" s="47"/>
      <c r="J47" s="47"/>
      <c r="K47" s="143" t="e">
        <f t="shared" si="6"/>
        <v>#DIV/0!</v>
      </c>
      <c r="L47" s="95" t="e">
        <f t="shared" si="7"/>
        <v>#DIV/0!</v>
      </c>
      <c r="M47" s="10">
        <f t="shared" si="8"/>
        <v>0.72342802718098065</v>
      </c>
      <c r="N47" s="96" t="e">
        <f t="shared" si="9"/>
        <v>#DIV/0!</v>
      </c>
      <c r="O47" s="97">
        <f t="shared" si="10"/>
        <v>0</v>
      </c>
      <c r="P47" s="102"/>
      <c r="Q47" s="142"/>
      <c r="R47" s="108">
        <f t="shared" si="4"/>
        <v>-40080</v>
      </c>
      <c r="S47" s="2"/>
      <c r="T47"/>
      <c r="U47"/>
      <c r="V47"/>
      <c r="W47" s="2"/>
      <c r="X47"/>
      <c r="Y47" s="47"/>
      <c r="Z47" s="47"/>
      <c r="AA47" s="47"/>
      <c r="AB47" s="47"/>
      <c r="AC47" s="130" t="e">
        <f t="shared" si="50"/>
        <v>#DIV/0!</v>
      </c>
      <c r="AD47" s="96" t="e">
        <f t="shared" si="51"/>
        <v>#DIV/0!</v>
      </c>
      <c r="AE47" s="96" t="e">
        <f t="shared" si="52"/>
        <v>#DIV/0!</v>
      </c>
      <c r="AF47" s="96" t="e">
        <f t="shared" si="53"/>
        <v>#DIV/0!</v>
      </c>
      <c r="AG47" s="96" t="e">
        <f t="shared" si="54"/>
        <v>#DIV/0!</v>
      </c>
      <c r="AH47" s="96" t="e">
        <f t="shared" si="55"/>
        <v>#DIV/0!</v>
      </c>
      <c r="AI47" s="126" t="e">
        <f t="shared" si="56"/>
        <v>#DIV/0!</v>
      </c>
      <c r="AJ47" s="131">
        <f t="shared" si="18"/>
        <v>4.1000000000000002E-2</v>
      </c>
      <c r="AK47" s="130" t="e">
        <f t="shared" si="57"/>
        <v>#DIV/0!</v>
      </c>
      <c r="AL47" s="96" t="e">
        <f t="shared" si="58"/>
        <v>#DIV/0!</v>
      </c>
      <c r="AM47" s="96" t="e">
        <f t="shared" si="59"/>
        <v>#DIV/0!</v>
      </c>
      <c r="AN47" s="96" t="e">
        <f t="shared" si="60"/>
        <v>#DIV/0!</v>
      </c>
      <c r="AO47" s="4" t="e">
        <f t="shared" si="61"/>
        <v>#DIV/0!</v>
      </c>
      <c r="AP47" s="6" t="e">
        <f t="shared" si="62"/>
        <v>#DIV/0!</v>
      </c>
      <c r="AQ47" s="5">
        <f t="shared" si="5"/>
        <v>0.36599999999999999</v>
      </c>
      <c r="AR47" s="4"/>
      <c r="AS47" s="132" t="e">
        <f t="shared" si="63"/>
        <v>#DIV/0!</v>
      </c>
      <c r="AT47" s="133" t="e">
        <f t="shared" si="64"/>
        <v>#DIV/0!</v>
      </c>
      <c r="AU47" s="133" t="e">
        <f t="shared" si="65"/>
        <v>#DIV/0!</v>
      </c>
      <c r="AV47" s="133" t="e">
        <f t="shared" si="66"/>
        <v>#DIV/0!</v>
      </c>
      <c r="AW47" s="133" t="e">
        <f t="shared" si="67"/>
        <v>#DIV/0!</v>
      </c>
      <c r="AX47" s="5" t="e">
        <f t="shared" si="68"/>
        <v>#DIV/0!</v>
      </c>
      <c r="AY47" s="5" t="e">
        <f t="shared" si="69"/>
        <v>#DIV/0!</v>
      </c>
      <c r="AZ47" s="5">
        <f t="shared" si="32"/>
        <v>0.85199999999999998</v>
      </c>
      <c r="BA47" s="134" t="e">
        <f t="shared" si="70"/>
        <v>#DIV/0!</v>
      </c>
      <c r="BB47" s="133" t="e">
        <f t="shared" si="71"/>
        <v>#DIV/0!</v>
      </c>
      <c r="BC47" s="106" t="e">
        <f t="shared" si="72"/>
        <v>#DIV/0!</v>
      </c>
      <c r="BD47" s="106" t="e">
        <f t="shared" si="73"/>
        <v>#DIV/0!</v>
      </c>
      <c r="BE47" s="133" t="e">
        <f t="shared" si="74"/>
        <v>#DIV/0!</v>
      </c>
      <c r="BF47" s="135" t="e">
        <f t="shared" si="75"/>
        <v>#DIV/0!</v>
      </c>
      <c r="BG47" s="133" t="e">
        <f t="shared" si="76"/>
        <v>#DIV/0!</v>
      </c>
      <c r="BH47" s="135" t="e">
        <f t="shared" si="77"/>
        <v>#DIV/0!</v>
      </c>
      <c r="BI47" s="106">
        <f t="shared" si="41"/>
        <v>0.10390000000000001</v>
      </c>
      <c r="BJ47" s="130" t="e">
        <f t="shared" si="78"/>
        <v>#DIV/0!</v>
      </c>
      <c r="BK47" s="96" t="e">
        <f t="shared" si="79"/>
        <v>#DIV/0!</v>
      </c>
      <c r="BL47" s="96" t="e">
        <f t="shared" si="80"/>
        <v>#DIV/0!</v>
      </c>
      <c r="BM47" s="135" t="e">
        <f t="shared" si="81"/>
        <v>#DIV/0!</v>
      </c>
      <c r="BN47" s="96" t="e">
        <f t="shared" si="82"/>
        <v>#DIV/0!</v>
      </c>
      <c r="BO47" s="5" t="e">
        <f t="shared" si="83"/>
        <v>#DIV/0!</v>
      </c>
      <c r="BP47" s="5" t="e">
        <f t="shared" si="84"/>
        <v>#DIV/0!</v>
      </c>
      <c r="BQ47" s="5">
        <f t="shared" si="49"/>
        <v>3.9E-2</v>
      </c>
    </row>
    <row r="48" spans="1:69" s="79" customFormat="1" ht="15">
      <c r="A48" s="158" t="s">
        <v>199</v>
      </c>
      <c r="B48" s="139">
        <v>-79</v>
      </c>
      <c r="C48" s="47">
        <v>104.3</v>
      </c>
      <c r="D48" s="47">
        <v>51.3</v>
      </c>
      <c r="E48" s="47"/>
      <c r="F48" s="47"/>
      <c r="G48" s="47"/>
      <c r="H48" s="47"/>
      <c r="I48" s="47"/>
      <c r="J48" s="47"/>
      <c r="K48" s="143" t="e">
        <f t="shared" si="6"/>
        <v>#DIV/0!</v>
      </c>
      <c r="L48" s="95" t="e">
        <f t="shared" si="7"/>
        <v>#DIV/0!</v>
      </c>
      <c r="M48" s="10">
        <f t="shared" si="8"/>
        <v>0.72407487091222034</v>
      </c>
      <c r="N48" s="96" t="e">
        <f t="shared" si="9"/>
        <v>#DIV/0!</v>
      </c>
      <c r="O48" s="97">
        <f t="shared" si="10"/>
        <v>0</v>
      </c>
      <c r="P48" s="102"/>
      <c r="Q48" s="142"/>
      <c r="R48" s="108">
        <f t="shared" si="4"/>
        <v>-40080</v>
      </c>
      <c r="S48" s="2"/>
      <c r="T48"/>
      <c r="U48"/>
      <c r="V48"/>
      <c r="W48" s="2"/>
      <c r="X48"/>
      <c r="Y48" s="47"/>
      <c r="Z48" s="47"/>
      <c r="AA48" s="47"/>
      <c r="AB48" s="47"/>
      <c r="AC48" s="130" t="e">
        <f t="shared" si="50"/>
        <v>#DIV/0!</v>
      </c>
      <c r="AD48" s="96" t="e">
        <f t="shared" si="51"/>
        <v>#DIV/0!</v>
      </c>
      <c r="AE48" s="96" t="e">
        <f t="shared" si="52"/>
        <v>#DIV/0!</v>
      </c>
      <c r="AF48" s="96" t="e">
        <f t="shared" si="53"/>
        <v>#DIV/0!</v>
      </c>
      <c r="AG48" s="96" t="e">
        <f t="shared" si="54"/>
        <v>#DIV/0!</v>
      </c>
      <c r="AH48" s="96" t="e">
        <f t="shared" si="55"/>
        <v>#DIV/0!</v>
      </c>
      <c r="AI48" s="126" t="e">
        <f t="shared" si="56"/>
        <v>#DIV/0!</v>
      </c>
      <c r="AJ48" s="131">
        <f t="shared" si="18"/>
        <v>4.1000000000000002E-2</v>
      </c>
      <c r="AK48" s="130" t="e">
        <f t="shared" si="57"/>
        <v>#DIV/0!</v>
      </c>
      <c r="AL48" s="96" t="e">
        <f t="shared" si="58"/>
        <v>#DIV/0!</v>
      </c>
      <c r="AM48" s="96" t="e">
        <f t="shared" si="59"/>
        <v>#DIV/0!</v>
      </c>
      <c r="AN48" s="96" t="e">
        <f t="shared" si="60"/>
        <v>#DIV/0!</v>
      </c>
      <c r="AO48" s="4" t="e">
        <f t="shared" si="61"/>
        <v>#DIV/0!</v>
      </c>
      <c r="AP48" s="6" t="e">
        <f t="shared" si="62"/>
        <v>#DIV/0!</v>
      </c>
      <c r="AQ48" s="5">
        <f t="shared" si="5"/>
        <v>0.36599999999999999</v>
      </c>
      <c r="AR48" s="4"/>
      <c r="AS48" s="132" t="e">
        <f t="shared" si="63"/>
        <v>#DIV/0!</v>
      </c>
      <c r="AT48" s="133" t="e">
        <f t="shared" si="64"/>
        <v>#DIV/0!</v>
      </c>
      <c r="AU48" s="133" t="e">
        <f t="shared" si="65"/>
        <v>#DIV/0!</v>
      </c>
      <c r="AV48" s="133" t="e">
        <f t="shared" si="66"/>
        <v>#DIV/0!</v>
      </c>
      <c r="AW48" s="133" t="e">
        <f t="shared" si="67"/>
        <v>#DIV/0!</v>
      </c>
      <c r="AX48" s="5" t="e">
        <f t="shared" si="68"/>
        <v>#DIV/0!</v>
      </c>
      <c r="AY48" s="5" t="e">
        <f t="shared" si="69"/>
        <v>#DIV/0!</v>
      </c>
      <c r="AZ48" s="5">
        <f t="shared" si="32"/>
        <v>0.85199999999999998</v>
      </c>
      <c r="BA48" s="134" t="e">
        <f t="shared" si="70"/>
        <v>#DIV/0!</v>
      </c>
      <c r="BB48" s="133" t="e">
        <f t="shared" si="71"/>
        <v>#DIV/0!</v>
      </c>
      <c r="BC48" s="106" t="e">
        <f t="shared" si="72"/>
        <v>#DIV/0!</v>
      </c>
      <c r="BD48" s="106" t="e">
        <f t="shared" si="73"/>
        <v>#DIV/0!</v>
      </c>
      <c r="BE48" s="133" t="e">
        <f t="shared" si="74"/>
        <v>#DIV/0!</v>
      </c>
      <c r="BF48" s="135" t="e">
        <f t="shared" si="75"/>
        <v>#DIV/0!</v>
      </c>
      <c r="BG48" s="133" t="e">
        <f t="shared" si="76"/>
        <v>#DIV/0!</v>
      </c>
      <c r="BH48" s="135" t="e">
        <f t="shared" si="77"/>
        <v>#DIV/0!</v>
      </c>
      <c r="BI48" s="106">
        <f t="shared" si="41"/>
        <v>0.10390000000000001</v>
      </c>
      <c r="BJ48" s="130" t="e">
        <f t="shared" si="78"/>
        <v>#DIV/0!</v>
      </c>
      <c r="BK48" s="96" t="e">
        <f t="shared" si="79"/>
        <v>#DIV/0!</v>
      </c>
      <c r="BL48" s="96" t="e">
        <f t="shared" si="80"/>
        <v>#DIV/0!</v>
      </c>
      <c r="BM48" s="135" t="e">
        <f t="shared" si="81"/>
        <v>#DIV/0!</v>
      </c>
      <c r="BN48" s="96" t="e">
        <f t="shared" si="82"/>
        <v>#DIV/0!</v>
      </c>
      <c r="BO48" s="5" t="e">
        <f t="shared" si="83"/>
        <v>#DIV/0!</v>
      </c>
      <c r="BP48" s="5" t="e">
        <f t="shared" si="84"/>
        <v>#DIV/0!</v>
      </c>
      <c r="BQ48" s="5">
        <f t="shared" si="49"/>
        <v>3.9E-2</v>
      </c>
    </row>
    <row r="49" spans="1:80" s="106" customFormat="1">
      <c r="A49" s="140" t="s">
        <v>200</v>
      </c>
      <c r="B49" s="141">
        <v>-80.5</v>
      </c>
      <c r="C49" s="47">
        <v>59.1</v>
      </c>
      <c r="D49" s="47">
        <v>33.4</v>
      </c>
      <c r="E49" s="47"/>
      <c r="F49" s="47"/>
      <c r="G49" s="47"/>
      <c r="H49" s="47"/>
      <c r="I49" s="47"/>
      <c r="J49" s="47"/>
      <c r="K49" s="143" t="e">
        <f t="shared" si="6"/>
        <v>#DIV/0!</v>
      </c>
      <c r="L49" s="95" t="e">
        <f t="shared" si="7"/>
        <v>#DIV/0!</v>
      </c>
      <c r="M49" s="10">
        <f t="shared" si="8"/>
        <v>0.66152536532965811</v>
      </c>
      <c r="N49" s="96" t="e">
        <f t="shared" si="9"/>
        <v>#DIV/0!</v>
      </c>
      <c r="O49" s="97">
        <f t="shared" si="10"/>
        <v>0</v>
      </c>
      <c r="P49" s="102"/>
      <c r="Q49" s="142"/>
      <c r="R49" s="108">
        <f t="shared" si="4"/>
        <v>-40080</v>
      </c>
      <c r="S49" s="2"/>
      <c r="T49"/>
      <c r="U49"/>
      <c r="V49"/>
      <c r="W49" s="2"/>
      <c r="X49"/>
      <c r="Y49" s="47"/>
      <c r="Z49" s="47"/>
      <c r="AA49" s="47"/>
      <c r="AB49" s="47"/>
      <c r="AC49" s="130" t="e">
        <f t="shared" si="50"/>
        <v>#DIV/0!</v>
      </c>
      <c r="AD49" s="96" t="e">
        <f t="shared" si="51"/>
        <v>#DIV/0!</v>
      </c>
      <c r="AE49" s="96" t="e">
        <f t="shared" si="52"/>
        <v>#DIV/0!</v>
      </c>
      <c r="AF49" s="96" t="e">
        <f t="shared" si="53"/>
        <v>#DIV/0!</v>
      </c>
      <c r="AG49" s="96" t="e">
        <f t="shared" si="54"/>
        <v>#DIV/0!</v>
      </c>
      <c r="AH49" s="96" t="e">
        <f t="shared" si="55"/>
        <v>#DIV/0!</v>
      </c>
      <c r="AI49" s="126" t="e">
        <f t="shared" si="56"/>
        <v>#DIV/0!</v>
      </c>
      <c r="AJ49" s="131">
        <f t="shared" si="18"/>
        <v>4.1000000000000002E-2</v>
      </c>
      <c r="AK49" s="130" t="e">
        <f t="shared" si="57"/>
        <v>#DIV/0!</v>
      </c>
      <c r="AL49" s="96" t="e">
        <f t="shared" si="58"/>
        <v>#DIV/0!</v>
      </c>
      <c r="AM49" s="96" t="e">
        <f t="shared" si="59"/>
        <v>#DIV/0!</v>
      </c>
      <c r="AN49" s="96" t="e">
        <f t="shared" si="60"/>
        <v>#DIV/0!</v>
      </c>
      <c r="AO49" s="4" t="e">
        <f t="shared" si="61"/>
        <v>#DIV/0!</v>
      </c>
      <c r="AP49" s="6" t="e">
        <f t="shared" si="62"/>
        <v>#DIV/0!</v>
      </c>
      <c r="AQ49" s="5">
        <f t="shared" si="5"/>
        <v>0.36599999999999999</v>
      </c>
      <c r="AR49" s="4"/>
      <c r="AS49" s="132" t="e">
        <f t="shared" si="63"/>
        <v>#DIV/0!</v>
      </c>
      <c r="AT49" s="133" t="e">
        <f t="shared" si="64"/>
        <v>#DIV/0!</v>
      </c>
      <c r="AU49" s="133" t="e">
        <f t="shared" si="65"/>
        <v>#DIV/0!</v>
      </c>
      <c r="AV49" s="133" t="e">
        <f t="shared" si="66"/>
        <v>#DIV/0!</v>
      </c>
      <c r="AW49" s="133" t="e">
        <f t="shared" si="67"/>
        <v>#DIV/0!</v>
      </c>
      <c r="AX49" s="5" t="e">
        <f t="shared" si="68"/>
        <v>#DIV/0!</v>
      </c>
      <c r="AY49" s="5" t="e">
        <f t="shared" si="69"/>
        <v>#DIV/0!</v>
      </c>
      <c r="AZ49" s="5">
        <f t="shared" si="32"/>
        <v>0.85199999999999998</v>
      </c>
      <c r="BA49" s="134" t="e">
        <f t="shared" si="70"/>
        <v>#DIV/0!</v>
      </c>
      <c r="BB49" s="133" t="e">
        <f t="shared" si="71"/>
        <v>#DIV/0!</v>
      </c>
      <c r="BC49" s="106" t="e">
        <f t="shared" si="72"/>
        <v>#DIV/0!</v>
      </c>
      <c r="BD49" s="106" t="e">
        <f t="shared" si="73"/>
        <v>#DIV/0!</v>
      </c>
      <c r="BE49" s="133" t="e">
        <f t="shared" si="74"/>
        <v>#DIV/0!</v>
      </c>
      <c r="BF49" s="135" t="e">
        <f t="shared" si="75"/>
        <v>#DIV/0!</v>
      </c>
      <c r="BG49" s="133" t="e">
        <f t="shared" si="76"/>
        <v>#DIV/0!</v>
      </c>
      <c r="BH49" s="135" t="e">
        <f t="shared" si="77"/>
        <v>#DIV/0!</v>
      </c>
      <c r="BI49" s="106">
        <f t="shared" si="41"/>
        <v>0.10390000000000001</v>
      </c>
      <c r="BJ49" s="130" t="e">
        <f t="shared" si="78"/>
        <v>#DIV/0!</v>
      </c>
      <c r="BK49" s="96" t="e">
        <f t="shared" si="79"/>
        <v>#DIV/0!</v>
      </c>
      <c r="BL49" s="96" t="e">
        <f t="shared" si="80"/>
        <v>#DIV/0!</v>
      </c>
      <c r="BM49" s="135" t="e">
        <f t="shared" si="81"/>
        <v>#DIV/0!</v>
      </c>
      <c r="BN49" s="96" t="e">
        <f t="shared" si="82"/>
        <v>#DIV/0!</v>
      </c>
      <c r="BO49" s="5" t="e">
        <f t="shared" si="83"/>
        <v>#DIV/0!</v>
      </c>
      <c r="BP49" s="5" t="e">
        <f t="shared" si="84"/>
        <v>#DIV/0!</v>
      </c>
      <c r="BQ49" s="5">
        <f t="shared" si="49"/>
        <v>3.9E-2</v>
      </c>
      <c r="BR49" s="105"/>
      <c r="CA49" s="135" t="e">
        <f>(AE49-AM49)*(EXP($AC$5*R49))</f>
        <v>#DIV/0!</v>
      </c>
      <c r="CB49" s="136">
        <f>EXP(R49*$AC$5)</f>
        <v>3.293726584796787E-2</v>
      </c>
    </row>
    <row r="50" spans="1:80" s="106" customFormat="1">
      <c r="A50" s="145" t="s">
        <v>201</v>
      </c>
      <c r="B50" s="139">
        <v>-81.5</v>
      </c>
      <c r="C50" s="47">
        <v>65.3</v>
      </c>
      <c r="D50" s="47">
        <v>45.9</v>
      </c>
      <c r="E50" s="47"/>
      <c r="F50" s="47"/>
      <c r="G50" s="47"/>
      <c r="H50" s="47"/>
      <c r="I50" s="47"/>
      <c r="J50" s="47"/>
      <c r="K50" s="143" t="e">
        <f t="shared" si="6"/>
        <v>#DIV/0!</v>
      </c>
      <c r="L50" s="95" t="e">
        <f t="shared" si="7"/>
        <v>#DIV/0!</v>
      </c>
      <c r="M50" s="10">
        <f t="shared" si="8"/>
        <v>0.51773556358745898</v>
      </c>
      <c r="N50" s="96" t="e">
        <f t="shared" si="9"/>
        <v>#DIV/0!</v>
      </c>
      <c r="O50" s="97">
        <f t="shared" si="10"/>
        <v>0</v>
      </c>
      <c r="P50" s="102"/>
      <c r="Q50" s="142"/>
      <c r="R50" s="108">
        <f t="shared" si="4"/>
        <v>-40080</v>
      </c>
      <c r="S50" s="2"/>
      <c r="T50"/>
      <c r="U50"/>
      <c r="V50"/>
      <c r="W50" s="2"/>
      <c r="X50"/>
      <c r="Y50" s="47"/>
      <c r="Z50" s="47"/>
      <c r="AA50" s="47"/>
      <c r="AB50" s="47"/>
      <c r="AC50" s="130" t="e">
        <f t="shared" si="50"/>
        <v>#DIV/0!</v>
      </c>
      <c r="AD50" s="96" t="e">
        <f t="shared" si="51"/>
        <v>#DIV/0!</v>
      </c>
      <c r="AE50" s="96" t="e">
        <f t="shared" si="52"/>
        <v>#DIV/0!</v>
      </c>
      <c r="AF50" s="96" t="e">
        <f t="shared" si="53"/>
        <v>#DIV/0!</v>
      </c>
      <c r="AG50" s="96" t="e">
        <f t="shared" si="54"/>
        <v>#DIV/0!</v>
      </c>
      <c r="AH50" s="96" t="e">
        <f t="shared" si="55"/>
        <v>#DIV/0!</v>
      </c>
      <c r="AI50" s="126" t="e">
        <f t="shared" si="56"/>
        <v>#DIV/0!</v>
      </c>
      <c r="AJ50" s="131">
        <f t="shared" si="18"/>
        <v>4.1000000000000002E-2</v>
      </c>
      <c r="AK50" s="130" t="e">
        <f t="shared" si="57"/>
        <v>#DIV/0!</v>
      </c>
      <c r="AL50" s="96" t="e">
        <f t="shared" si="58"/>
        <v>#DIV/0!</v>
      </c>
      <c r="AM50" s="96" t="e">
        <f t="shared" si="59"/>
        <v>#DIV/0!</v>
      </c>
      <c r="AN50" s="96" t="e">
        <f t="shared" si="60"/>
        <v>#DIV/0!</v>
      </c>
      <c r="AO50" s="4" t="e">
        <f t="shared" si="61"/>
        <v>#DIV/0!</v>
      </c>
      <c r="AP50" s="6" t="e">
        <f t="shared" si="62"/>
        <v>#DIV/0!</v>
      </c>
      <c r="AQ50" s="5">
        <f t="shared" si="5"/>
        <v>0.36599999999999999</v>
      </c>
      <c r="AR50" s="4"/>
      <c r="AS50" s="132" t="e">
        <f t="shared" si="63"/>
        <v>#DIV/0!</v>
      </c>
      <c r="AT50" s="133" t="e">
        <f t="shared" si="64"/>
        <v>#DIV/0!</v>
      </c>
      <c r="AU50" s="133" t="e">
        <f t="shared" si="65"/>
        <v>#DIV/0!</v>
      </c>
      <c r="AV50" s="133" t="e">
        <f t="shared" si="66"/>
        <v>#DIV/0!</v>
      </c>
      <c r="AW50" s="133" t="e">
        <f t="shared" si="67"/>
        <v>#DIV/0!</v>
      </c>
      <c r="AX50" s="5" t="e">
        <f t="shared" si="68"/>
        <v>#DIV/0!</v>
      </c>
      <c r="AY50" s="5" t="e">
        <f t="shared" si="69"/>
        <v>#DIV/0!</v>
      </c>
      <c r="AZ50" s="5">
        <f t="shared" si="32"/>
        <v>0.85199999999999998</v>
      </c>
      <c r="BA50" s="134" t="e">
        <f t="shared" si="70"/>
        <v>#DIV/0!</v>
      </c>
      <c r="BB50" s="133" t="e">
        <f t="shared" si="71"/>
        <v>#DIV/0!</v>
      </c>
      <c r="BC50" s="106" t="e">
        <f t="shared" si="72"/>
        <v>#DIV/0!</v>
      </c>
      <c r="BD50" s="106" t="e">
        <f t="shared" si="73"/>
        <v>#DIV/0!</v>
      </c>
      <c r="BE50" s="133" t="e">
        <f t="shared" si="74"/>
        <v>#DIV/0!</v>
      </c>
      <c r="BF50" s="135" t="e">
        <f t="shared" si="75"/>
        <v>#DIV/0!</v>
      </c>
      <c r="BG50" s="133" t="e">
        <f t="shared" si="76"/>
        <v>#DIV/0!</v>
      </c>
      <c r="BH50" s="135" t="e">
        <f t="shared" si="77"/>
        <v>#DIV/0!</v>
      </c>
      <c r="BI50" s="106">
        <f t="shared" si="41"/>
        <v>0.10390000000000001</v>
      </c>
      <c r="BJ50" s="130" t="e">
        <f t="shared" si="78"/>
        <v>#DIV/0!</v>
      </c>
      <c r="BK50" s="96" t="e">
        <f t="shared" si="79"/>
        <v>#DIV/0!</v>
      </c>
      <c r="BL50" s="96" t="e">
        <f t="shared" si="80"/>
        <v>#DIV/0!</v>
      </c>
      <c r="BM50" s="135" t="e">
        <f t="shared" si="81"/>
        <v>#DIV/0!</v>
      </c>
      <c r="BN50" s="96" t="e">
        <f t="shared" si="82"/>
        <v>#DIV/0!</v>
      </c>
      <c r="BO50" s="5" t="e">
        <f t="shared" si="83"/>
        <v>#DIV/0!</v>
      </c>
      <c r="BP50" s="5" t="e">
        <f t="shared" si="84"/>
        <v>#DIV/0!</v>
      </c>
      <c r="BQ50" s="5">
        <f t="shared" si="49"/>
        <v>3.9E-2</v>
      </c>
      <c r="BR50" s="105"/>
      <c r="CA50" s="135"/>
      <c r="CB50" s="136"/>
    </row>
    <row r="51" spans="1:80" s="106" customFormat="1">
      <c r="A51" s="145" t="s">
        <v>202</v>
      </c>
      <c r="B51" s="141">
        <v>-82.5</v>
      </c>
      <c r="C51" s="47">
        <v>78.900000000000006</v>
      </c>
      <c r="D51" s="47">
        <v>56</v>
      </c>
      <c r="E51" s="47"/>
      <c r="F51" s="47"/>
      <c r="G51" s="47"/>
      <c r="H51" s="47"/>
      <c r="I51" s="47"/>
      <c r="J51" s="47"/>
      <c r="K51" s="143" t="e">
        <f t="shared" si="6"/>
        <v>#DIV/0!</v>
      </c>
      <c r="L51" s="95" t="e">
        <f t="shared" si="7"/>
        <v>#DIV/0!</v>
      </c>
      <c r="M51" s="10">
        <f t="shared" si="8"/>
        <v>0.50948618678065272</v>
      </c>
      <c r="N51" s="96" t="e">
        <f t="shared" si="9"/>
        <v>#DIV/0!</v>
      </c>
      <c r="O51" s="97">
        <f t="shared" si="10"/>
        <v>0</v>
      </c>
      <c r="P51" s="102"/>
      <c r="Q51" s="142"/>
      <c r="R51" s="108">
        <f t="shared" si="4"/>
        <v>-40080</v>
      </c>
      <c r="S51" s="2"/>
      <c r="T51"/>
      <c r="U51"/>
      <c r="V51"/>
      <c r="W51" s="2"/>
      <c r="X51"/>
      <c r="Y51" s="47"/>
      <c r="Z51" s="47"/>
      <c r="AA51" s="47"/>
      <c r="AB51" s="47"/>
      <c r="AC51" s="130" t="e">
        <f t="shared" si="50"/>
        <v>#DIV/0!</v>
      </c>
      <c r="AD51" s="96" t="e">
        <f t="shared" si="51"/>
        <v>#DIV/0!</v>
      </c>
      <c r="AE51" s="96" t="e">
        <f t="shared" si="52"/>
        <v>#DIV/0!</v>
      </c>
      <c r="AF51" s="96" t="e">
        <f t="shared" si="53"/>
        <v>#DIV/0!</v>
      </c>
      <c r="AG51" s="96" t="e">
        <f t="shared" si="54"/>
        <v>#DIV/0!</v>
      </c>
      <c r="AH51" s="96" t="e">
        <f t="shared" si="55"/>
        <v>#DIV/0!</v>
      </c>
      <c r="AI51" s="126" t="e">
        <f t="shared" si="56"/>
        <v>#DIV/0!</v>
      </c>
      <c r="AJ51" s="131">
        <f t="shared" si="18"/>
        <v>4.1000000000000002E-2</v>
      </c>
      <c r="AK51" s="130" t="e">
        <f t="shared" si="57"/>
        <v>#DIV/0!</v>
      </c>
      <c r="AL51" s="96" t="e">
        <f t="shared" si="58"/>
        <v>#DIV/0!</v>
      </c>
      <c r="AM51" s="96" t="e">
        <f t="shared" si="59"/>
        <v>#DIV/0!</v>
      </c>
      <c r="AN51" s="96" t="e">
        <f t="shared" si="60"/>
        <v>#DIV/0!</v>
      </c>
      <c r="AO51" s="4" t="e">
        <f t="shared" si="61"/>
        <v>#DIV/0!</v>
      </c>
      <c r="AP51" s="6" t="e">
        <f t="shared" si="62"/>
        <v>#DIV/0!</v>
      </c>
      <c r="AQ51" s="5">
        <f t="shared" si="5"/>
        <v>0.36599999999999999</v>
      </c>
      <c r="AR51" s="4"/>
      <c r="AS51" s="132" t="e">
        <f t="shared" si="63"/>
        <v>#DIV/0!</v>
      </c>
      <c r="AT51" s="133" t="e">
        <f t="shared" si="64"/>
        <v>#DIV/0!</v>
      </c>
      <c r="AU51" s="133" t="e">
        <f t="shared" si="65"/>
        <v>#DIV/0!</v>
      </c>
      <c r="AV51" s="133" t="e">
        <f t="shared" si="66"/>
        <v>#DIV/0!</v>
      </c>
      <c r="AW51" s="133" t="e">
        <f t="shared" si="67"/>
        <v>#DIV/0!</v>
      </c>
      <c r="AX51" s="5" t="e">
        <f t="shared" si="68"/>
        <v>#DIV/0!</v>
      </c>
      <c r="AY51" s="5" t="e">
        <f t="shared" si="69"/>
        <v>#DIV/0!</v>
      </c>
      <c r="AZ51" s="5">
        <f t="shared" si="32"/>
        <v>0.85199999999999998</v>
      </c>
      <c r="BA51" s="134" t="e">
        <f t="shared" si="70"/>
        <v>#DIV/0!</v>
      </c>
      <c r="BB51" s="133" t="e">
        <f t="shared" si="71"/>
        <v>#DIV/0!</v>
      </c>
      <c r="BC51" s="106" t="e">
        <f t="shared" si="72"/>
        <v>#DIV/0!</v>
      </c>
      <c r="BD51" s="106" t="e">
        <f t="shared" si="73"/>
        <v>#DIV/0!</v>
      </c>
      <c r="BE51" s="133" t="e">
        <f t="shared" si="74"/>
        <v>#DIV/0!</v>
      </c>
      <c r="BF51" s="135" t="e">
        <f t="shared" si="75"/>
        <v>#DIV/0!</v>
      </c>
      <c r="BG51" s="133" t="e">
        <f t="shared" si="76"/>
        <v>#DIV/0!</v>
      </c>
      <c r="BH51" s="135" t="e">
        <f t="shared" si="77"/>
        <v>#DIV/0!</v>
      </c>
      <c r="BI51" s="106">
        <f t="shared" si="41"/>
        <v>0.10390000000000001</v>
      </c>
      <c r="BJ51" s="130" t="e">
        <f t="shared" si="78"/>
        <v>#DIV/0!</v>
      </c>
      <c r="BK51" s="96" t="e">
        <f t="shared" si="79"/>
        <v>#DIV/0!</v>
      </c>
      <c r="BL51" s="96" t="e">
        <f t="shared" si="80"/>
        <v>#DIV/0!</v>
      </c>
      <c r="BM51" s="135" t="e">
        <f t="shared" si="81"/>
        <v>#DIV/0!</v>
      </c>
      <c r="BN51" s="96" t="e">
        <f t="shared" si="82"/>
        <v>#DIV/0!</v>
      </c>
      <c r="BO51" s="5" t="e">
        <f t="shared" si="83"/>
        <v>#DIV/0!</v>
      </c>
      <c r="BP51" s="5" t="e">
        <f t="shared" si="84"/>
        <v>#DIV/0!</v>
      </c>
      <c r="BQ51" s="5">
        <f t="shared" si="49"/>
        <v>3.9E-2</v>
      </c>
      <c r="BR51" s="105"/>
      <c r="CA51" s="135"/>
      <c r="CB51" s="136"/>
    </row>
    <row r="52" spans="1:80" s="106" customFormat="1">
      <c r="A52" s="145" t="s">
        <v>203</v>
      </c>
      <c r="B52" s="139">
        <v>-83.5</v>
      </c>
      <c r="C52" s="47">
        <v>68.8</v>
      </c>
      <c r="D52" s="47">
        <v>49.2</v>
      </c>
      <c r="E52" s="47"/>
      <c r="F52" s="47"/>
      <c r="G52" s="47"/>
      <c r="H52" s="47"/>
      <c r="I52" s="47"/>
      <c r="J52" s="47"/>
      <c r="K52" s="143" t="e">
        <f t="shared" si="6"/>
        <v>#DIV/0!</v>
      </c>
      <c r="L52" s="95" t="e">
        <f t="shared" si="7"/>
        <v>#DIV/0!</v>
      </c>
      <c r="M52" s="10">
        <f t="shared" si="8"/>
        <v>0.50294997171259992</v>
      </c>
      <c r="N52" s="96" t="e">
        <f t="shared" si="9"/>
        <v>#DIV/0!</v>
      </c>
      <c r="O52" s="97">
        <f t="shared" si="10"/>
        <v>0</v>
      </c>
      <c r="P52" s="102"/>
      <c r="Q52" s="142"/>
      <c r="R52" s="108">
        <f t="shared" si="4"/>
        <v>-40080</v>
      </c>
      <c r="S52" s="2"/>
      <c r="T52"/>
      <c r="U52"/>
      <c r="V52"/>
      <c r="W52" s="2"/>
      <c r="X52"/>
      <c r="Y52" s="47"/>
      <c r="Z52" s="47"/>
      <c r="AA52" s="47"/>
      <c r="AB52" s="47"/>
      <c r="AC52" s="130" t="e">
        <f t="shared" si="50"/>
        <v>#DIV/0!</v>
      </c>
      <c r="AD52" s="96" t="e">
        <f t="shared" si="51"/>
        <v>#DIV/0!</v>
      </c>
      <c r="AE52" s="96" t="e">
        <f t="shared" si="52"/>
        <v>#DIV/0!</v>
      </c>
      <c r="AF52" s="96" t="e">
        <f t="shared" si="53"/>
        <v>#DIV/0!</v>
      </c>
      <c r="AG52" s="96" t="e">
        <f t="shared" si="54"/>
        <v>#DIV/0!</v>
      </c>
      <c r="AH52" s="96" t="e">
        <f t="shared" si="55"/>
        <v>#DIV/0!</v>
      </c>
      <c r="AI52" s="126" t="e">
        <f t="shared" si="56"/>
        <v>#DIV/0!</v>
      </c>
      <c r="AJ52" s="131">
        <f t="shared" si="18"/>
        <v>4.1000000000000002E-2</v>
      </c>
      <c r="AK52" s="130" t="e">
        <f t="shared" si="57"/>
        <v>#DIV/0!</v>
      </c>
      <c r="AL52" s="96" t="e">
        <f t="shared" si="58"/>
        <v>#DIV/0!</v>
      </c>
      <c r="AM52" s="96" t="e">
        <f t="shared" si="59"/>
        <v>#DIV/0!</v>
      </c>
      <c r="AN52" s="96" t="e">
        <f t="shared" si="60"/>
        <v>#DIV/0!</v>
      </c>
      <c r="AO52" s="4" t="e">
        <f t="shared" si="61"/>
        <v>#DIV/0!</v>
      </c>
      <c r="AP52" s="6" t="e">
        <f t="shared" si="62"/>
        <v>#DIV/0!</v>
      </c>
      <c r="AQ52" s="5">
        <f t="shared" si="5"/>
        <v>0.36599999999999999</v>
      </c>
      <c r="AR52" s="4"/>
      <c r="AS52" s="132" t="e">
        <f t="shared" si="63"/>
        <v>#DIV/0!</v>
      </c>
      <c r="AT52" s="133" t="e">
        <f t="shared" si="64"/>
        <v>#DIV/0!</v>
      </c>
      <c r="AU52" s="133" t="e">
        <f t="shared" si="65"/>
        <v>#DIV/0!</v>
      </c>
      <c r="AV52" s="133" t="e">
        <f t="shared" si="66"/>
        <v>#DIV/0!</v>
      </c>
      <c r="AW52" s="133" t="e">
        <f t="shared" si="67"/>
        <v>#DIV/0!</v>
      </c>
      <c r="AX52" s="5" t="e">
        <f t="shared" si="68"/>
        <v>#DIV/0!</v>
      </c>
      <c r="AY52" s="5" t="e">
        <f t="shared" si="69"/>
        <v>#DIV/0!</v>
      </c>
      <c r="AZ52" s="5">
        <f t="shared" si="32"/>
        <v>0.85199999999999998</v>
      </c>
      <c r="BA52" s="134" t="e">
        <f t="shared" si="70"/>
        <v>#DIV/0!</v>
      </c>
      <c r="BB52" s="133" t="e">
        <f t="shared" si="71"/>
        <v>#DIV/0!</v>
      </c>
      <c r="BC52" s="106" t="e">
        <f t="shared" si="72"/>
        <v>#DIV/0!</v>
      </c>
      <c r="BD52" s="106" t="e">
        <f t="shared" si="73"/>
        <v>#DIV/0!</v>
      </c>
      <c r="BE52" s="133" t="e">
        <f t="shared" si="74"/>
        <v>#DIV/0!</v>
      </c>
      <c r="BF52" s="135" t="e">
        <f t="shared" si="75"/>
        <v>#DIV/0!</v>
      </c>
      <c r="BG52" s="133" t="e">
        <f t="shared" si="76"/>
        <v>#DIV/0!</v>
      </c>
      <c r="BH52" s="135" t="e">
        <f t="shared" si="77"/>
        <v>#DIV/0!</v>
      </c>
      <c r="BI52" s="106">
        <f t="shared" si="41"/>
        <v>0.10390000000000001</v>
      </c>
      <c r="BJ52" s="130" t="e">
        <f t="shared" si="78"/>
        <v>#DIV/0!</v>
      </c>
      <c r="BK52" s="96" t="e">
        <f t="shared" si="79"/>
        <v>#DIV/0!</v>
      </c>
      <c r="BL52" s="96" t="e">
        <f t="shared" si="80"/>
        <v>#DIV/0!</v>
      </c>
      <c r="BM52" s="135" t="e">
        <f t="shared" si="81"/>
        <v>#DIV/0!</v>
      </c>
      <c r="BN52" s="96" t="e">
        <f t="shared" si="82"/>
        <v>#DIV/0!</v>
      </c>
      <c r="BO52" s="5" t="e">
        <f t="shared" si="83"/>
        <v>#DIV/0!</v>
      </c>
      <c r="BP52" s="5" t="e">
        <f t="shared" si="84"/>
        <v>#DIV/0!</v>
      </c>
      <c r="BQ52" s="5">
        <f t="shared" si="49"/>
        <v>3.9E-2</v>
      </c>
      <c r="BR52" s="105"/>
      <c r="CA52" s="135"/>
      <c r="CB52" s="136"/>
    </row>
    <row r="53" spans="1:80" s="106" customFormat="1">
      <c r="A53" s="145" t="s">
        <v>204</v>
      </c>
      <c r="B53" s="141">
        <v>-84.5</v>
      </c>
      <c r="C53" s="47">
        <v>72.599999999999994</v>
      </c>
      <c r="D53" s="47">
        <v>52</v>
      </c>
      <c r="E53" s="47"/>
      <c r="F53" s="47"/>
      <c r="G53" s="47"/>
      <c r="H53" s="47"/>
      <c r="I53" s="47"/>
      <c r="J53" s="47"/>
      <c r="K53" s="143" t="e">
        <f t="shared" si="6"/>
        <v>#DIV/0!</v>
      </c>
      <c r="L53" s="95" t="e">
        <f t="shared" si="7"/>
        <v>#DIV/0!</v>
      </c>
      <c r="M53" s="10">
        <f t="shared" si="8"/>
        <v>0.50155285456845977</v>
      </c>
      <c r="N53" s="96" t="e">
        <f t="shared" si="9"/>
        <v>#DIV/0!</v>
      </c>
      <c r="O53" s="97">
        <f t="shared" si="10"/>
        <v>0</v>
      </c>
      <c r="P53" s="102"/>
      <c r="Q53" s="142"/>
      <c r="R53" s="108">
        <f t="shared" si="4"/>
        <v>-40080</v>
      </c>
      <c r="S53" s="2"/>
      <c r="T53"/>
      <c r="U53"/>
      <c r="V53"/>
      <c r="W53" s="2"/>
      <c r="X53"/>
      <c r="Y53" s="47"/>
      <c r="Z53" s="47"/>
      <c r="AA53" s="47"/>
      <c r="AB53" s="47"/>
      <c r="AC53" s="130" t="e">
        <f t="shared" si="50"/>
        <v>#DIV/0!</v>
      </c>
      <c r="AD53" s="96" t="e">
        <f t="shared" si="51"/>
        <v>#DIV/0!</v>
      </c>
      <c r="AE53" s="96" t="e">
        <f t="shared" si="52"/>
        <v>#DIV/0!</v>
      </c>
      <c r="AF53" s="96" t="e">
        <f t="shared" si="53"/>
        <v>#DIV/0!</v>
      </c>
      <c r="AG53" s="96" t="e">
        <f t="shared" si="54"/>
        <v>#DIV/0!</v>
      </c>
      <c r="AH53" s="96" t="e">
        <f t="shared" si="55"/>
        <v>#DIV/0!</v>
      </c>
      <c r="AI53" s="126" t="e">
        <f t="shared" si="56"/>
        <v>#DIV/0!</v>
      </c>
      <c r="AJ53" s="131">
        <f t="shared" si="18"/>
        <v>4.1000000000000002E-2</v>
      </c>
      <c r="AK53" s="130" t="e">
        <f t="shared" si="57"/>
        <v>#DIV/0!</v>
      </c>
      <c r="AL53" s="96" t="e">
        <f t="shared" si="58"/>
        <v>#DIV/0!</v>
      </c>
      <c r="AM53" s="96" t="e">
        <f t="shared" si="59"/>
        <v>#DIV/0!</v>
      </c>
      <c r="AN53" s="96" t="e">
        <f t="shared" si="60"/>
        <v>#DIV/0!</v>
      </c>
      <c r="AO53" s="4" t="e">
        <f t="shared" si="61"/>
        <v>#DIV/0!</v>
      </c>
      <c r="AP53" s="6" t="e">
        <f t="shared" si="62"/>
        <v>#DIV/0!</v>
      </c>
      <c r="AQ53" s="5">
        <f t="shared" si="5"/>
        <v>0.36599999999999999</v>
      </c>
      <c r="AR53" s="4"/>
      <c r="AS53" s="132" t="e">
        <f t="shared" si="63"/>
        <v>#DIV/0!</v>
      </c>
      <c r="AT53" s="133" t="e">
        <f t="shared" si="64"/>
        <v>#DIV/0!</v>
      </c>
      <c r="AU53" s="133" t="e">
        <f t="shared" si="65"/>
        <v>#DIV/0!</v>
      </c>
      <c r="AV53" s="133" t="e">
        <f t="shared" si="66"/>
        <v>#DIV/0!</v>
      </c>
      <c r="AW53" s="133" t="e">
        <f t="shared" si="67"/>
        <v>#DIV/0!</v>
      </c>
      <c r="AX53" s="5" t="e">
        <f t="shared" si="68"/>
        <v>#DIV/0!</v>
      </c>
      <c r="AY53" s="5" t="e">
        <f t="shared" si="69"/>
        <v>#DIV/0!</v>
      </c>
      <c r="AZ53" s="5">
        <f t="shared" si="32"/>
        <v>0.85199999999999998</v>
      </c>
      <c r="BA53" s="134" t="e">
        <f t="shared" si="70"/>
        <v>#DIV/0!</v>
      </c>
      <c r="BB53" s="133" t="e">
        <f t="shared" si="71"/>
        <v>#DIV/0!</v>
      </c>
      <c r="BC53" s="106" t="e">
        <f t="shared" si="72"/>
        <v>#DIV/0!</v>
      </c>
      <c r="BD53" s="106" t="e">
        <f t="shared" si="73"/>
        <v>#DIV/0!</v>
      </c>
      <c r="BE53" s="133" t="e">
        <f t="shared" si="74"/>
        <v>#DIV/0!</v>
      </c>
      <c r="BF53" s="135" t="e">
        <f t="shared" si="75"/>
        <v>#DIV/0!</v>
      </c>
      <c r="BG53" s="133" t="e">
        <f t="shared" si="76"/>
        <v>#DIV/0!</v>
      </c>
      <c r="BH53" s="135" t="e">
        <f t="shared" si="77"/>
        <v>#DIV/0!</v>
      </c>
      <c r="BI53" s="106">
        <f t="shared" si="41"/>
        <v>0.10390000000000001</v>
      </c>
      <c r="BJ53" s="130" t="e">
        <f t="shared" si="78"/>
        <v>#DIV/0!</v>
      </c>
      <c r="BK53" s="96" t="e">
        <f t="shared" si="79"/>
        <v>#DIV/0!</v>
      </c>
      <c r="BL53" s="96" t="e">
        <f t="shared" si="80"/>
        <v>#DIV/0!</v>
      </c>
      <c r="BM53" s="135" t="e">
        <f t="shared" si="81"/>
        <v>#DIV/0!</v>
      </c>
      <c r="BN53" s="96" t="e">
        <f t="shared" si="82"/>
        <v>#DIV/0!</v>
      </c>
      <c r="BO53" s="5" t="e">
        <f t="shared" si="83"/>
        <v>#DIV/0!</v>
      </c>
      <c r="BP53" s="5" t="e">
        <f t="shared" si="84"/>
        <v>#DIV/0!</v>
      </c>
      <c r="BQ53" s="5">
        <f t="shared" si="49"/>
        <v>3.9E-2</v>
      </c>
      <c r="BR53" s="105"/>
      <c r="CA53" s="135"/>
      <c r="CB53" s="136"/>
    </row>
    <row r="54" spans="1:80" s="106" customFormat="1">
      <c r="A54" s="145" t="s">
        <v>205</v>
      </c>
      <c r="B54" s="139">
        <v>-85.5</v>
      </c>
      <c r="C54" s="47">
        <v>73</v>
      </c>
      <c r="D54" s="47">
        <v>52.5</v>
      </c>
      <c r="E54" s="47"/>
      <c r="F54" s="47"/>
      <c r="G54" s="47"/>
      <c r="H54" s="47"/>
      <c r="I54" s="47"/>
      <c r="J54" s="47"/>
      <c r="K54" s="143" t="e">
        <f t="shared" si="6"/>
        <v>#DIV/0!</v>
      </c>
      <c r="L54" s="95" t="e">
        <f t="shared" si="7"/>
        <v>#DIV/0!</v>
      </c>
      <c r="M54" s="10">
        <f t="shared" si="8"/>
        <v>0.49794396098307347</v>
      </c>
      <c r="N54" s="96" t="e">
        <f t="shared" si="9"/>
        <v>#DIV/0!</v>
      </c>
      <c r="O54" s="97">
        <f t="shared" si="10"/>
        <v>0</v>
      </c>
      <c r="P54" s="102"/>
      <c r="Q54" s="142"/>
      <c r="R54" s="108">
        <f t="shared" si="4"/>
        <v>-40080</v>
      </c>
      <c r="S54" s="2"/>
      <c r="T54"/>
      <c r="U54"/>
      <c r="V54"/>
      <c r="W54" s="2"/>
      <c r="X54"/>
      <c r="Y54" s="47"/>
      <c r="Z54" s="47"/>
      <c r="AA54" s="47"/>
      <c r="AB54" s="47"/>
      <c r="AC54" s="130" t="e">
        <f t="shared" si="50"/>
        <v>#DIV/0!</v>
      </c>
      <c r="AD54" s="96" t="e">
        <f t="shared" si="51"/>
        <v>#DIV/0!</v>
      </c>
      <c r="AE54" s="96" t="e">
        <f t="shared" si="52"/>
        <v>#DIV/0!</v>
      </c>
      <c r="AF54" s="96" t="e">
        <f t="shared" si="53"/>
        <v>#DIV/0!</v>
      </c>
      <c r="AG54" s="96" t="e">
        <f t="shared" si="54"/>
        <v>#DIV/0!</v>
      </c>
      <c r="AH54" s="96" t="e">
        <f t="shared" si="55"/>
        <v>#DIV/0!</v>
      </c>
      <c r="AI54" s="126" t="e">
        <f t="shared" si="56"/>
        <v>#DIV/0!</v>
      </c>
      <c r="AJ54" s="131">
        <f t="shared" si="18"/>
        <v>4.1000000000000002E-2</v>
      </c>
      <c r="AK54" s="130" t="e">
        <f t="shared" si="57"/>
        <v>#DIV/0!</v>
      </c>
      <c r="AL54" s="96" t="e">
        <f t="shared" si="58"/>
        <v>#DIV/0!</v>
      </c>
      <c r="AM54" s="96" t="e">
        <f t="shared" si="59"/>
        <v>#DIV/0!</v>
      </c>
      <c r="AN54" s="96" t="e">
        <f t="shared" si="60"/>
        <v>#DIV/0!</v>
      </c>
      <c r="AO54" s="4" t="e">
        <f t="shared" si="61"/>
        <v>#DIV/0!</v>
      </c>
      <c r="AP54" s="6" t="e">
        <f t="shared" si="62"/>
        <v>#DIV/0!</v>
      </c>
      <c r="AQ54" s="5">
        <f t="shared" si="5"/>
        <v>0.36599999999999999</v>
      </c>
      <c r="AR54" s="4"/>
      <c r="AS54" s="132" t="e">
        <f t="shared" si="63"/>
        <v>#DIV/0!</v>
      </c>
      <c r="AT54" s="133" t="e">
        <f t="shared" si="64"/>
        <v>#DIV/0!</v>
      </c>
      <c r="AU54" s="133" t="e">
        <f t="shared" si="65"/>
        <v>#DIV/0!</v>
      </c>
      <c r="AV54" s="133" t="e">
        <f t="shared" si="66"/>
        <v>#DIV/0!</v>
      </c>
      <c r="AW54" s="133" t="e">
        <f t="shared" si="67"/>
        <v>#DIV/0!</v>
      </c>
      <c r="AX54" s="5" t="e">
        <f t="shared" si="68"/>
        <v>#DIV/0!</v>
      </c>
      <c r="AY54" s="5" t="e">
        <f t="shared" si="69"/>
        <v>#DIV/0!</v>
      </c>
      <c r="AZ54" s="5">
        <f t="shared" si="32"/>
        <v>0.85199999999999998</v>
      </c>
      <c r="BA54" s="134" t="e">
        <f t="shared" si="70"/>
        <v>#DIV/0!</v>
      </c>
      <c r="BB54" s="133" t="e">
        <f t="shared" si="71"/>
        <v>#DIV/0!</v>
      </c>
      <c r="BC54" s="106" t="e">
        <f t="shared" si="72"/>
        <v>#DIV/0!</v>
      </c>
      <c r="BD54" s="106" t="e">
        <f t="shared" si="73"/>
        <v>#DIV/0!</v>
      </c>
      <c r="BE54" s="133" t="e">
        <f t="shared" si="74"/>
        <v>#DIV/0!</v>
      </c>
      <c r="BF54" s="135" t="e">
        <f t="shared" si="75"/>
        <v>#DIV/0!</v>
      </c>
      <c r="BG54" s="133" t="e">
        <f t="shared" si="76"/>
        <v>#DIV/0!</v>
      </c>
      <c r="BH54" s="135" t="e">
        <f t="shared" si="77"/>
        <v>#DIV/0!</v>
      </c>
      <c r="BI54" s="106">
        <f t="shared" si="41"/>
        <v>0.10390000000000001</v>
      </c>
      <c r="BJ54" s="130" t="e">
        <f t="shared" si="78"/>
        <v>#DIV/0!</v>
      </c>
      <c r="BK54" s="96" t="e">
        <f t="shared" si="79"/>
        <v>#DIV/0!</v>
      </c>
      <c r="BL54" s="96" t="e">
        <f t="shared" si="80"/>
        <v>#DIV/0!</v>
      </c>
      <c r="BM54" s="135" t="e">
        <f t="shared" si="81"/>
        <v>#DIV/0!</v>
      </c>
      <c r="BN54" s="96" t="e">
        <f t="shared" si="82"/>
        <v>#DIV/0!</v>
      </c>
      <c r="BO54" s="5" t="e">
        <f t="shared" si="83"/>
        <v>#DIV/0!</v>
      </c>
      <c r="BP54" s="5" t="e">
        <f t="shared" si="84"/>
        <v>#DIV/0!</v>
      </c>
      <c r="BQ54" s="5">
        <f t="shared" si="49"/>
        <v>3.9E-2</v>
      </c>
      <c r="BR54" s="105"/>
      <c r="CA54" s="135"/>
      <c r="CB54" s="136"/>
    </row>
    <row r="55" spans="1:80" s="106" customFormat="1">
      <c r="A55" s="145" t="s">
        <v>206</v>
      </c>
      <c r="B55" s="141">
        <v>-86.5</v>
      </c>
      <c r="C55" s="47">
        <v>70.599999999999994</v>
      </c>
      <c r="D55" s="47">
        <v>50.9</v>
      </c>
      <c r="E55" s="47"/>
      <c r="F55" s="47"/>
      <c r="G55" s="47"/>
      <c r="H55" s="47"/>
      <c r="I55" s="47"/>
      <c r="J55" s="47"/>
      <c r="K55" s="143" t="e">
        <f t="shared" si="6"/>
        <v>#DIV/0!</v>
      </c>
      <c r="L55" s="95" t="e">
        <f t="shared" si="7"/>
        <v>#DIV/0!</v>
      </c>
      <c r="M55" s="10">
        <f t="shared" si="8"/>
        <v>0.49573005211119692</v>
      </c>
      <c r="N55" s="96" t="e">
        <f t="shared" si="9"/>
        <v>#DIV/0!</v>
      </c>
      <c r="O55" s="97">
        <f t="shared" si="10"/>
        <v>0</v>
      </c>
      <c r="P55" s="102"/>
      <c r="Q55" s="142"/>
      <c r="R55" s="108">
        <f t="shared" si="4"/>
        <v>-40080</v>
      </c>
      <c r="S55" s="2"/>
      <c r="T55"/>
      <c r="U55"/>
      <c r="V55"/>
      <c r="W55" s="2"/>
      <c r="X55"/>
      <c r="Y55" s="47"/>
      <c r="Z55" s="47"/>
      <c r="AA55" s="47"/>
      <c r="AB55" s="47"/>
      <c r="AC55" s="130" t="e">
        <f t="shared" si="50"/>
        <v>#DIV/0!</v>
      </c>
      <c r="AD55" s="96" t="e">
        <f t="shared" si="51"/>
        <v>#DIV/0!</v>
      </c>
      <c r="AE55" s="96" t="e">
        <f t="shared" si="52"/>
        <v>#DIV/0!</v>
      </c>
      <c r="AF55" s="96" t="e">
        <f t="shared" si="53"/>
        <v>#DIV/0!</v>
      </c>
      <c r="AG55" s="96" t="e">
        <f t="shared" si="54"/>
        <v>#DIV/0!</v>
      </c>
      <c r="AH55" s="96" t="e">
        <f t="shared" si="55"/>
        <v>#DIV/0!</v>
      </c>
      <c r="AI55" s="126" t="e">
        <f t="shared" si="56"/>
        <v>#DIV/0!</v>
      </c>
      <c r="AJ55" s="131">
        <f t="shared" si="18"/>
        <v>4.1000000000000002E-2</v>
      </c>
      <c r="AK55" s="130" t="e">
        <f t="shared" si="57"/>
        <v>#DIV/0!</v>
      </c>
      <c r="AL55" s="96" t="e">
        <f t="shared" si="58"/>
        <v>#DIV/0!</v>
      </c>
      <c r="AM55" s="96" t="e">
        <f t="shared" si="59"/>
        <v>#DIV/0!</v>
      </c>
      <c r="AN55" s="96" t="e">
        <f t="shared" si="60"/>
        <v>#DIV/0!</v>
      </c>
      <c r="AO55" s="4" t="e">
        <f t="shared" si="61"/>
        <v>#DIV/0!</v>
      </c>
      <c r="AP55" s="6" t="e">
        <f t="shared" si="62"/>
        <v>#DIV/0!</v>
      </c>
      <c r="AQ55" s="5">
        <f t="shared" si="5"/>
        <v>0.36599999999999999</v>
      </c>
      <c r="AR55" s="4"/>
      <c r="AS55" s="132" t="e">
        <f t="shared" si="63"/>
        <v>#DIV/0!</v>
      </c>
      <c r="AT55" s="133" t="e">
        <f t="shared" si="64"/>
        <v>#DIV/0!</v>
      </c>
      <c r="AU55" s="133" t="e">
        <f t="shared" si="65"/>
        <v>#DIV/0!</v>
      </c>
      <c r="AV55" s="133" t="e">
        <f t="shared" si="66"/>
        <v>#DIV/0!</v>
      </c>
      <c r="AW55" s="133" t="e">
        <f t="shared" si="67"/>
        <v>#DIV/0!</v>
      </c>
      <c r="AX55" s="5" t="e">
        <f t="shared" si="68"/>
        <v>#DIV/0!</v>
      </c>
      <c r="AY55" s="5" t="e">
        <f t="shared" si="69"/>
        <v>#DIV/0!</v>
      </c>
      <c r="AZ55" s="5">
        <f t="shared" si="32"/>
        <v>0.85199999999999998</v>
      </c>
      <c r="BA55" s="134" t="e">
        <f t="shared" si="70"/>
        <v>#DIV/0!</v>
      </c>
      <c r="BB55" s="133" t="e">
        <f t="shared" si="71"/>
        <v>#DIV/0!</v>
      </c>
      <c r="BC55" s="106" t="e">
        <f t="shared" si="72"/>
        <v>#DIV/0!</v>
      </c>
      <c r="BD55" s="106" t="e">
        <f t="shared" si="73"/>
        <v>#DIV/0!</v>
      </c>
      <c r="BE55" s="133" t="e">
        <f t="shared" si="74"/>
        <v>#DIV/0!</v>
      </c>
      <c r="BF55" s="135" t="e">
        <f t="shared" si="75"/>
        <v>#DIV/0!</v>
      </c>
      <c r="BG55" s="133" t="e">
        <f t="shared" si="76"/>
        <v>#DIV/0!</v>
      </c>
      <c r="BH55" s="135" t="e">
        <f t="shared" si="77"/>
        <v>#DIV/0!</v>
      </c>
      <c r="BI55" s="106">
        <f t="shared" si="41"/>
        <v>0.10390000000000001</v>
      </c>
      <c r="BJ55" s="130" t="e">
        <f t="shared" si="78"/>
        <v>#DIV/0!</v>
      </c>
      <c r="BK55" s="96" t="e">
        <f t="shared" si="79"/>
        <v>#DIV/0!</v>
      </c>
      <c r="BL55" s="96" t="e">
        <f t="shared" si="80"/>
        <v>#DIV/0!</v>
      </c>
      <c r="BM55" s="135" t="e">
        <f t="shared" si="81"/>
        <v>#DIV/0!</v>
      </c>
      <c r="BN55" s="96" t="e">
        <f t="shared" si="82"/>
        <v>#DIV/0!</v>
      </c>
      <c r="BO55" s="5" t="e">
        <f t="shared" si="83"/>
        <v>#DIV/0!</v>
      </c>
      <c r="BP55" s="5" t="e">
        <f t="shared" si="84"/>
        <v>#DIV/0!</v>
      </c>
      <c r="BQ55" s="5">
        <f t="shared" si="49"/>
        <v>3.9E-2</v>
      </c>
      <c r="BR55" s="105"/>
      <c r="CA55" s="135"/>
      <c r="CB55" s="136"/>
    </row>
    <row r="56" spans="1:80" s="106" customFormat="1">
      <c r="A56" s="145" t="s">
        <v>207</v>
      </c>
      <c r="B56" s="139">
        <v>-87.5</v>
      </c>
      <c r="C56" s="47">
        <v>81.2</v>
      </c>
      <c r="D56" s="47">
        <v>58.9</v>
      </c>
      <c r="E56" s="47"/>
      <c r="F56" s="47"/>
      <c r="G56" s="47"/>
      <c r="H56" s="47"/>
      <c r="I56" s="47"/>
      <c r="J56" s="47"/>
      <c r="K56" s="143" t="e">
        <f t="shared" si="6"/>
        <v>#DIV/0!</v>
      </c>
      <c r="L56" s="95" t="e">
        <f t="shared" si="7"/>
        <v>#DIV/0!</v>
      </c>
      <c r="M56" s="10">
        <f t="shared" si="8"/>
        <v>0.49022866143913041</v>
      </c>
      <c r="N56" s="96" t="e">
        <f t="shared" si="9"/>
        <v>#DIV/0!</v>
      </c>
      <c r="O56" s="97">
        <f t="shared" si="10"/>
        <v>0</v>
      </c>
      <c r="P56" s="102"/>
      <c r="Q56" s="142"/>
      <c r="R56" s="108">
        <f t="shared" si="4"/>
        <v>-40080</v>
      </c>
      <c r="S56" s="2"/>
      <c r="T56"/>
      <c r="U56"/>
      <c r="V56"/>
      <c r="W56" s="2"/>
      <c r="X56"/>
      <c r="Y56" s="47"/>
      <c r="Z56" s="47"/>
      <c r="AA56" s="47"/>
      <c r="AB56" s="47"/>
      <c r="AC56" s="130" t="e">
        <f t="shared" si="50"/>
        <v>#DIV/0!</v>
      </c>
      <c r="AD56" s="96" t="e">
        <f t="shared" si="51"/>
        <v>#DIV/0!</v>
      </c>
      <c r="AE56" s="96" t="e">
        <f t="shared" si="52"/>
        <v>#DIV/0!</v>
      </c>
      <c r="AF56" s="96" t="e">
        <f t="shared" si="53"/>
        <v>#DIV/0!</v>
      </c>
      <c r="AG56" s="96" t="e">
        <f t="shared" si="54"/>
        <v>#DIV/0!</v>
      </c>
      <c r="AH56" s="96" t="e">
        <f t="shared" si="55"/>
        <v>#DIV/0!</v>
      </c>
      <c r="AI56" s="126" t="e">
        <f t="shared" si="56"/>
        <v>#DIV/0!</v>
      </c>
      <c r="AJ56" s="131">
        <f t="shared" si="18"/>
        <v>4.1000000000000002E-2</v>
      </c>
      <c r="AK56" s="130" t="e">
        <f t="shared" si="57"/>
        <v>#DIV/0!</v>
      </c>
      <c r="AL56" s="96" t="e">
        <f t="shared" si="58"/>
        <v>#DIV/0!</v>
      </c>
      <c r="AM56" s="96" t="e">
        <f t="shared" si="59"/>
        <v>#DIV/0!</v>
      </c>
      <c r="AN56" s="96" t="e">
        <f t="shared" si="60"/>
        <v>#DIV/0!</v>
      </c>
      <c r="AO56" s="4" t="e">
        <f t="shared" si="61"/>
        <v>#DIV/0!</v>
      </c>
      <c r="AP56" s="6" t="e">
        <f t="shared" si="62"/>
        <v>#DIV/0!</v>
      </c>
      <c r="AQ56" s="5">
        <f t="shared" si="5"/>
        <v>0.36599999999999999</v>
      </c>
      <c r="AR56" s="4"/>
      <c r="AS56" s="132" t="e">
        <f t="shared" si="63"/>
        <v>#DIV/0!</v>
      </c>
      <c r="AT56" s="133" t="e">
        <f t="shared" si="64"/>
        <v>#DIV/0!</v>
      </c>
      <c r="AU56" s="133" t="e">
        <f t="shared" si="65"/>
        <v>#DIV/0!</v>
      </c>
      <c r="AV56" s="133" t="e">
        <f t="shared" si="66"/>
        <v>#DIV/0!</v>
      </c>
      <c r="AW56" s="133" t="e">
        <f t="shared" si="67"/>
        <v>#DIV/0!</v>
      </c>
      <c r="AX56" s="5" t="e">
        <f t="shared" si="68"/>
        <v>#DIV/0!</v>
      </c>
      <c r="AY56" s="5" t="e">
        <f t="shared" si="69"/>
        <v>#DIV/0!</v>
      </c>
      <c r="AZ56" s="5">
        <f t="shared" si="32"/>
        <v>0.85199999999999998</v>
      </c>
      <c r="BA56" s="134" t="e">
        <f t="shared" si="70"/>
        <v>#DIV/0!</v>
      </c>
      <c r="BB56" s="133" t="e">
        <f t="shared" si="71"/>
        <v>#DIV/0!</v>
      </c>
      <c r="BC56" s="106" t="e">
        <f t="shared" si="72"/>
        <v>#DIV/0!</v>
      </c>
      <c r="BD56" s="106" t="e">
        <f t="shared" si="73"/>
        <v>#DIV/0!</v>
      </c>
      <c r="BE56" s="133" t="e">
        <f t="shared" si="74"/>
        <v>#DIV/0!</v>
      </c>
      <c r="BF56" s="135" t="e">
        <f t="shared" si="75"/>
        <v>#DIV/0!</v>
      </c>
      <c r="BG56" s="133" t="e">
        <f t="shared" si="76"/>
        <v>#DIV/0!</v>
      </c>
      <c r="BH56" s="135" t="e">
        <f t="shared" si="77"/>
        <v>#DIV/0!</v>
      </c>
      <c r="BI56" s="106">
        <f t="shared" si="41"/>
        <v>0.10390000000000001</v>
      </c>
      <c r="BJ56" s="130" t="e">
        <f t="shared" si="78"/>
        <v>#DIV/0!</v>
      </c>
      <c r="BK56" s="96" t="e">
        <f t="shared" si="79"/>
        <v>#DIV/0!</v>
      </c>
      <c r="BL56" s="96" t="e">
        <f t="shared" si="80"/>
        <v>#DIV/0!</v>
      </c>
      <c r="BM56" s="135" t="e">
        <f t="shared" si="81"/>
        <v>#DIV/0!</v>
      </c>
      <c r="BN56" s="96" t="e">
        <f t="shared" si="82"/>
        <v>#DIV/0!</v>
      </c>
      <c r="BO56" s="5" t="e">
        <f t="shared" si="83"/>
        <v>#DIV/0!</v>
      </c>
      <c r="BP56" s="5" t="e">
        <f t="shared" si="84"/>
        <v>#DIV/0!</v>
      </c>
      <c r="BQ56" s="5">
        <f t="shared" si="49"/>
        <v>3.9E-2</v>
      </c>
      <c r="BR56" s="105"/>
      <c r="CA56" s="135"/>
      <c r="CB56" s="136"/>
    </row>
    <row r="57" spans="1:80" s="106" customFormat="1">
      <c r="A57" s="145" t="s">
        <v>208</v>
      </c>
      <c r="B57" s="141">
        <v>-88.5</v>
      </c>
      <c r="C57" s="47">
        <v>80.099999999999994</v>
      </c>
      <c r="D57" s="47">
        <v>55.3</v>
      </c>
      <c r="E57" s="47"/>
      <c r="F57" s="47"/>
      <c r="G57" s="47"/>
      <c r="H57" s="47"/>
      <c r="I57" s="47"/>
      <c r="J57" s="47"/>
      <c r="K57" s="143" t="e">
        <f t="shared" si="6"/>
        <v>#DIV/0!</v>
      </c>
      <c r="L57" s="95" t="e">
        <f t="shared" si="7"/>
        <v>#DIV/0!</v>
      </c>
      <c r="M57" s="10">
        <f t="shared" si="8"/>
        <v>0.53251276502214862</v>
      </c>
      <c r="N57" s="96" t="e">
        <f t="shared" si="9"/>
        <v>#DIV/0!</v>
      </c>
      <c r="O57" s="97">
        <f t="shared" si="10"/>
        <v>0</v>
      </c>
      <c r="P57" s="102"/>
      <c r="Q57" s="142"/>
      <c r="R57" s="108">
        <f t="shared" si="4"/>
        <v>-40080</v>
      </c>
      <c r="S57" s="2"/>
      <c r="T57"/>
      <c r="U57"/>
      <c r="V57"/>
      <c r="W57" s="2"/>
      <c r="X57"/>
      <c r="Y57" s="47"/>
      <c r="Z57" s="47"/>
      <c r="AA57" s="47"/>
      <c r="AB57" s="47"/>
      <c r="AC57" s="130" t="e">
        <f t="shared" si="50"/>
        <v>#DIV/0!</v>
      </c>
      <c r="AD57" s="96" t="e">
        <f t="shared" si="51"/>
        <v>#DIV/0!</v>
      </c>
      <c r="AE57" s="96" t="e">
        <f t="shared" si="52"/>
        <v>#DIV/0!</v>
      </c>
      <c r="AF57" s="96" t="e">
        <f t="shared" si="53"/>
        <v>#DIV/0!</v>
      </c>
      <c r="AG57" s="96" t="e">
        <f t="shared" si="54"/>
        <v>#DIV/0!</v>
      </c>
      <c r="AH57" s="96" t="e">
        <f t="shared" si="55"/>
        <v>#DIV/0!</v>
      </c>
      <c r="AI57" s="126" t="e">
        <f t="shared" si="56"/>
        <v>#DIV/0!</v>
      </c>
      <c r="AJ57" s="131">
        <f t="shared" si="18"/>
        <v>4.1000000000000002E-2</v>
      </c>
      <c r="AK57" s="130" t="e">
        <f t="shared" si="57"/>
        <v>#DIV/0!</v>
      </c>
      <c r="AL57" s="96" t="e">
        <f t="shared" si="58"/>
        <v>#DIV/0!</v>
      </c>
      <c r="AM57" s="96" t="e">
        <f t="shared" si="59"/>
        <v>#DIV/0!</v>
      </c>
      <c r="AN57" s="96" t="e">
        <f t="shared" si="60"/>
        <v>#DIV/0!</v>
      </c>
      <c r="AO57" s="4" t="e">
        <f t="shared" si="61"/>
        <v>#DIV/0!</v>
      </c>
      <c r="AP57" s="6" t="e">
        <f t="shared" si="62"/>
        <v>#DIV/0!</v>
      </c>
      <c r="AQ57" s="5">
        <f t="shared" si="5"/>
        <v>0.36599999999999999</v>
      </c>
      <c r="AR57" s="4"/>
      <c r="AS57" s="132" t="e">
        <f t="shared" si="63"/>
        <v>#DIV/0!</v>
      </c>
      <c r="AT57" s="133" t="e">
        <f t="shared" si="64"/>
        <v>#DIV/0!</v>
      </c>
      <c r="AU57" s="133" t="e">
        <f t="shared" si="65"/>
        <v>#DIV/0!</v>
      </c>
      <c r="AV57" s="133" t="e">
        <f t="shared" si="66"/>
        <v>#DIV/0!</v>
      </c>
      <c r="AW57" s="133" t="e">
        <f t="shared" si="67"/>
        <v>#DIV/0!</v>
      </c>
      <c r="AX57" s="5" t="e">
        <f t="shared" si="68"/>
        <v>#DIV/0!</v>
      </c>
      <c r="AY57" s="5" t="e">
        <f t="shared" si="69"/>
        <v>#DIV/0!</v>
      </c>
      <c r="AZ57" s="5">
        <f t="shared" si="32"/>
        <v>0.85199999999999998</v>
      </c>
      <c r="BA57" s="134" t="e">
        <f t="shared" si="70"/>
        <v>#DIV/0!</v>
      </c>
      <c r="BB57" s="133" t="e">
        <f t="shared" si="71"/>
        <v>#DIV/0!</v>
      </c>
      <c r="BC57" s="106" t="e">
        <f t="shared" si="72"/>
        <v>#DIV/0!</v>
      </c>
      <c r="BD57" s="106" t="e">
        <f t="shared" si="73"/>
        <v>#DIV/0!</v>
      </c>
      <c r="BE57" s="133" t="e">
        <f t="shared" si="74"/>
        <v>#DIV/0!</v>
      </c>
      <c r="BF57" s="135" t="e">
        <f t="shared" si="75"/>
        <v>#DIV/0!</v>
      </c>
      <c r="BG57" s="133" t="e">
        <f t="shared" si="76"/>
        <v>#DIV/0!</v>
      </c>
      <c r="BH57" s="135" t="e">
        <f t="shared" si="77"/>
        <v>#DIV/0!</v>
      </c>
      <c r="BI57" s="106">
        <f t="shared" si="41"/>
        <v>0.10390000000000001</v>
      </c>
      <c r="BJ57" s="130" t="e">
        <f t="shared" si="78"/>
        <v>#DIV/0!</v>
      </c>
      <c r="BK57" s="96" t="e">
        <f t="shared" si="79"/>
        <v>#DIV/0!</v>
      </c>
      <c r="BL57" s="96" t="e">
        <f t="shared" si="80"/>
        <v>#DIV/0!</v>
      </c>
      <c r="BM57" s="135" t="e">
        <f t="shared" si="81"/>
        <v>#DIV/0!</v>
      </c>
      <c r="BN57" s="96" t="e">
        <f t="shared" si="82"/>
        <v>#DIV/0!</v>
      </c>
      <c r="BO57" s="5" t="e">
        <f t="shared" si="83"/>
        <v>#DIV/0!</v>
      </c>
      <c r="BP57" s="5" t="e">
        <f t="shared" si="84"/>
        <v>#DIV/0!</v>
      </c>
      <c r="BQ57" s="5">
        <f t="shared" si="49"/>
        <v>3.9E-2</v>
      </c>
      <c r="BR57" s="105"/>
      <c r="CA57" s="135"/>
      <c r="CB57" s="136"/>
    </row>
    <row r="58" spans="1:80" s="106" customFormat="1">
      <c r="A58" s="145" t="s">
        <v>209</v>
      </c>
      <c r="B58" s="139">
        <v>-89.5</v>
      </c>
      <c r="C58" s="47">
        <v>55.6</v>
      </c>
      <c r="D58" s="47">
        <v>33.200000000000003</v>
      </c>
      <c r="E58" s="47"/>
      <c r="F58" s="47"/>
      <c r="G58" s="47"/>
      <c r="H58" s="47"/>
      <c r="I58" s="47"/>
      <c r="J58" s="47"/>
      <c r="K58" s="143" t="e">
        <f t="shared" si="6"/>
        <v>#DIV/0!</v>
      </c>
      <c r="L58" s="95" t="e">
        <f t="shared" si="7"/>
        <v>#DIV/0!</v>
      </c>
      <c r="M58" s="10">
        <f t="shared" si="8"/>
        <v>0.63150417332622966</v>
      </c>
      <c r="N58" s="96" t="e">
        <f t="shared" si="9"/>
        <v>#DIV/0!</v>
      </c>
      <c r="O58" s="97">
        <f t="shared" si="10"/>
        <v>0</v>
      </c>
      <c r="P58" s="102"/>
      <c r="Q58" s="142"/>
      <c r="R58" s="108">
        <f t="shared" si="4"/>
        <v>-40080</v>
      </c>
      <c r="S58" s="2"/>
      <c r="T58"/>
      <c r="U58"/>
      <c r="V58"/>
      <c r="W58" s="2"/>
      <c r="X58"/>
      <c r="Y58" s="47"/>
      <c r="Z58" s="47"/>
      <c r="AA58" s="47"/>
      <c r="AB58" s="47"/>
      <c r="AC58" s="130" t="e">
        <f t="shared" si="50"/>
        <v>#DIV/0!</v>
      </c>
      <c r="AD58" s="96" t="e">
        <f t="shared" si="51"/>
        <v>#DIV/0!</v>
      </c>
      <c r="AE58" s="96" t="e">
        <f t="shared" si="52"/>
        <v>#DIV/0!</v>
      </c>
      <c r="AF58" s="96" t="e">
        <f t="shared" si="53"/>
        <v>#DIV/0!</v>
      </c>
      <c r="AG58" s="96" t="e">
        <f t="shared" si="54"/>
        <v>#DIV/0!</v>
      </c>
      <c r="AH58" s="96" t="e">
        <f t="shared" si="55"/>
        <v>#DIV/0!</v>
      </c>
      <c r="AI58" s="126" t="e">
        <f t="shared" si="56"/>
        <v>#DIV/0!</v>
      </c>
      <c r="AJ58" s="131">
        <f t="shared" si="18"/>
        <v>4.1000000000000002E-2</v>
      </c>
      <c r="AK58" s="130" t="e">
        <f t="shared" si="57"/>
        <v>#DIV/0!</v>
      </c>
      <c r="AL58" s="96" t="e">
        <f t="shared" si="58"/>
        <v>#DIV/0!</v>
      </c>
      <c r="AM58" s="96" t="e">
        <f t="shared" si="59"/>
        <v>#DIV/0!</v>
      </c>
      <c r="AN58" s="96" t="e">
        <f t="shared" si="60"/>
        <v>#DIV/0!</v>
      </c>
      <c r="AO58" s="4" t="e">
        <f t="shared" si="61"/>
        <v>#DIV/0!</v>
      </c>
      <c r="AP58" s="6" t="e">
        <f t="shared" si="62"/>
        <v>#DIV/0!</v>
      </c>
      <c r="AQ58" s="5">
        <f t="shared" si="5"/>
        <v>0.36599999999999999</v>
      </c>
      <c r="AR58" s="4"/>
      <c r="AS58" s="132" t="e">
        <f t="shared" si="63"/>
        <v>#DIV/0!</v>
      </c>
      <c r="AT58" s="133" t="e">
        <f t="shared" si="64"/>
        <v>#DIV/0!</v>
      </c>
      <c r="AU58" s="133" t="e">
        <f t="shared" si="65"/>
        <v>#DIV/0!</v>
      </c>
      <c r="AV58" s="133" t="e">
        <f t="shared" si="66"/>
        <v>#DIV/0!</v>
      </c>
      <c r="AW58" s="133" t="e">
        <f t="shared" si="67"/>
        <v>#DIV/0!</v>
      </c>
      <c r="AX58" s="5" t="e">
        <f t="shared" si="68"/>
        <v>#DIV/0!</v>
      </c>
      <c r="AY58" s="5" t="e">
        <f t="shared" si="69"/>
        <v>#DIV/0!</v>
      </c>
      <c r="AZ58" s="5">
        <f t="shared" si="32"/>
        <v>0.85199999999999998</v>
      </c>
      <c r="BA58" s="134" t="e">
        <f t="shared" si="70"/>
        <v>#DIV/0!</v>
      </c>
      <c r="BB58" s="133" t="e">
        <f t="shared" si="71"/>
        <v>#DIV/0!</v>
      </c>
      <c r="BC58" s="106" t="e">
        <f t="shared" si="72"/>
        <v>#DIV/0!</v>
      </c>
      <c r="BD58" s="106" t="e">
        <f t="shared" si="73"/>
        <v>#DIV/0!</v>
      </c>
      <c r="BE58" s="133" t="e">
        <f t="shared" si="74"/>
        <v>#DIV/0!</v>
      </c>
      <c r="BF58" s="135" t="e">
        <f t="shared" si="75"/>
        <v>#DIV/0!</v>
      </c>
      <c r="BG58" s="133" t="e">
        <f t="shared" si="76"/>
        <v>#DIV/0!</v>
      </c>
      <c r="BH58" s="135" t="e">
        <f t="shared" si="77"/>
        <v>#DIV/0!</v>
      </c>
      <c r="BI58" s="106">
        <f t="shared" si="41"/>
        <v>0.10390000000000001</v>
      </c>
      <c r="BJ58" s="130" t="e">
        <f t="shared" si="78"/>
        <v>#DIV/0!</v>
      </c>
      <c r="BK58" s="96" t="e">
        <f t="shared" si="79"/>
        <v>#DIV/0!</v>
      </c>
      <c r="BL58" s="96" t="e">
        <f t="shared" si="80"/>
        <v>#DIV/0!</v>
      </c>
      <c r="BM58" s="135" t="e">
        <f t="shared" si="81"/>
        <v>#DIV/0!</v>
      </c>
      <c r="BN58" s="96" t="e">
        <f t="shared" si="82"/>
        <v>#DIV/0!</v>
      </c>
      <c r="BO58" s="5" t="e">
        <f t="shared" si="83"/>
        <v>#DIV/0!</v>
      </c>
      <c r="BP58" s="5" t="e">
        <f t="shared" si="84"/>
        <v>#DIV/0!</v>
      </c>
      <c r="BQ58" s="5">
        <f t="shared" si="49"/>
        <v>3.9E-2</v>
      </c>
      <c r="BR58" s="105"/>
      <c r="CA58" s="135"/>
      <c r="CB58" s="136"/>
    </row>
    <row r="59" spans="1:80" s="106" customFormat="1" ht="12" customHeight="1">
      <c r="A59" s="157" t="s">
        <v>210</v>
      </c>
      <c r="B59" s="141">
        <v>-90.5</v>
      </c>
      <c r="C59" s="47">
        <v>64.3</v>
      </c>
      <c r="D59" s="47">
        <v>36</v>
      </c>
      <c r="E59" s="47"/>
      <c r="F59" s="47"/>
      <c r="G59" s="47"/>
      <c r="H59" s="47"/>
      <c r="I59" s="47"/>
      <c r="J59" s="47"/>
      <c r="K59" s="143" t="e">
        <f t="shared" si="6"/>
        <v>#DIV/0!</v>
      </c>
      <c r="L59" s="95" t="e">
        <f t="shared" si="7"/>
        <v>#DIV/0!</v>
      </c>
      <c r="M59" s="10">
        <f t="shared" si="8"/>
        <v>0.66630207078103842</v>
      </c>
      <c r="N59" s="96" t="e">
        <f t="shared" si="9"/>
        <v>#DIV/0!</v>
      </c>
      <c r="O59" s="97">
        <f t="shared" si="10"/>
        <v>0</v>
      </c>
      <c r="P59" s="102"/>
      <c r="Q59" s="142"/>
      <c r="R59" s="108">
        <f t="shared" si="4"/>
        <v>-40080</v>
      </c>
      <c r="S59" s="2"/>
      <c r="T59"/>
      <c r="U59"/>
      <c r="V59"/>
      <c r="W59" s="2"/>
      <c r="X59"/>
      <c r="Y59" s="47"/>
      <c r="Z59" s="47"/>
      <c r="AA59" s="47"/>
      <c r="AB59" s="47"/>
      <c r="AC59" s="130" t="e">
        <f>S59/(Q59/60)</f>
        <v>#DIV/0!</v>
      </c>
      <c r="AD59" s="96" t="e">
        <f>T59/(Q59/60)</f>
        <v>#DIV/0!</v>
      </c>
      <c r="AE59" s="96" t="e">
        <f>(AC59*AI59-$AI$5)/(AJ59*AH59*O59)</f>
        <v>#DIV/0!</v>
      </c>
      <c r="AF59" s="96" t="e">
        <f>(AE59*(EXP(0.000085158*R59)))</f>
        <v>#DIV/0!</v>
      </c>
      <c r="AG59" s="96" t="e">
        <f>SQRT(AI59^2*AD59^2+$AJ$5^2)/(AJ59*AH59*O59)</f>
        <v>#DIV/0!</v>
      </c>
      <c r="AH59" s="96" t="e">
        <f>$AF$5+$AE$5*(K59-2.8)</f>
        <v>#DIV/0!</v>
      </c>
      <c r="AI59" s="126" t="e">
        <f>$AH$5+$AG$5*(K59-2.8)</f>
        <v>#DIV/0!</v>
      </c>
      <c r="AJ59" s="131">
        <f>$AD$5</f>
        <v>4.1000000000000002E-2</v>
      </c>
      <c r="AK59" s="130" t="e">
        <f>W59/(Q59/60)</f>
        <v>#DIV/0!</v>
      </c>
      <c r="AL59" s="96" t="e">
        <f>X59/(Q59/60)</f>
        <v>#DIV/0!</v>
      </c>
      <c r="AM59" s="96" t="e">
        <f>(AK59*AP59-$AQ$5)/(AQ59*AO59*O59)</f>
        <v>#DIV/0!</v>
      </c>
      <c r="AN59" s="96" t="e">
        <f>SQRT(AP59^2*AL59^2+$AR$5^2)/(AQ59*AO59*O59)</f>
        <v>#DIV/0!</v>
      </c>
      <c r="AO59" s="4" t="e">
        <f>$AN$5+$AM$5*(K59-2.8)</f>
        <v>#DIV/0!</v>
      </c>
      <c r="AP59" s="6" t="e">
        <f>$AP$5+$AO$5*(K59-2.8)</f>
        <v>#DIV/0!</v>
      </c>
      <c r="AQ59" s="5">
        <f t="shared" si="5"/>
        <v>0.36599999999999999</v>
      </c>
      <c r="AR59" s="4"/>
      <c r="AS59" s="132" t="e">
        <f>AA59/(Q59/60)</f>
        <v>#DIV/0!</v>
      </c>
      <c r="AT59" s="133" t="e">
        <f>AB59/(Q59/60)</f>
        <v>#DIV/0!</v>
      </c>
      <c r="AU59" s="133" t="e">
        <f>(AS59*AY59-$AY$5)/(AZ59*AX59*O59)</f>
        <v>#DIV/0!</v>
      </c>
      <c r="AV59" s="133" t="e">
        <f>AU59*EXP((0.0000629444)*(R59))</f>
        <v>#DIV/0!</v>
      </c>
      <c r="AW59" s="133" t="e">
        <f>SQRT(AY59^2*AT59^2+$AY$5^2)/(AZ59*AX59*O59)</f>
        <v>#DIV/0!</v>
      </c>
      <c r="AX59" s="5" t="e">
        <f>$AU$5+$AV$5*(K59-2.8)</f>
        <v>#DIV/0!</v>
      </c>
      <c r="AY59" s="5" t="e">
        <f>$AW$5+$AX$5*(K59-2.8)</f>
        <v>#DIV/0!</v>
      </c>
      <c r="AZ59" s="5">
        <f>$AT$5</f>
        <v>0.85199999999999998</v>
      </c>
      <c r="BA59" s="134" t="e">
        <f>Y59/(Q59/60)</f>
        <v>#DIV/0!</v>
      </c>
      <c r="BB59" s="133" t="e">
        <f>Z59/(Q59/60)</f>
        <v>#DIV/0!</v>
      </c>
      <c r="BC59" s="106" t="e">
        <f>(BA59*BH59-$BG$5)/(BI59*BG59*O59)</f>
        <v>#DIV/0!</v>
      </c>
      <c r="BD59" s="106" t="e">
        <f>SQRT(BH59^2*BB59^2+$BH$5^2)/(BI59*BG59*O59)</f>
        <v>#DIV/0!</v>
      </c>
      <c r="BE59" s="133" t="e">
        <f>BC59*EXP(0.01300464*R59)</f>
        <v>#DIV/0!</v>
      </c>
      <c r="BF59" s="135" t="e">
        <f>BD59*EXP(0.01300464*R59)</f>
        <v>#DIV/0!</v>
      </c>
      <c r="BG59" s="133" t="e">
        <f>$BD$5+$BC$5*(K59-2.8)</f>
        <v>#DIV/0!</v>
      </c>
      <c r="BH59" s="135" t="e">
        <f>$BF$5+$BE$5*(K59-2.8)</f>
        <v>#DIV/0!</v>
      </c>
      <c r="BI59" s="106">
        <f>$BB$5</f>
        <v>0.10390000000000001</v>
      </c>
      <c r="BJ59" s="130" t="e">
        <f>U59/(Q59/60)</f>
        <v>#DIV/0!</v>
      </c>
      <c r="BK59" s="96" t="e">
        <f>V59/(Q59/60)</f>
        <v>#DIV/0!</v>
      </c>
      <c r="BL59" s="96" t="e">
        <f>(BJ59*BP59-$BP$5)/(BQ59*BO59*O59)</f>
        <v>#DIV/0!</v>
      </c>
      <c r="BM59" s="135" t="e">
        <f>(BL59-$D$3)*EXP($BJ$5*R59)</f>
        <v>#DIV/0!</v>
      </c>
      <c r="BN59" s="96" t="e">
        <f>SQRT(BP59^2*BK59^2+$BQ$5^2)/(BQ59*BO59*O59)</f>
        <v>#DIV/0!</v>
      </c>
      <c r="BO59" s="5" t="e">
        <f>$BM$5+$BL$5*(K59-2.8)</f>
        <v>#DIV/0!</v>
      </c>
      <c r="BP59" s="5" t="e">
        <f>$BO$5+$BN$5*(K59-2.8)</f>
        <v>#DIV/0!</v>
      </c>
      <c r="BQ59" s="5">
        <f>$BK$5</f>
        <v>3.9E-2</v>
      </c>
      <c r="BR59" s="105"/>
      <c r="CA59" s="135" t="e">
        <f>(AE59-AM59)*(EXP($AC$5*R59))</f>
        <v>#DIV/0!</v>
      </c>
      <c r="CB59" s="136">
        <f>EXP(R59*$AC$5)</f>
        <v>3.293726584796787E-2</v>
      </c>
    </row>
    <row r="60" spans="1:80" s="106" customFormat="1" ht="12" customHeight="1">
      <c r="A60" s="158" t="s">
        <v>211</v>
      </c>
      <c r="B60" s="139">
        <v>-91.5</v>
      </c>
      <c r="C60" s="47">
        <v>56.1</v>
      </c>
      <c r="D60" s="47">
        <v>31.7</v>
      </c>
      <c r="E60" s="47"/>
      <c r="F60" s="47"/>
      <c r="G60" s="47"/>
      <c r="H60" s="47"/>
      <c r="I60" s="47"/>
      <c r="J60" s="47"/>
      <c r="K60" s="143" t="e">
        <f t="shared" si="6"/>
        <v>#DIV/0!</v>
      </c>
      <c r="L60" s="95" t="e">
        <f t="shared" si="7"/>
        <v>#DIV/0!</v>
      </c>
      <c r="M60" s="10">
        <f t="shared" si="8"/>
        <v>0.66159955591613651</v>
      </c>
      <c r="N60" s="96" t="e">
        <f t="shared" si="9"/>
        <v>#DIV/0!</v>
      </c>
      <c r="O60" s="97">
        <f t="shared" si="10"/>
        <v>0</v>
      </c>
      <c r="P60" s="102"/>
      <c r="Q60" s="142"/>
      <c r="R60" s="108">
        <f t="shared" si="4"/>
        <v>-40080</v>
      </c>
      <c r="S60" s="2"/>
      <c r="T60"/>
      <c r="U60"/>
      <c r="V60"/>
      <c r="W60" s="2"/>
      <c r="X60"/>
      <c r="Y60" s="47"/>
      <c r="Z60" s="47"/>
      <c r="AA60" s="47"/>
      <c r="AB60" s="47"/>
      <c r="AC60" s="130" t="e">
        <f t="shared" ref="AC60:AC80" si="85">S60/(Q60/60)</f>
        <v>#DIV/0!</v>
      </c>
      <c r="AD60" s="96" t="e">
        <f t="shared" ref="AD60:AD80" si="86">T60/(Q60/60)</f>
        <v>#DIV/0!</v>
      </c>
      <c r="AE60" s="96" t="e">
        <f t="shared" ref="AE60:AE80" si="87">(AC60*AI60-$AI$5)/(AJ60*AH60*O60)</f>
        <v>#DIV/0!</v>
      </c>
      <c r="AF60" s="96" t="e">
        <f t="shared" ref="AF60:AF80" si="88">(AE60*(EXP(0.000085158*R60)))</f>
        <v>#DIV/0!</v>
      </c>
      <c r="AG60" s="96" t="e">
        <f t="shared" ref="AG60:AG80" si="89">SQRT(AI60^2*AD60^2+$AJ$5^2)/(AJ60*AH60*O60)</f>
        <v>#DIV/0!</v>
      </c>
      <c r="AH60" s="96" t="e">
        <f t="shared" ref="AH60:AH80" si="90">$AF$5+$AE$5*(K60-2.8)</f>
        <v>#DIV/0!</v>
      </c>
      <c r="AI60" s="126" t="e">
        <f t="shared" ref="AI60:AI80" si="91">$AH$5+$AG$5*(K60-2.8)</f>
        <v>#DIV/0!</v>
      </c>
      <c r="AJ60" s="131">
        <f t="shared" si="18"/>
        <v>4.1000000000000002E-2</v>
      </c>
      <c r="AK60" s="130" t="e">
        <f t="shared" ref="AK60:AK80" si="92">W60/(Q60/60)</f>
        <v>#DIV/0!</v>
      </c>
      <c r="AL60" s="96" t="e">
        <f t="shared" ref="AL60:AL80" si="93">X60/(Q60/60)</f>
        <v>#DIV/0!</v>
      </c>
      <c r="AM60" s="96" t="e">
        <f t="shared" ref="AM60:AM80" si="94">(AK60*AP60-$AQ$5)/(AQ60*AO60*O60)</f>
        <v>#DIV/0!</v>
      </c>
      <c r="AN60" s="96" t="e">
        <f t="shared" ref="AN60:AN80" si="95">SQRT(AP60^2*AL60^2+$AR$5^2)/(AQ60*AO60*O60)</f>
        <v>#DIV/0!</v>
      </c>
      <c r="AO60" s="4" t="e">
        <f t="shared" ref="AO60:AO80" si="96">$AN$5+$AM$5*(K60-2.8)</f>
        <v>#DIV/0!</v>
      </c>
      <c r="AP60" s="6" t="e">
        <f t="shared" ref="AP60:AP80" si="97">$AP$5+$AO$5*(K60-2.8)</f>
        <v>#DIV/0!</v>
      </c>
      <c r="AQ60" s="5">
        <f t="shared" si="5"/>
        <v>0.36599999999999999</v>
      </c>
      <c r="AR60" s="4"/>
      <c r="AS60" s="132" t="e">
        <f t="shared" ref="AS60:AS80" si="98">AA60/(Q60/60)</f>
        <v>#DIV/0!</v>
      </c>
      <c r="AT60" s="133" t="e">
        <f t="shared" ref="AT60:AT80" si="99">AB60/(Q60/60)</f>
        <v>#DIV/0!</v>
      </c>
      <c r="AU60" s="133" t="e">
        <f t="shared" ref="AU60:AU80" si="100">(AS60*AY60-$AY$5)/(AZ60*AX60*O60)</f>
        <v>#DIV/0!</v>
      </c>
      <c r="AV60" s="133" t="e">
        <f t="shared" ref="AV60:AV80" si="101">AU60*EXP((0.0000629444)*(R60))</f>
        <v>#DIV/0!</v>
      </c>
      <c r="AW60" s="133" t="e">
        <f t="shared" ref="AW60:AW80" si="102">SQRT(AY60^2*AT60^2+$AY$5^2)/(AZ60*AX60*O60)</f>
        <v>#DIV/0!</v>
      </c>
      <c r="AX60" s="5" t="e">
        <f t="shared" ref="AX60:AX80" si="103">$AU$5+$AV$5*(K60-2.8)</f>
        <v>#DIV/0!</v>
      </c>
      <c r="AY60" s="5" t="e">
        <f t="shared" ref="AY60:AY80" si="104">$AW$5+$AX$5*(K60-2.8)</f>
        <v>#DIV/0!</v>
      </c>
      <c r="AZ60" s="5">
        <f t="shared" si="32"/>
        <v>0.85199999999999998</v>
      </c>
      <c r="BA60" s="134" t="e">
        <f t="shared" ref="BA60:BA80" si="105">Y60/(Q60/60)</f>
        <v>#DIV/0!</v>
      </c>
      <c r="BB60" s="133" t="e">
        <f t="shared" ref="BB60:BB80" si="106">Z60/(Q60/60)</f>
        <v>#DIV/0!</v>
      </c>
      <c r="BC60" s="106" t="e">
        <f t="shared" ref="BC60:BC80" si="107">(BA60*BH60-$BG$5)/(BI60*BG60*O60)</f>
        <v>#DIV/0!</v>
      </c>
      <c r="BD60" s="106" t="e">
        <f t="shared" ref="BD60:BD80" si="108">SQRT(BH60^2*BB60^2+$BH$5^2)/(BI60*BG60*O60)</f>
        <v>#DIV/0!</v>
      </c>
      <c r="BE60" s="133" t="e">
        <f t="shared" ref="BE60:BE80" si="109">BC60*EXP(0.01300464*R60)</f>
        <v>#DIV/0!</v>
      </c>
      <c r="BF60" s="135" t="e">
        <f t="shared" ref="BF60:BF80" si="110">BD60*EXP(0.01300464*R60)</f>
        <v>#DIV/0!</v>
      </c>
      <c r="BG60" s="133" t="e">
        <f t="shared" ref="BG60:BG80" si="111">$BD$5+$BC$5*(K60-2.8)</f>
        <v>#DIV/0!</v>
      </c>
      <c r="BH60" s="135" t="e">
        <f t="shared" ref="BH60:BH80" si="112">$BF$5+$BE$5*(K60-2.8)</f>
        <v>#DIV/0!</v>
      </c>
      <c r="BI60" s="106">
        <f t="shared" si="41"/>
        <v>0.10390000000000001</v>
      </c>
      <c r="BJ60" s="130" t="e">
        <f t="shared" ref="BJ60:BJ80" si="113">U60/(Q60/60)</f>
        <v>#DIV/0!</v>
      </c>
      <c r="BK60" s="96" t="e">
        <f t="shared" ref="BK60:BK80" si="114">V60/(Q60/60)</f>
        <v>#DIV/0!</v>
      </c>
      <c r="BL60" s="96" t="e">
        <f t="shared" ref="BL60:BL80" si="115">(BJ60*BP60-$BP$5)/(BQ60*BO60*O60)</f>
        <v>#DIV/0!</v>
      </c>
      <c r="BM60" s="135" t="e">
        <f t="shared" ref="BM60:BM80" si="116">(BL60-$D$3)*EXP($BJ$5*R60)</f>
        <v>#DIV/0!</v>
      </c>
      <c r="BN60" s="96" t="e">
        <f t="shared" ref="BN60:BN80" si="117">SQRT(BP60^2*BK60^2+$BQ$5^2)/(BQ60*BO60*O60)</f>
        <v>#DIV/0!</v>
      </c>
      <c r="BO60" s="5" t="e">
        <f t="shared" ref="BO60:BO80" si="118">$BM$5+$BL$5*(K60-2.8)</f>
        <v>#DIV/0!</v>
      </c>
      <c r="BP60" s="5" t="e">
        <f t="shared" ref="BP60:BP80" si="119">$BO$5+$BN$5*(K60-2.8)</f>
        <v>#DIV/0!</v>
      </c>
      <c r="BQ60" s="5">
        <f t="shared" si="49"/>
        <v>3.9E-2</v>
      </c>
      <c r="BR60" s="105"/>
      <c r="CA60" s="135"/>
      <c r="CB60" s="136"/>
    </row>
    <row r="61" spans="1:80" s="106" customFormat="1" ht="12" customHeight="1">
      <c r="A61" s="156"/>
      <c r="B61" s="141"/>
      <c r="C61" s="47"/>
      <c r="D61" s="47"/>
      <c r="E61" s="47"/>
      <c r="F61" s="47"/>
      <c r="G61" s="47"/>
      <c r="H61" s="47"/>
      <c r="I61" s="47"/>
      <c r="J61" s="47"/>
      <c r="K61" s="143" t="e">
        <f t="shared" si="6"/>
        <v>#DIV/0!</v>
      </c>
      <c r="L61" s="95" t="e">
        <f t="shared" si="7"/>
        <v>#DIV/0!</v>
      </c>
      <c r="M61" s="10" t="e">
        <f t="shared" si="8"/>
        <v>#DIV/0!</v>
      </c>
      <c r="N61" s="96" t="e">
        <f t="shared" si="9"/>
        <v>#DIV/0!</v>
      </c>
      <c r="O61" s="97">
        <f t="shared" si="10"/>
        <v>0</v>
      </c>
      <c r="P61" s="102"/>
      <c r="Q61" s="142"/>
      <c r="R61" s="108">
        <f t="shared" si="4"/>
        <v>-40080</v>
      </c>
      <c r="S61" s="2"/>
      <c r="T61"/>
      <c r="U61"/>
      <c r="V61"/>
      <c r="W61" s="2"/>
      <c r="X61"/>
      <c r="Y61" s="47"/>
      <c r="Z61" s="47"/>
      <c r="AA61" s="47"/>
      <c r="AB61" s="47"/>
      <c r="AC61" s="130" t="e">
        <f t="shared" si="85"/>
        <v>#DIV/0!</v>
      </c>
      <c r="AD61" s="96" t="e">
        <f t="shared" si="86"/>
        <v>#DIV/0!</v>
      </c>
      <c r="AE61" s="96" t="e">
        <f t="shared" si="87"/>
        <v>#DIV/0!</v>
      </c>
      <c r="AF61" s="96" t="e">
        <f t="shared" si="88"/>
        <v>#DIV/0!</v>
      </c>
      <c r="AG61" s="96" t="e">
        <f t="shared" si="89"/>
        <v>#DIV/0!</v>
      </c>
      <c r="AH61" s="96" t="e">
        <f t="shared" si="90"/>
        <v>#DIV/0!</v>
      </c>
      <c r="AI61" s="126" t="e">
        <f t="shared" si="91"/>
        <v>#DIV/0!</v>
      </c>
      <c r="AJ61" s="131">
        <f t="shared" si="18"/>
        <v>4.1000000000000002E-2</v>
      </c>
      <c r="AK61" s="130" t="e">
        <f t="shared" si="92"/>
        <v>#DIV/0!</v>
      </c>
      <c r="AL61" s="96" t="e">
        <f t="shared" si="93"/>
        <v>#DIV/0!</v>
      </c>
      <c r="AM61" s="96" t="e">
        <f t="shared" si="94"/>
        <v>#DIV/0!</v>
      </c>
      <c r="AN61" s="96" t="e">
        <f t="shared" si="95"/>
        <v>#DIV/0!</v>
      </c>
      <c r="AO61" s="4" t="e">
        <f t="shared" si="96"/>
        <v>#DIV/0!</v>
      </c>
      <c r="AP61" s="6" t="e">
        <f t="shared" si="97"/>
        <v>#DIV/0!</v>
      </c>
      <c r="AQ61" s="5">
        <f t="shared" si="5"/>
        <v>0.36599999999999999</v>
      </c>
      <c r="AR61" s="4"/>
      <c r="AS61" s="132" t="e">
        <f t="shared" si="98"/>
        <v>#DIV/0!</v>
      </c>
      <c r="AT61" s="133" t="e">
        <f t="shared" si="99"/>
        <v>#DIV/0!</v>
      </c>
      <c r="AU61" s="133" t="e">
        <f t="shared" si="100"/>
        <v>#DIV/0!</v>
      </c>
      <c r="AV61" s="133" t="e">
        <f t="shared" si="101"/>
        <v>#DIV/0!</v>
      </c>
      <c r="AW61" s="133" t="e">
        <f t="shared" si="102"/>
        <v>#DIV/0!</v>
      </c>
      <c r="AX61" s="5" t="e">
        <f t="shared" si="103"/>
        <v>#DIV/0!</v>
      </c>
      <c r="AY61" s="5" t="e">
        <f t="shared" si="104"/>
        <v>#DIV/0!</v>
      </c>
      <c r="AZ61" s="5">
        <f t="shared" si="32"/>
        <v>0.85199999999999998</v>
      </c>
      <c r="BA61" s="134" t="e">
        <f t="shared" si="105"/>
        <v>#DIV/0!</v>
      </c>
      <c r="BB61" s="133" t="e">
        <f t="shared" si="106"/>
        <v>#DIV/0!</v>
      </c>
      <c r="BC61" s="106" t="e">
        <f t="shared" si="107"/>
        <v>#DIV/0!</v>
      </c>
      <c r="BD61" s="106" t="e">
        <f t="shared" si="108"/>
        <v>#DIV/0!</v>
      </c>
      <c r="BE61" s="133" t="e">
        <f t="shared" si="109"/>
        <v>#DIV/0!</v>
      </c>
      <c r="BF61" s="135" t="e">
        <f t="shared" si="110"/>
        <v>#DIV/0!</v>
      </c>
      <c r="BG61" s="133" t="e">
        <f t="shared" si="111"/>
        <v>#DIV/0!</v>
      </c>
      <c r="BH61" s="135" t="e">
        <f t="shared" si="112"/>
        <v>#DIV/0!</v>
      </c>
      <c r="BI61" s="106">
        <f t="shared" si="41"/>
        <v>0.10390000000000001</v>
      </c>
      <c r="BJ61" s="130" t="e">
        <f t="shared" si="113"/>
        <v>#DIV/0!</v>
      </c>
      <c r="BK61" s="96" t="e">
        <f t="shared" si="114"/>
        <v>#DIV/0!</v>
      </c>
      <c r="BL61" s="96" t="e">
        <f t="shared" si="115"/>
        <v>#DIV/0!</v>
      </c>
      <c r="BM61" s="135" t="e">
        <f t="shared" si="116"/>
        <v>#DIV/0!</v>
      </c>
      <c r="BN61" s="96" t="e">
        <f t="shared" si="117"/>
        <v>#DIV/0!</v>
      </c>
      <c r="BO61" s="5" t="e">
        <f t="shared" si="118"/>
        <v>#DIV/0!</v>
      </c>
      <c r="BP61" s="5" t="e">
        <f t="shared" si="119"/>
        <v>#DIV/0!</v>
      </c>
      <c r="BQ61" s="5">
        <f t="shared" si="49"/>
        <v>3.9E-2</v>
      </c>
      <c r="BR61" s="105"/>
      <c r="CA61" s="135"/>
      <c r="CB61" s="136"/>
    </row>
    <row r="62" spans="1:80" s="106" customFormat="1" ht="12" customHeight="1">
      <c r="A62" s="156"/>
      <c r="B62" s="139"/>
      <c r="C62" s="47"/>
      <c r="D62" s="47"/>
      <c r="E62" s="47"/>
      <c r="F62" s="47"/>
      <c r="G62" s="47"/>
      <c r="H62" s="47"/>
      <c r="I62" s="47"/>
      <c r="J62" s="47"/>
      <c r="K62" s="143" t="e">
        <f t="shared" si="6"/>
        <v>#DIV/0!</v>
      </c>
      <c r="L62" s="95" t="e">
        <f t="shared" si="7"/>
        <v>#DIV/0!</v>
      </c>
      <c r="M62" s="10" t="e">
        <f t="shared" si="8"/>
        <v>#DIV/0!</v>
      </c>
      <c r="N62" s="96" t="e">
        <f t="shared" si="9"/>
        <v>#DIV/0!</v>
      </c>
      <c r="O62" s="97">
        <f t="shared" si="10"/>
        <v>0</v>
      </c>
      <c r="P62" s="102"/>
      <c r="Q62" s="142"/>
      <c r="R62" s="108">
        <f t="shared" si="4"/>
        <v>-40080</v>
      </c>
      <c r="S62" s="2"/>
      <c r="T62"/>
      <c r="U62"/>
      <c r="V62"/>
      <c r="W62" s="2"/>
      <c r="X62"/>
      <c r="Y62" s="47"/>
      <c r="Z62" s="47"/>
      <c r="AA62" s="47"/>
      <c r="AB62" s="47"/>
      <c r="AC62" s="130" t="e">
        <f t="shared" si="85"/>
        <v>#DIV/0!</v>
      </c>
      <c r="AD62" s="96" t="e">
        <f t="shared" si="86"/>
        <v>#DIV/0!</v>
      </c>
      <c r="AE62" s="96" t="e">
        <f t="shared" si="87"/>
        <v>#DIV/0!</v>
      </c>
      <c r="AF62" s="96" t="e">
        <f t="shared" si="88"/>
        <v>#DIV/0!</v>
      </c>
      <c r="AG62" s="96" t="e">
        <f t="shared" si="89"/>
        <v>#DIV/0!</v>
      </c>
      <c r="AH62" s="96" t="e">
        <f t="shared" si="90"/>
        <v>#DIV/0!</v>
      </c>
      <c r="AI62" s="126" t="e">
        <f t="shared" si="91"/>
        <v>#DIV/0!</v>
      </c>
      <c r="AJ62" s="131">
        <f t="shared" si="18"/>
        <v>4.1000000000000002E-2</v>
      </c>
      <c r="AK62" s="130" t="e">
        <f t="shared" si="92"/>
        <v>#DIV/0!</v>
      </c>
      <c r="AL62" s="96" t="e">
        <f t="shared" si="93"/>
        <v>#DIV/0!</v>
      </c>
      <c r="AM62" s="96" t="e">
        <f t="shared" si="94"/>
        <v>#DIV/0!</v>
      </c>
      <c r="AN62" s="96" t="e">
        <f t="shared" si="95"/>
        <v>#DIV/0!</v>
      </c>
      <c r="AO62" s="4" t="e">
        <f t="shared" si="96"/>
        <v>#DIV/0!</v>
      </c>
      <c r="AP62" s="6" t="e">
        <f t="shared" si="97"/>
        <v>#DIV/0!</v>
      </c>
      <c r="AQ62" s="5">
        <f t="shared" si="5"/>
        <v>0.36599999999999999</v>
      </c>
      <c r="AR62" s="4"/>
      <c r="AS62" s="132" t="e">
        <f t="shared" si="98"/>
        <v>#DIV/0!</v>
      </c>
      <c r="AT62" s="133" t="e">
        <f t="shared" si="99"/>
        <v>#DIV/0!</v>
      </c>
      <c r="AU62" s="133" t="e">
        <f t="shared" si="100"/>
        <v>#DIV/0!</v>
      </c>
      <c r="AV62" s="133" t="e">
        <f t="shared" si="101"/>
        <v>#DIV/0!</v>
      </c>
      <c r="AW62" s="133" t="e">
        <f t="shared" si="102"/>
        <v>#DIV/0!</v>
      </c>
      <c r="AX62" s="5" t="e">
        <f t="shared" si="103"/>
        <v>#DIV/0!</v>
      </c>
      <c r="AY62" s="5" t="e">
        <f t="shared" si="104"/>
        <v>#DIV/0!</v>
      </c>
      <c r="AZ62" s="5">
        <f t="shared" si="32"/>
        <v>0.85199999999999998</v>
      </c>
      <c r="BA62" s="134" t="e">
        <f t="shared" si="105"/>
        <v>#DIV/0!</v>
      </c>
      <c r="BB62" s="133" t="e">
        <f t="shared" si="106"/>
        <v>#DIV/0!</v>
      </c>
      <c r="BC62" s="106" t="e">
        <f t="shared" si="107"/>
        <v>#DIV/0!</v>
      </c>
      <c r="BD62" s="106" t="e">
        <f t="shared" si="108"/>
        <v>#DIV/0!</v>
      </c>
      <c r="BE62" s="133" t="e">
        <f t="shared" si="109"/>
        <v>#DIV/0!</v>
      </c>
      <c r="BF62" s="135" t="e">
        <f t="shared" si="110"/>
        <v>#DIV/0!</v>
      </c>
      <c r="BG62" s="133" t="e">
        <f t="shared" si="111"/>
        <v>#DIV/0!</v>
      </c>
      <c r="BH62" s="135" t="e">
        <f t="shared" si="112"/>
        <v>#DIV/0!</v>
      </c>
      <c r="BI62" s="106">
        <f t="shared" si="41"/>
        <v>0.10390000000000001</v>
      </c>
      <c r="BJ62" s="130" t="e">
        <f t="shared" si="113"/>
        <v>#DIV/0!</v>
      </c>
      <c r="BK62" s="96" t="e">
        <f t="shared" si="114"/>
        <v>#DIV/0!</v>
      </c>
      <c r="BL62" s="96" t="e">
        <f t="shared" si="115"/>
        <v>#DIV/0!</v>
      </c>
      <c r="BM62" s="135" t="e">
        <f t="shared" si="116"/>
        <v>#DIV/0!</v>
      </c>
      <c r="BN62" s="96" t="e">
        <f t="shared" si="117"/>
        <v>#DIV/0!</v>
      </c>
      <c r="BO62" s="5" t="e">
        <f t="shared" si="118"/>
        <v>#DIV/0!</v>
      </c>
      <c r="BP62" s="5" t="e">
        <f t="shared" si="119"/>
        <v>#DIV/0!</v>
      </c>
      <c r="BQ62" s="5">
        <f t="shared" si="49"/>
        <v>3.9E-2</v>
      </c>
      <c r="BR62" s="105"/>
      <c r="CA62" s="135"/>
      <c r="CB62" s="136"/>
    </row>
    <row r="63" spans="1:80" s="106" customFormat="1" ht="12" customHeight="1">
      <c r="A63" s="156"/>
      <c r="B63" s="139"/>
      <c r="C63" s="47"/>
      <c r="D63" s="47"/>
      <c r="E63" s="47"/>
      <c r="F63" s="47"/>
      <c r="G63" s="47"/>
      <c r="H63" s="47"/>
      <c r="I63" s="47"/>
      <c r="J63" s="47"/>
      <c r="K63" s="143" t="e">
        <f t="shared" si="6"/>
        <v>#DIV/0!</v>
      </c>
      <c r="L63" s="95" t="e">
        <f t="shared" si="7"/>
        <v>#DIV/0!</v>
      </c>
      <c r="M63" s="10" t="e">
        <f t="shared" si="8"/>
        <v>#DIV/0!</v>
      </c>
      <c r="N63" s="96" t="e">
        <f t="shared" si="9"/>
        <v>#DIV/0!</v>
      </c>
      <c r="O63" s="97">
        <f t="shared" si="10"/>
        <v>0</v>
      </c>
      <c r="P63" s="102"/>
      <c r="Q63" s="142"/>
      <c r="R63" s="108">
        <f t="shared" si="4"/>
        <v>-40080</v>
      </c>
      <c r="S63" s="2"/>
      <c r="T63"/>
      <c r="U63"/>
      <c r="V63"/>
      <c r="W63" s="2"/>
      <c r="X63"/>
      <c r="Y63" s="47"/>
      <c r="Z63" s="47"/>
      <c r="AA63" s="47"/>
      <c r="AB63" s="47"/>
      <c r="AC63" s="130" t="e">
        <f t="shared" si="85"/>
        <v>#DIV/0!</v>
      </c>
      <c r="AD63" s="96" t="e">
        <f t="shared" si="86"/>
        <v>#DIV/0!</v>
      </c>
      <c r="AE63" s="96" t="e">
        <f t="shared" si="87"/>
        <v>#DIV/0!</v>
      </c>
      <c r="AF63" s="96" t="e">
        <f t="shared" si="88"/>
        <v>#DIV/0!</v>
      </c>
      <c r="AG63" s="96" t="e">
        <f t="shared" si="89"/>
        <v>#DIV/0!</v>
      </c>
      <c r="AH63" s="96" t="e">
        <f t="shared" si="90"/>
        <v>#DIV/0!</v>
      </c>
      <c r="AI63" s="126" t="e">
        <f t="shared" si="91"/>
        <v>#DIV/0!</v>
      </c>
      <c r="AJ63" s="131">
        <f t="shared" si="18"/>
        <v>4.1000000000000002E-2</v>
      </c>
      <c r="AK63" s="130" t="e">
        <f t="shared" si="92"/>
        <v>#DIV/0!</v>
      </c>
      <c r="AL63" s="96" t="e">
        <f t="shared" si="93"/>
        <v>#DIV/0!</v>
      </c>
      <c r="AM63" s="96" t="e">
        <f t="shared" si="94"/>
        <v>#DIV/0!</v>
      </c>
      <c r="AN63" s="96" t="e">
        <f t="shared" si="95"/>
        <v>#DIV/0!</v>
      </c>
      <c r="AO63" s="4" t="e">
        <f t="shared" si="96"/>
        <v>#DIV/0!</v>
      </c>
      <c r="AP63" s="6" t="e">
        <f t="shared" si="97"/>
        <v>#DIV/0!</v>
      </c>
      <c r="AQ63" s="5">
        <f t="shared" si="5"/>
        <v>0.36599999999999999</v>
      </c>
      <c r="AR63" s="4"/>
      <c r="AS63" s="132" t="e">
        <f t="shared" si="98"/>
        <v>#DIV/0!</v>
      </c>
      <c r="AT63" s="133" t="e">
        <f t="shared" si="99"/>
        <v>#DIV/0!</v>
      </c>
      <c r="AU63" s="133" t="e">
        <f t="shared" si="100"/>
        <v>#DIV/0!</v>
      </c>
      <c r="AV63" s="133" t="e">
        <f t="shared" si="101"/>
        <v>#DIV/0!</v>
      </c>
      <c r="AW63" s="133" t="e">
        <f t="shared" si="102"/>
        <v>#DIV/0!</v>
      </c>
      <c r="AX63" s="5" t="e">
        <f t="shared" si="103"/>
        <v>#DIV/0!</v>
      </c>
      <c r="AY63" s="5" t="e">
        <f t="shared" si="104"/>
        <v>#DIV/0!</v>
      </c>
      <c r="AZ63" s="5">
        <f t="shared" si="32"/>
        <v>0.85199999999999998</v>
      </c>
      <c r="BA63" s="134" t="e">
        <f t="shared" si="105"/>
        <v>#DIV/0!</v>
      </c>
      <c r="BB63" s="133" t="e">
        <f t="shared" si="106"/>
        <v>#DIV/0!</v>
      </c>
      <c r="BC63" s="106" t="e">
        <f t="shared" si="107"/>
        <v>#DIV/0!</v>
      </c>
      <c r="BD63" s="106" t="e">
        <f t="shared" si="108"/>
        <v>#DIV/0!</v>
      </c>
      <c r="BE63" s="133" t="e">
        <f t="shared" si="109"/>
        <v>#DIV/0!</v>
      </c>
      <c r="BF63" s="135" t="e">
        <f t="shared" si="110"/>
        <v>#DIV/0!</v>
      </c>
      <c r="BG63" s="133" t="e">
        <f t="shared" si="111"/>
        <v>#DIV/0!</v>
      </c>
      <c r="BH63" s="135" t="e">
        <f t="shared" si="112"/>
        <v>#DIV/0!</v>
      </c>
      <c r="BI63" s="106">
        <f t="shared" si="41"/>
        <v>0.10390000000000001</v>
      </c>
      <c r="BJ63" s="130" t="e">
        <f t="shared" si="113"/>
        <v>#DIV/0!</v>
      </c>
      <c r="BK63" s="96" t="e">
        <f t="shared" si="114"/>
        <v>#DIV/0!</v>
      </c>
      <c r="BL63" s="96" t="e">
        <f t="shared" si="115"/>
        <v>#DIV/0!</v>
      </c>
      <c r="BM63" s="135" t="e">
        <f t="shared" si="116"/>
        <v>#DIV/0!</v>
      </c>
      <c r="BN63" s="96" t="e">
        <f t="shared" si="117"/>
        <v>#DIV/0!</v>
      </c>
      <c r="BO63" s="5" t="e">
        <f t="shared" si="118"/>
        <v>#DIV/0!</v>
      </c>
      <c r="BP63" s="5" t="e">
        <f t="shared" si="119"/>
        <v>#DIV/0!</v>
      </c>
      <c r="BQ63" s="5">
        <f t="shared" si="49"/>
        <v>3.9E-2</v>
      </c>
      <c r="BR63" s="105"/>
      <c r="CA63" s="135"/>
      <c r="CB63" s="136"/>
    </row>
    <row r="64" spans="1:80" s="106" customFormat="1" ht="12" customHeight="1">
      <c r="A64" s="156"/>
      <c r="B64" s="141"/>
      <c r="C64" s="47"/>
      <c r="D64" s="47"/>
      <c r="E64" s="47"/>
      <c r="F64" s="47"/>
      <c r="G64" s="47"/>
      <c r="H64" s="47"/>
      <c r="I64" s="47"/>
      <c r="J64" s="47"/>
      <c r="K64" s="143" t="e">
        <f t="shared" si="6"/>
        <v>#DIV/0!</v>
      </c>
      <c r="L64" s="95" t="e">
        <f t="shared" si="7"/>
        <v>#DIV/0!</v>
      </c>
      <c r="M64" s="10" t="e">
        <f t="shared" si="8"/>
        <v>#DIV/0!</v>
      </c>
      <c r="N64" s="96" t="e">
        <f t="shared" si="9"/>
        <v>#DIV/0!</v>
      </c>
      <c r="O64" s="97">
        <f t="shared" si="10"/>
        <v>0</v>
      </c>
      <c r="P64" s="102"/>
      <c r="Q64" s="142"/>
      <c r="R64" s="108">
        <f t="shared" si="4"/>
        <v>-40080</v>
      </c>
      <c r="S64" s="2"/>
      <c r="T64"/>
      <c r="U64"/>
      <c r="V64"/>
      <c r="W64" s="2"/>
      <c r="X64"/>
      <c r="Y64" s="47"/>
      <c r="Z64" s="47"/>
      <c r="AA64" s="47"/>
      <c r="AB64" s="47"/>
      <c r="AC64" s="130" t="e">
        <f t="shared" si="85"/>
        <v>#DIV/0!</v>
      </c>
      <c r="AD64" s="96" t="e">
        <f t="shared" si="86"/>
        <v>#DIV/0!</v>
      </c>
      <c r="AE64" s="96" t="e">
        <f t="shared" si="87"/>
        <v>#DIV/0!</v>
      </c>
      <c r="AF64" s="96" t="e">
        <f t="shared" si="88"/>
        <v>#DIV/0!</v>
      </c>
      <c r="AG64" s="96" t="e">
        <f t="shared" si="89"/>
        <v>#DIV/0!</v>
      </c>
      <c r="AH64" s="96" t="e">
        <f t="shared" si="90"/>
        <v>#DIV/0!</v>
      </c>
      <c r="AI64" s="126" t="e">
        <f t="shared" si="91"/>
        <v>#DIV/0!</v>
      </c>
      <c r="AJ64" s="131">
        <f t="shared" si="18"/>
        <v>4.1000000000000002E-2</v>
      </c>
      <c r="AK64" s="130" t="e">
        <f t="shared" si="92"/>
        <v>#DIV/0!</v>
      </c>
      <c r="AL64" s="96" t="e">
        <f t="shared" si="93"/>
        <v>#DIV/0!</v>
      </c>
      <c r="AM64" s="96" t="e">
        <f t="shared" si="94"/>
        <v>#DIV/0!</v>
      </c>
      <c r="AN64" s="96" t="e">
        <f t="shared" si="95"/>
        <v>#DIV/0!</v>
      </c>
      <c r="AO64" s="4" t="e">
        <f t="shared" si="96"/>
        <v>#DIV/0!</v>
      </c>
      <c r="AP64" s="6" t="e">
        <f t="shared" si="97"/>
        <v>#DIV/0!</v>
      </c>
      <c r="AQ64" s="5">
        <f t="shared" si="5"/>
        <v>0.36599999999999999</v>
      </c>
      <c r="AR64" s="4"/>
      <c r="AS64" s="132" t="e">
        <f t="shared" si="98"/>
        <v>#DIV/0!</v>
      </c>
      <c r="AT64" s="133" t="e">
        <f t="shared" si="99"/>
        <v>#DIV/0!</v>
      </c>
      <c r="AU64" s="133" t="e">
        <f t="shared" si="100"/>
        <v>#DIV/0!</v>
      </c>
      <c r="AV64" s="133" t="e">
        <f t="shared" si="101"/>
        <v>#DIV/0!</v>
      </c>
      <c r="AW64" s="133" t="e">
        <f t="shared" si="102"/>
        <v>#DIV/0!</v>
      </c>
      <c r="AX64" s="5" t="e">
        <f t="shared" si="103"/>
        <v>#DIV/0!</v>
      </c>
      <c r="AY64" s="5" t="e">
        <f t="shared" si="104"/>
        <v>#DIV/0!</v>
      </c>
      <c r="AZ64" s="5">
        <f t="shared" si="32"/>
        <v>0.85199999999999998</v>
      </c>
      <c r="BA64" s="134" t="e">
        <f t="shared" si="105"/>
        <v>#DIV/0!</v>
      </c>
      <c r="BB64" s="133" t="e">
        <f t="shared" si="106"/>
        <v>#DIV/0!</v>
      </c>
      <c r="BC64" s="106" t="e">
        <f t="shared" si="107"/>
        <v>#DIV/0!</v>
      </c>
      <c r="BD64" s="106" t="e">
        <f t="shared" si="108"/>
        <v>#DIV/0!</v>
      </c>
      <c r="BE64" s="133" t="e">
        <f t="shared" si="109"/>
        <v>#DIV/0!</v>
      </c>
      <c r="BF64" s="135" t="e">
        <f t="shared" si="110"/>
        <v>#DIV/0!</v>
      </c>
      <c r="BG64" s="133" t="e">
        <f t="shared" si="111"/>
        <v>#DIV/0!</v>
      </c>
      <c r="BH64" s="135" t="e">
        <f t="shared" si="112"/>
        <v>#DIV/0!</v>
      </c>
      <c r="BI64" s="106">
        <f t="shared" si="41"/>
        <v>0.10390000000000001</v>
      </c>
      <c r="BJ64" s="130" t="e">
        <f t="shared" si="113"/>
        <v>#DIV/0!</v>
      </c>
      <c r="BK64" s="96" t="e">
        <f t="shared" si="114"/>
        <v>#DIV/0!</v>
      </c>
      <c r="BL64" s="96" t="e">
        <f t="shared" si="115"/>
        <v>#DIV/0!</v>
      </c>
      <c r="BM64" s="135" t="e">
        <f t="shared" si="116"/>
        <v>#DIV/0!</v>
      </c>
      <c r="BN64" s="96" t="e">
        <f t="shared" si="117"/>
        <v>#DIV/0!</v>
      </c>
      <c r="BO64" s="5" t="e">
        <f t="shared" si="118"/>
        <v>#DIV/0!</v>
      </c>
      <c r="BP64" s="5" t="e">
        <f t="shared" si="119"/>
        <v>#DIV/0!</v>
      </c>
      <c r="BQ64" s="5">
        <f t="shared" si="49"/>
        <v>3.9E-2</v>
      </c>
      <c r="BR64" s="105"/>
      <c r="CA64" s="135"/>
      <c r="CB64" s="136"/>
    </row>
    <row r="65" spans="1:80" s="106" customFormat="1" ht="12" customHeight="1">
      <c r="A65" s="156"/>
      <c r="B65" s="139"/>
      <c r="C65" s="47"/>
      <c r="D65" s="47"/>
      <c r="E65" s="47"/>
      <c r="F65" s="47"/>
      <c r="G65" s="47"/>
      <c r="H65" s="47"/>
      <c r="I65" s="47"/>
      <c r="J65" s="47"/>
      <c r="K65" s="143" t="e">
        <f t="shared" si="6"/>
        <v>#DIV/0!</v>
      </c>
      <c r="L65" s="95" t="e">
        <f t="shared" si="7"/>
        <v>#DIV/0!</v>
      </c>
      <c r="M65" s="10" t="e">
        <f t="shared" si="8"/>
        <v>#DIV/0!</v>
      </c>
      <c r="N65" s="96" t="e">
        <f t="shared" si="9"/>
        <v>#DIV/0!</v>
      </c>
      <c r="O65" s="97">
        <f t="shared" si="10"/>
        <v>0</v>
      </c>
      <c r="P65" s="102"/>
      <c r="Q65" s="142"/>
      <c r="R65" s="108">
        <f t="shared" si="4"/>
        <v>-40080</v>
      </c>
      <c r="S65" s="2"/>
      <c r="T65"/>
      <c r="U65"/>
      <c r="V65"/>
      <c r="W65" s="2"/>
      <c r="X65"/>
      <c r="Y65" s="47"/>
      <c r="Z65" s="47"/>
      <c r="AA65" s="47"/>
      <c r="AB65" s="47"/>
      <c r="AC65" s="130" t="e">
        <f t="shared" si="85"/>
        <v>#DIV/0!</v>
      </c>
      <c r="AD65" s="96" t="e">
        <f t="shared" si="86"/>
        <v>#DIV/0!</v>
      </c>
      <c r="AE65" s="96" t="e">
        <f t="shared" si="87"/>
        <v>#DIV/0!</v>
      </c>
      <c r="AF65" s="96" t="e">
        <f t="shared" si="88"/>
        <v>#DIV/0!</v>
      </c>
      <c r="AG65" s="96" t="e">
        <f t="shared" si="89"/>
        <v>#DIV/0!</v>
      </c>
      <c r="AH65" s="96" t="e">
        <f t="shared" si="90"/>
        <v>#DIV/0!</v>
      </c>
      <c r="AI65" s="126" t="e">
        <f t="shared" si="91"/>
        <v>#DIV/0!</v>
      </c>
      <c r="AJ65" s="131">
        <f t="shared" si="18"/>
        <v>4.1000000000000002E-2</v>
      </c>
      <c r="AK65" s="130" t="e">
        <f t="shared" si="92"/>
        <v>#DIV/0!</v>
      </c>
      <c r="AL65" s="96" t="e">
        <f t="shared" si="93"/>
        <v>#DIV/0!</v>
      </c>
      <c r="AM65" s="96" t="e">
        <f t="shared" si="94"/>
        <v>#DIV/0!</v>
      </c>
      <c r="AN65" s="96" t="e">
        <f t="shared" si="95"/>
        <v>#DIV/0!</v>
      </c>
      <c r="AO65" s="4" t="e">
        <f t="shared" si="96"/>
        <v>#DIV/0!</v>
      </c>
      <c r="AP65" s="6" t="e">
        <f t="shared" si="97"/>
        <v>#DIV/0!</v>
      </c>
      <c r="AQ65" s="5">
        <f t="shared" si="5"/>
        <v>0.36599999999999999</v>
      </c>
      <c r="AR65" s="4"/>
      <c r="AS65" s="132" t="e">
        <f t="shared" si="98"/>
        <v>#DIV/0!</v>
      </c>
      <c r="AT65" s="133" t="e">
        <f t="shared" si="99"/>
        <v>#DIV/0!</v>
      </c>
      <c r="AU65" s="133" t="e">
        <f t="shared" si="100"/>
        <v>#DIV/0!</v>
      </c>
      <c r="AV65" s="133" t="e">
        <f t="shared" si="101"/>
        <v>#DIV/0!</v>
      </c>
      <c r="AW65" s="133" t="e">
        <f t="shared" si="102"/>
        <v>#DIV/0!</v>
      </c>
      <c r="AX65" s="5" t="e">
        <f t="shared" si="103"/>
        <v>#DIV/0!</v>
      </c>
      <c r="AY65" s="5" t="e">
        <f t="shared" si="104"/>
        <v>#DIV/0!</v>
      </c>
      <c r="AZ65" s="5">
        <f t="shared" si="32"/>
        <v>0.85199999999999998</v>
      </c>
      <c r="BA65" s="134" t="e">
        <f t="shared" si="105"/>
        <v>#DIV/0!</v>
      </c>
      <c r="BB65" s="133" t="e">
        <f t="shared" si="106"/>
        <v>#DIV/0!</v>
      </c>
      <c r="BC65" s="106" t="e">
        <f t="shared" si="107"/>
        <v>#DIV/0!</v>
      </c>
      <c r="BD65" s="106" t="e">
        <f t="shared" si="108"/>
        <v>#DIV/0!</v>
      </c>
      <c r="BE65" s="133" t="e">
        <f t="shared" si="109"/>
        <v>#DIV/0!</v>
      </c>
      <c r="BF65" s="135" t="e">
        <f t="shared" si="110"/>
        <v>#DIV/0!</v>
      </c>
      <c r="BG65" s="133" t="e">
        <f t="shared" si="111"/>
        <v>#DIV/0!</v>
      </c>
      <c r="BH65" s="135" t="e">
        <f t="shared" si="112"/>
        <v>#DIV/0!</v>
      </c>
      <c r="BI65" s="106">
        <f t="shared" si="41"/>
        <v>0.10390000000000001</v>
      </c>
      <c r="BJ65" s="130" t="e">
        <f t="shared" si="113"/>
        <v>#DIV/0!</v>
      </c>
      <c r="BK65" s="96" t="e">
        <f t="shared" si="114"/>
        <v>#DIV/0!</v>
      </c>
      <c r="BL65" s="96" t="e">
        <f t="shared" si="115"/>
        <v>#DIV/0!</v>
      </c>
      <c r="BM65" s="135" t="e">
        <f t="shared" si="116"/>
        <v>#DIV/0!</v>
      </c>
      <c r="BN65" s="96" t="e">
        <f t="shared" si="117"/>
        <v>#DIV/0!</v>
      </c>
      <c r="BO65" s="5" t="e">
        <f t="shared" si="118"/>
        <v>#DIV/0!</v>
      </c>
      <c r="BP65" s="5" t="e">
        <f t="shared" si="119"/>
        <v>#DIV/0!</v>
      </c>
      <c r="BQ65" s="5">
        <f t="shared" si="49"/>
        <v>3.9E-2</v>
      </c>
      <c r="BR65" s="105"/>
      <c r="CA65" s="135"/>
      <c r="CB65" s="136"/>
    </row>
    <row r="66" spans="1:80" s="106" customFormat="1" ht="12" customHeight="1">
      <c r="A66" s="156"/>
      <c r="B66" s="139"/>
      <c r="C66" s="47"/>
      <c r="D66" s="47"/>
      <c r="E66" s="47"/>
      <c r="F66" s="47"/>
      <c r="G66" s="47"/>
      <c r="H66" s="47"/>
      <c r="I66" s="47"/>
      <c r="J66" s="47"/>
      <c r="K66" s="143" t="e">
        <f t="shared" si="6"/>
        <v>#DIV/0!</v>
      </c>
      <c r="L66" s="95" t="e">
        <f t="shared" si="7"/>
        <v>#DIV/0!</v>
      </c>
      <c r="M66" s="10" t="e">
        <f t="shared" si="8"/>
        <v>#DIV/0!</v>
      </c>
      <c r="N66" s="96" t="e">
        <f t="shared" si="9"/>
        <v>#DIV/0!</v>
      </c>
      <c r="O66" s="97">
        <f t="shared" si="10"/>
        <v>0</v>
      </c>
      <c r="P66" s="102"/>
      <c r="Q66" s="142"/>
      <c r="R66" s="108">
        <f t="shared" si="4"/>
        <v>-40080</v>
      </c>
      <c r="S66" s="2"/>
      <c r="T66"/>
      <c r="U66"/>
      <c r="V66"/>
      <c r="W66" s="2"/>
      <c r="X66"/>
      <c r="Y66" s="47"/>
      <c r="Z66" s="47"/>
      <c r="AA66" s="47"/>
      <c r="AB66" s="47"/>
      <c r="AC66" s="130" t="e">
        <f t="shared" si="85"/>
        <v>#DIV/0!</v>
      </c>
      <c r="AD66" s="96" t="e">
        <f t="shared" si="86"/>
        <v>#DIV/0!</v>
      </c>
      <c r="AE66" s="96" t="e">
        <f t="shared" si="87"/>
        <v>#DIV/0!</v>
      </c>
      <c r="AF66" s="96" t="e">
        <f t="shared" si="88"/>
        <v>#DIV/0!</v>
      </c>
      <c r="AG66" s="96" t="e">
        <f t="shared" si="89"/>
        <v>#DIV/0!</v>
      </c>
      <c r="AH66" s="96" t="e">
        <f t="shared" si="90"/>
        <v>#DIV/0!</v>
      </c>
      <c r="AI66" s="126" t="e">
        <f t="shared" si="91"/>
        <v>#DIV/0!</v>
      </c>
      <c r="AJ66" s="131">
        <f t="shared" si="18"/>
        <v>4.1000000000000002E-2</v>
      </c>
      <c r="AK66" s="130" t="e">
        <f t="shared" si="92"/>
        <v>#DIV/0!</v>
      </c>
      <c r="AL66" s="96" t="e">
        <f t="shared" si="93"/>
        <v>#DIV/0!</v>
      </c>
      <c r="AM66" s="96" t="e">
        <f t="shared" si="94"/>
        <v>#DIV/0!</v>
      </c>
      <c r="AN66" s="96" t="e">
        <f t="shared" si="95"/>
        <v>#DIV/0!</v>
      </c>
      <c r="AO66" s="4" t="e">
        <f t="shared" si="96"/>
        <v>#DIV/0!</v>
      </c>
      <c r="AP66" s="6" t="e">
        <f t="shared" si="97"/>
        <v>#DIV/0!</v>
      </c>
      <c r="AQ66" s="5">
        <f t="shared" si="5"/>
        <v>0.36599999999999999</v>
      </c>
      <c r="AR66" s="4"/>
      <c r="AS66" s="132" t="e">
        <f t="shared" si="98"/>
        <v>#DIV/0!</v>
      </c>
      <c r="AT66" s="133" t="e">
        <f t="shared" si="99"/>
        <v>#DIV/0!</v>
      </c>
      <c r="AU66" s="133" t="e">
        <f t="shared" si="100"/>
        <v>#DIV/0!</v>
      </c>
      <c r="AV66" s="133" t="e">
        <f t="shared" si="101"/>
        <v>#DIV/0!</v>
      </c>
      <c r="AW66" s="133" t="e">
        <f t="shared" si="102"/>
        <v>#DIV/0!</v>
      </c>
      <c r="AX66" s="5" t="e">
        <f t="shared" si="103"/>
        <v>#DIV/0!</v>
      </c>
      <c r="AY66" s="5" t="e">
        <f t="shared" si="104"/>
        <v>#DIV/0!</v>
      </c>
      <c r="AZ66" s="5">
        <f t="shared" si="32"/>
        <v>0.85199999999999998</v>
      </c>
      <c r="BA66" s="134" t="e">
        <f t="shared" si="105"/>
        <v>#DIV/0!</v>
      </c>
      <c r="BB66" s="133" t="e">
        <f t="shared" si="106"/>
        <v>#DIV/0!</v>
      </c>
      <c r="BC66" s="106" t="e">
        <f t="shared" si="107"/>
        <v>#DIV/0!</v>
      </c>
      <c r="BD66" s="106" t="e">
        <f t="shared" si="108"/>
        <v>#DIV/0!</v>
      </c>
      <c r="BE66" s="133" t="e">
        <f t="shared" si="109"/>
        <v>#DIV/0!</v>
      </c>
      <c r="BF66" s="135" t="e">
        <f t="shared" si="110"/>
        <v>#DIV/0!</v>
      </c>
      <c r="BG66" s="133" t="e">
        <f t="shared" si="111"/>
        <v>#DIV/0!</v>
      </c>
      <c r="BH66" s="135" t="e">
        <f t="shared" si="112"/>
        <v>#DIV/0!</v>
      </c>
      <c r="BI66" s="106">
        <f t="shared" si="41"/>
        <v>0.10390000000000001</v>
      </c>
      <c r="BJ66" s="130" t="e">
        <f t="shared" si="113"/>
        <v>#DIV/0!</v>
      </c>
      <c r="BK66" s="96" t="e">
        <f t="shared" si="114"/>
        <v>#DIV/0!</v>
      </c>
      <c r="BL66" s="96" t="e">
        <f t="shared" si="115"/>
        <v>#DIV/0!</v>
      </c>
      <c r="BM66" s="135" t="e">
        <f t="shared" si="116"/>
        <v>#DIV/0!</v>
      </c>
      <c r="BN66" s="96" t="e">
        <f t="shared" si="117"/>
        <v>#DIV/0!</v>
      </c>
      <c r="BO66" s="5" t="e">
        <f t="shared" si="118"/>
        <v>#DIV/0!</v>
      </c>
      <c r="BP66" s="5" t="e">
        <f t="shared" si="119"/>
        <v>#DIV/0!</v>
      </c>
      <c r="BQ66" s="5">
        <f t="shared" si="49"/>
        <v>3.9E-2</v>
      </c>
      <c r="BR66" s="105"/>
      <c r="CA66" s="135"/>
      <c r="CB66" s="136"/>
    </row>
    <row r="67" spans="1:80" s="106" customFormat="1" ht="12" customHeight="1">
      <c r="A67" s="156"/>
      <c r="B67" s="141"/>
      <c r="C67" s="47"/>
      <c r="D67" s="47"/>
      <c r="E67" s="47"/>
      <c r="F67" s="47"/>
      <c r="G67" s="47"/>
      <c r="H67" s="47"/>
      <c r="I67" s="47"/>
      <c r="J67" s="47"/>
      <c r="K67" s="143" t="e">
        <f t="shared" si="6"/>
        <v>#DIV/0!</v>
      </c>
      <c r="L67" s="95" t="e">
        <f t="shared" si="7"/>
        <v>#DIV/0!</v>
      </c>
      <c r="M67" s="10" t="e">
        <f t="shared" si="8"/>
        <v>#DIV/0!</v>
      </c>
      <c r="N67" s="96" t="e">
        <f t="shared" si="9"/>
        <v>#DIV/0!</v>
      </c>
      <c r="O67" s="97">
        <f t="shared" si="10"/>
        <v>0</v>
      </c>
      <c r="P67" s="102"/>
      <c r="Q67" s="142"/>
      <c r="R67" s="108">
        <f t="shared" si="4"/>
        <v>-40080</v>
      </c>
      <c r="S67" s="2"/>
      <c r="T67"/>
      <c r="U67"/>
      <c r="V67"/>
      <c r="W67" s="2"/>
      <c r="X67"/>
      <c r="Y67" s="47"/>
      <c r="Z67" s="47"/>
      <c r="AA67" s="47"/>
      <c r="AB67" s="47"/>
      <c r="AC67" s="130" t="e">
        <f t="shared" si="85"/>
        <v>#DIV/0!</v>
      </c>
      <c r="AD67" s="96" t="e">
        <f t="shared" si="86"/>
        <v>#DIV/0!</v>
      </c>
      <c r="AE67" s="96" t="e">
        <f t="shared" si="87"/>
        <v>#DIV/0!</v>
      </c>
      <c r="AF67" s="96" t="e">
        <f t="shared" si="88"/>
        <v>#DIV/0!</v>
      </c>
      <c r="AG67" s="96" t="e">
        <f t="shared" si="89"/>
        <v>#DIV/0!</v>
      </c>
      <c r="AH67" s="96" t="e">
        <f t="shared" si="90"/>
        <v>#DIV/0!</v>
      </c>
      <c r="AI67" s="126" t="e">
        <f t="shared" si="91"/>
        <v>#DIV/0!</v>
      </c>
      <c r="AJ67" s="131">
        <f t="shared" si="18"/>
        <v>4.1000000000000002E-2</v>
      </c>
      <c r="AK67" s="130" t="e">
        <f t="shared" si="92"/>
        <v>#DIV/0!</v>
      </c>
      <c r="AL67" s="96" t="e">
        <f t="shared" si="93"/>
        <v>#DIV/0!</v>
      </c>
      <c r="AM67" s="96" t="e">
        <f t="shared" si="94"/>
        <v>#DIV/0!</v>
      </c>
      <c r="AN67" s="96" t="e">
        <f t="shared" si="95"/>
        <v>#DIV/0!</v>
      </c>
      <c r="AO67" s="4" t="e">
        <f t="shared" si="96"/>
        <v>#DIV/0!</v>
      </c>
      <c r="AP67" s="6" t="e">
        <f t="shared" si="97"/>
        <v>#DIV/0!</v>
      </c>
      <c r="AQ67" s="5">
        <f t="shared" si="5"/>
        <v>0.36599999999999999</v>
      </c>
      <c r="AR67" s="4"/>
      <c r="AS67" s="132" t="e">
        <f t="shared" si="98"/>
        <v>#DIV/0!</v>
      </c>
      <c r="AT67" s="133" t="e">
        <f t="shared" si="99"/>
        <v>#DIV/0!</v>
      </c>
      <c r="AU67" s="133" t="e">
        <f t="shared" si="100"/>
        <v>#DIV/0!</v>
      </c>
      <c r="AV67" s="133" t="e">
        <f t="shared" si="101"/>
        <v>#DIV/0!</v>
      </c>
      <c r="AW67" s="133" t="e">
        <f t="shared" si="102"/>
        <v>#DIV/0!</v>
      </c>
      <c r="AX67" s="5" t="e">
        <f t="shared" si="103"/>
        <v>#DIV/0!</v>
      </c>
      <c r="AY67" s="5" t="e">
        <f t="shared" si="104"/>
        <v>#DIV/0!</v>
      </c>
      <c r="AZ67" s="5">
        <f t="shared" si="32"/>
        <v>0.85199999999999998</v>
      </c>
      <c r="BA67" s="134" t="e">
        <f t="shared" si="105"/>
        <v>#DIV/0!</v>
      </c>
      <c r="BB67" s="133" t="e">
        <f t="shared" si="106"/>
        <v>#DIV/0!</v>
      </c>
      <c r="BC67" s="106" t="e">
        <f t="shared" si="107"/>
        <v>#DIV/0!</v>
      </c>
      <c r="BD67" s="106" t="e">
        <f t="shared" si="108"/>
        <v>#DIV/0!</v>
      </c>
      <c r="BE67" s="133" t="e">
        <f t="shared" si="109"/>
        <v>#DIV/0!</v>
      </c>
      <c r="BF67" s="135" t="e">
        <f t="shared" si="110"/>
        <v>#DIV/0!</v>
      </c>
      <c r="BG67" s="133" t="e">
        <f t="shared" si="111"/>
        <v>#DIV/0!</v>
      </c>
      <c r="BH67" s="135" t="e">
        <f t="shared" si="112"/>
        <v>#DIV/0!</v>
      </c>
      <c r="BI67" s="106">
        <f t="shared" si="41"/>
        <v>0.10390000000000001</v>
      </c>
      <c r="BJ67" s="130" t="e">
        <f t="shared" si="113"/>
        <v>#DIV/0!</v>
      </c>
      <c r="BK67" s="96" t="e">
        <f t="shared" si="114"/>
        <v>#DIV/0!</v>
      </c>
      <c r="BL67" s="96" t="e">
        <f t="shared" si="115"/>
        <v>#DIV/0!</v>
      </c>
      <c r="BM67" s="135" t="e">
        <f t="shared" si="116"/>
        <v>#DIV/0!</v>
      </c>
      <c r="BN67" s="96" t="e">
        <f t="shared" si="117"/>
        <v>#DIV/0!</v>
      </c>
      <c r="BO67" s="5" t="e">
        <f t="shared" si="118"/>
        <v>#DIV/0!</v>
      </c>
      <c r="BP67" s="5" t="e">
        <f t="shared" si="119"/>
        <v>#DIV/0!</v>
      </c>
      <c r="BQ67" s="5">
        <f t="shared" si="49"/>
        <v>3.9E-2</v>
      </c>
      <c r="BR67" s="105"/>
      <c r="CA67" s="135"/>
      <c r="CB67" s="136"/>
    </row>
    <row r="68" spans="1:80" s="106" customFormat="1" ht="12" customHeight="1">
      <c r="A68" s="156"/>
      <c r="B68" s="139"/>
      <c r="C68" s="47"/>
      <c r="D68" s="47"/>
      <c r="E68" s="47"/>
      <c r="F68" s="47"/>
      <c r="G68" s="47"/>
      <c r="H68" s="47"/>
      <c r="I68" s="47"/>
      <c r="J68" s="47"/>
      <c r="K68" s="143" t="e">
        <f t="shared" si="6"/>
        <v>#DIV/0!</v>
      </c>
      <c r="L68" s="95" t="e">
        <f t="shared" si="7"/>
        <v>#DIV/0!</v>
      </c>
      <c r="M68" s="10" t="e">
        <f t="shared" si="8"/>
        <v>#DIV/0!</v>
      </c>
      <c r="N68" s="96" t="e">
        <f t="shared" si="9"/>
        <v>#DIV/0!</v>
      </c>
      <c r="O68" s="97">
        <f t="shared" si="10"/>
        <v>0</v>
      </c>
      <c r="P68" s="102"/>
      <c r="Q68" s="142"/>
      <c r="R68" s="108">
        <f t="shared" si="4"/>
        <v>-40080</v>
      </c>
      <c r="S68" s="2"/>
      <c r="T68"/>
      <c r="U68"/>
      <c r="V68"/>
      <c r="W68" s="2"/>
      <c r="X68"/>
      <c r="Y68" s="47"/>
      <c r="Z68" s="47"/>
      <c r="AA68" s="47"/>
      <c r="AB68" s="47"/>
      <c r="AC68" s="130" t="e">
        <f t="shared" si="85"/>
        <v>#DIV/0!</v>
      </c>
      <c r="AD68" s="96" t="e">
        <f t="shared" si="86"/>
        <v>#DIV/0!</v>
      </c>
      <c r="AE68" s="96" t="e">
        <f t="shared" si="87"/>
        <v>#DIV/0!</v>
      </c>
      <c r="AF68" s="96" t="e">
        <f t="shared" si="88"/>
        <v>#DIV/0!</v>
      </c>
      <c r="AG68" s="96" t="e">
        <f t="shared" si="89"/>
        <v>#DIV/0!</v>
      </c>
      <c r="AH68" s="96" t="e">
        <f t="shared" si="90"/>
        <v>#DIV/0!</v>
      </c>
      <c r="AI68" s="126" t="e">
        <f t="shared" si="91"/>
        <v>#DIV/0!</v>
      </c>
      <c r="AJ68" s="131">
        <f t="shared" si="18"/>
        <v>4.1000000000000002E-2</v>
      </c>
      <c r="AK68" s="130" t="e">
        <f t="shared" si="92"/>
        <v>#DIV/0!</v>
      </c>
      <c r="AL68" s="96" t="e">
        <f t="shared" si="93"/>
        <v>#DIV/0!</v>
      </c>
      <c r="AM68" s="96" t="e">
        <f t="shared" si="94"/>
        <v>#DIV/0!</v>
      </c>
      <c r="AN68" s="96" t="e">
        <f t="shared" si="95"/>
        <v>#DIV/0!</v>
      </c>
      <c r="AO68" s="4" t="e">
        <f t="shared" si="96"/>
        <v>#DIV/0!</v>
      </c>
      <c r="AP68" s="6" t="e">
        <f t="shared" si="97"/>
        <v>#DIV/0!</v>
      </c>
      <c r="AQ68" s="5">
        <f t="shared" si="5"/>
        <v>0.36599999999999999</v>
      </c>
      <c r="AR68" s="4"/>
      <c r="AS68" s="132" t="e">
        <f t="shared" si="98"/>
        <v>#DIV/0!</v>
      </c>
      <c r="AT68" s="133" t="e">
        <f t="shared" si="99"/>
        <v>#DIV/0!</v>
      </c>
      <c r="AU68" s="133" t="e">
        <f t="shared" si="100"/>
        <v>#DIV/0!</v>
      </c>
      <c r="AV68" s="133" t="e">
        <f t="shared" si="101"/>
        <v>#DIV/0!</v>
      </c>
      <c r="AW68" s="133" t="e">
        <f t="shared" si="102"/>
        <v>#DIV/0!</v>
      </c>
      <c r="AX68" s="5" t="e">
        <f t="shared" si="103"/>
        <v>#DIV/0!</v>
      </c>
      <c r="AY68" s="5" t="e">
        <f t="shared" si="104"/>
        <v>#DIV/0!</v>
      </c>
      <c r="AZ68" s="5">
        <f t="shared" si="32"/>
        <v>0.85199999999999998</v>
      </c>
      <c r="BA68" s="134" t="e">
        <f t="shared" si="105"/>
        <v>#DIV/0!</v>
      </c>
      <c r="BB68" s="133" t="e">
        <f t="shared" si="106"/>
        <v>#DIV/0!</v>
      </c>
      <c r="BC68" s="106" t="e">
        <f t="shared" si="107"/>
        <v>#DIV/0!</v>
      </c>
      <c r="BD68" s="106" t="e">
        <f t="shared" si="108"/>
        <v>#DIV/0!</v>
      </c>
      <c r="BE68" s="133" t="e">
        <f t="shared" si="109"/>
        <v>#DIV/0!</v>
      </c>
      <c r="BF68" s="135" t="e">
        <f t="shared" si="110"/>
        <v>#DIV/0!</v>
      </c>
      <c r="BG68" s="133" t="e">
        <f t="shared" si="111"/>
        <v>#DIV/0!</v>
      </c>
      <c r="BH68" s="135" t="e">
        <f t="shared" si="112"/>
        <v>#DIV/0!</v>
      </c>
      <c r="BI68" s="106">
        <f t="shared" si="41"/>
        <v>0.10390000000000001</v>
      </c>
      <c r="BJ68" s="130" t="e">
        <f t="shared" si="113"/>
        <v>#DIV/0!</v>
      </c>
      <c r="BK68" s="96" t="e">
        <f t="shared" si="114"/>
        <v>#DIV/0!</v>
      </c>
      <c r="BL68" s="96" t="e">
        <f t="shared" si="115"/>
        <v>#DIV/0!</v>
      </c>
      <c r="BM68" s="135" t="e">
        <f t="shared" si="116"/>
        <v>#DIV/0!</v>
      </c>
      <c r="BN68" s="96" t="e">
        <f t="shared" si="117"/>
        <v>#DIV/0!</v>
      </c>
      <c r="BO68" s="5" t="e">
        <f t="shared" si="118"/>
        <v>#DIV/0!</v>
      </c>
      <c r="BP68" s="5" t="e">
        <f t="shared" si="119"/>
        <v>#DIV/0!</v>
      </c>
      <c r="BQ68" s="5">
        <f t="shared" si="49"/>
        <v>3.9E-2</v>
      </c>
      <c r="BR68" s="105"/>
      <c r="CA68" s="135"/>
      <c r="CB68" s="136"/>
    </row>
    <row r="69" spans="1:80" s="106" customFormat="1">
      <c r="A69" s="144"/>
      <c r="B69" s="139"/>
      <c r="C69" s="47"/>
      <c r="D69" s="47"/>
      <c r="E69" s="47"/>
      <c r="F69" s="47"/>
      <c r="G69" s="47"/>
      <c r="H69" s="47"/>
      <c r="I69" s="47"/>
      <c r="J69" s="47"/>
      <c r="K69" s="143" t="e">
        <f t="shared" si="6"/>
        <v>#DIV/0!</v>
      </c>
      <c r="L69" s="95" t="e">
        <f t="shared" si="7"/>
        <v>#DIV/0!</v>
      </c>
      <c r="M69" s="10" t="e">
        <f t="shared" si="8"/>
        <v>#DIV/0!</v>
      </c>
      <c r="N69" s="96" t="e">
        <f t="shared" si="9"/>
        <v>#DIV/0!</v>
      </c>
      <c r="O69" s="97">
        <f t="shared" si="10"/>
        <v>0</v>
      </c>
      <c r="P69" s="102"/>
      <c r="Q69" s="142"/>
      <c r="R69" s="108">
        <f t="shared" si="4"/>
        <v>-40080</v>
      </c>
      <c r="S69" s="2"/>
      <c r="T69"/>
      <c r="U69"/>
      <c r="V69"/>
      <c r="W69" s="2"/>
      <c r="X69"/>
      <c r="Y69" s="47"/>
      <c r="Z69" s="47"/>
      <c r="AA69" s="47"/>
      <c r="AB69" s="47"/>
      <c r="AC69" s="130" t="e">
        <f t="shared" si="85"/>
        <v>#DIV/0!</v>
      </c>
      <c r="AD69" s="96" t="e">
        <f t="shared" si="86"/>
        <v>#DIV/0!</v>
      </c>
      <c r="AE69" s="96" t="e">
        <f t="shared" si="87"/>
        <v>#DIV/0!</v>
      </c>
      <c r="AF69" s="96" t="e">
        <f t="shared" si="88"/>
        <v>#DIV/0!</v>
      </c>
      <c r="AG69" s="96" t="e">
        <f t="shared" si="89"/>
        <v>#DIV/0!</v>
      </c>
      <c r="AH69" s="96" t="e">
        <f t="shared" si="90"/>
        <v>#DIV/0!</v>
      </c>
      <c r="AI69" s="126" t="e">
        <f t="shared" si="91"/>
        <v>#DIV/0!</v>
      </c>
      <c r="AJ69" s="131">
        <f t="shared" si="18"/>
        <v>4.1000000000000002E-2</v>
      </c>
      <c r="AK69" s="130" t="e">
        <f t="shared" si="92"/>
        <v>#DIV/0!</v>
      </c>
      <c r="AL69" s="96" t="e">
        <f t="shared" si="93"/>
        <v>#DIV/0!</v>
      </c>
      <c r="AM69" s="96" t="e">
        <f t="shared" si="94"/>
        <v>#DIV/0!</v>
      </c>
      <c r="AN69" s="96" t="e">
        <f t="shared" si="95"/>
        <v>#DIV/0!</v>
      </c>
      <c r="AO69" s="4" t="e">
        <f t="shared" si="96"/>
        <v>#DIV/0!</v>
      </c>
      <c r="AP69" s="6" t="e">
        <f t="shared" si="97"/>
        <v>#DIV/0!</v>
      </c>
      <c r="AQ69" s="5">
        <f t="shared" si="5"/>
        <v>0.36599999999999999</v>
      </c>
      <c r="AR69" s="4"/>
      <c r="AS69" s="132" t="e">
        <f t="shared" si="98"/>
        <v>#DIV/0!</v>
      </c>
      <c r="AT69" s="133" t="e">
        <f t="shared" si="99"/>
        <v>#DIV/0!</v>
      </c>
      <c r="AU69" s="133" t="e">
        <f t="shared" si="100"/>
        <v>#DIV/0!</v>
      </c>
      <c r="AV69" s="133" t="e">
        <f t="shared" si="101"/>
        <v>#DIV/0!</v>
      </c>
      <c r="AW69" s="133" t="e">
        <f t="shared" si="102"/>
        <v>#DIV/0!</v>
      </c>
      <c r="AX69" s="5" t="e">
        <f t="shared" si="103"/>
        <v>#DIV/0!</v>
      </c>
      <c r="AY69" s="5" t="e">
        <f t="shared" si="104"/>
        <v>#DIV/0!</v>
      </c>
      <c r="AZ69" s="5">
        <f t="shared" si="32"/>
        <v>0.85199999999999998</v>
      </c>
      <c r="BA69" s="134" t="e">
        <f t="shared" si="105"/>
        <v>#DIV/0!</v>
      </c>
      <c r="BB69" s="133" t="e">
        <f t="shared" si="106"/>
        <v>#DIV/0!</v>
      </c>
      <c r="BC69" s="106" t="e">
        <f t="shared" si="107"/>
        <v>#DIV/0!</v>
      </c>
      <c r="BD69" s="106" t="e">
        <f t="shared" si="108"/>
        <v>#DIV/0!</v>
      </c>
      <c r="BE69" s="133" t="e">
        <f t="shared" si="109"/>
        <v>#DIV/0!</v>
      </c>
      <c r="BF69" s="135" t="e">
        <f t="shared" si="110"/>
        <v>#DIV/0!</v>
      </c>
      <c r="BG69" s="133" t="e">
        <f t="shared" si="111"/>
        <v>#DIV/0!</v>
      </c>
      <c r="BH69" s="135" t="e">
        <f t="shared" si="112"/>
        <v>#DIV/0!</v>
      </c>
      <c r="BI69" s="106">
        <f t="shared" si="41"/>
        <v>0.10390000000000001</v>
      </c>
      <c r="BJ69" s="130" t="e">
        <f t="shared" si="113"/>
        <v>#DIV/0!</v>
      </c>
      <c r="BK69" s="96" t="e">
        <f t="shared" si="114"/>
        <v>#DIV/0!</v>
      </c>
      <c r="BL69" s="96" t="e">
        <f t="shared" si="115"/>
        <v>#DIV/0!</v>
      </c>
      <c r="BM69" s="135" t="e">
        <f t="shared" si="116"/>
        <v>#DIV/0!</v>
      </c>
      <c r="BN69" s="96" t="e">
        <f t="shared" si="117"/>
        <v>#DIV/0!</v>
      </c>
      <c r="BO69" s="5" t="e">
        <f t="shared" si="118"/>
        <v>#DIV/0!</v>
      </c>
      <c r="BP69" s="5" t="e">
        <f t="shared" si="119"/>
        <v>#DIV/0!</v>
      </c>
      <c r="BQ69" s="5">
        <f t="shared" si="49"/>
        <v>3.9E-2</v>
      </c>
      <c r="BR69" s="105"/>
      <c r="CA69" s="135" t="e">
        <f>(AE69-AM69)*(EXP($AC$5*R69))</f>
        <v>#DIV/0!</v>
      </c>
      <c r="CB69" s="136">
        <f t="shared" ref="CB69:CB89" si="120">EXP(R69*$AC$5)</f>
        <v>3.293726584796787E-2</v>
      </c>
    </row>
    <row r="70" spans="1:80" s="106" customFormat="1">
      <c r="A70" s="144"/>
      <c r="B70" s="139"/>
      <c r="C70" s="47"/>
      <c r="D70" s="47"/>
      <c r="E70" s="47"/>
      <c r="F70" s="47"/>
      <c r="G70" s="47"/>
      <c r="H70" s="47"/>
      <c r="I70" s="47"/>
      <c r="J70" s="47"/>
      <c r="K70" s="143" t="e">
        <f t="shared" si="6"/>
        <v>#DIV/0!</v>
      </c>
      <c r="L70" s="95" t="e">
        <f t="shared" si="7"/>
        <v>#DIV/0!</v>
      </c>
      <c r="M70" s="10" t="e">
        <f t="shared" si="8"/>
        <v>#DIV/0!</v>
      </c>
      <c r="N70" s="96" t="e">
        <f t="shared" si="9"/>
        <v>#DIV/0!</v>
      </c>
      <c r="O70" s="97">
        <f t="shared" si="10"/>
        <v>0</v>
      </c>
      <c r="P70" s="102"/>
      <c r="Q70" s="142"/>
      <c r="R70" s="108">
        <f t="shared" si="4"/>
        <v>-40080</v>
      </c>
      <c r="S70" s="2"/>
      <c r="T70"/>
      <c r="U70"/>
      <c r="V70"/>
      <c r="W70" s="2"/>
      <c r="X70"/>
      <c r="Y70" s="47"/>
      <c r="Z70" s="47"/>
      <c r="AA70" s="47"/>
      <c r="AB70" s="47"/>
      <c r="AC70" s="130" t="e">
        <f t="shared" si="85"/>
        <v>#DIV/0!</v>
      </c>
      <c r="AD70" s="96" t="e">
        <f t="shared" si="86"/>
        <v>#DIV/0!</v>
      </c>
      <c r="AE70" s="96" t="e">
        <f t="shared" si="87"/>
        <v>#DIV/0!</v>
      </c>
      <c r="AF70" s="96" t="e">
        <f t="shared" si="88"/>
        <v>#DIV/0!</v>
      </c>
      <c r="AG70" s="96" t="e">
        <f t="shared" si="89"/>
        <v>#DIV/0!</v>
      </c>
      <c r="AH70" s="96" t="e">
        <f t="shared" si="90"/>
        <v>#DIV/0!</v>
      </c>
      <c r="AI70" s="126" t="e">
        <f t="shared" si="91"/>
        <v>#DIV/0!</v>
      </c>
      <c r="AJ70" s="131">
        <f t="shared" si="18"/>
        <v>4.1000000000000002E-2</v>
      </c>
      <c r="AK70" s="130" t="e">
        <f t="shared" si="92"/>
        <v>#DIV/0!</v>
      </c>
      <c r="AL70" s="96" t="e">
        <f t="shared" si="93"/>
        <v>#DIV/0!</v>
      </c>
      <c r="AM70" s="96" t="e">
        <f t="shared" si="94"/>
        <v>#DIV/0!</v>
      </c>
      <c r="AN70" s="96" t="e">
        <f t="shared" si="95"/>
        <v>#DIV/0!</v>
      </c>
      <c r="AO70" s="4" t="e">
        <f t="shared" si="96"/>
        <v>#DIV/0!</v>
      </c>
      <c r="AP70" s="6" t="e">
        <f t="shared" si="97"/>
        <v>#DIV/0!</v>
      </c>
      <c r="AQ70" s="5">
        <f t="shared" si="5"/>
        <v>0.36599999999999999</v>
      </c>
      <c r="AR70" s="4"/>
      <c r="AS70" s="132" t="e">
        <f t="shared" si="98"/>
        <v>#DIV/0!</v>
      </c>
      <c r="AT70" s="133" t="e">
        <f t="shared" si="99"/>
        <v>#DIV/0!</v>
      </c>
      <c r="AU70" s="133" t="e">
        <f t="shared" si="100"/>
        <v>#DIV/0!</v>
      </c>
      <c r="AV70" s="133" t="e">
        <f t="shared" si="101"/>
        <v>#DIV/0!</v>
      </c>
      <c r="AW70" s="133" t="e">
        <f t="shared" si="102"/>
        <v>#DIV/0!</v>
      </c>
      <c r="AX70" s="5" t="e">
        <f t="shared" si="103"/>
        <v>#DIV/0!</v>
      </c>
      <c r="AY70" s="5" t="e">
        <f t="shared" si="104"/>
        <v>#DIV/0!</v>
      </c>
      <c r="AZ70" s="5">
        <f t="shared" si="32"/>
        <v>0.85199999999999998</v>
      </c>
      <c r="BA70" s="134" t="e">
        <f t="shared" si="105"/>
        <v>#DIV/0!</v>
      </c>
      <c r="BB70" s="133" t="e">
        <f t="shared" si="106"/>
        <v>#DIV/0!</v>
      </c>
      <c r="BC70" s="106" t="e">
        <f t="shared" si="107"/>
        <v>#DIV/0!</v>
      </c>
      <c r="BD70" s="106" t="e">
        <f t="shared" si="108"/>
        <v>#DIV/0!</v>
      </c>
      <c r="BE70" s="133" t="e">
        <f t="shared" si="109"/>
        <v>#DIV/0!</v>
      </c>
      <c r="BF70" s="135" t="e">
        <f t="shared" si="110"/>
        <v>#DIV/0!</v>
      </c>
      <c r="BG70" s="133" t="e">
        <f t="shared" si="111"/>
        <v>#DIV/0!</v>
      </c>
      <c r="BH70" s="135" t="e">
        <f t="shared" si="112"/>
        <v>#DIV/0!</v>
      </c>
      <c r="BI70" s="106">
        <f t="shared" si="41"/>
        <v>0.10390000000000001</v>
      </c>
      <c r="BJ70" s="130" t="e">
        <f t="shared" si="113"/>
        <v>#DIV/0!</v>
      </c>
      <c r="BK70" s="96" t="e">
        <f t="shared" si="114"/>
        <v>#DIV/0!</v>
      </c>
      <c r="BL70" s="96" t="e">
        <f t="shared" si="115"/>
        <v>#DIV/0!</v>
      </c>
      <c r="BM70" s="135" t="e">
        <f t="shared" si="116"/>
        <v>#DIV/0!</v>
      </c>
      <c r="BN70" s="96" t="e">
        <f t="shared" si="117"/>
        <v>#DIV/0!</v>
      </c>
      <c r="BO70" s="5" t="e">
        <f t="shared" si="118"/>
        <v>#DIV/0!</v>
      </c>
      <c r="BP70" s="5" t="e">
        <f t="shared" si="119"/>
        <v>#DIV/0!</v>
      </c>
      <c r="BQ70" s="5">
        <f t="shared" si="49"/>
        <v>3.9E-2</v>
      </c>
      <c r="BR70" s="105"/>
      <c r="CA70" s="135" t="e">
        <f>(AE70-AM70)*(EXP($AC$5*R70))</f>
        <v>#DIV/0!</v>
      </c>
      <c r="CB70" s="136">
        <f t="shared" si="120"/>
        <v>3.293726584796787E-2</v>
      </c>
    </row>
    <row r="71" spans="1:80">
      <c r="A71" s="144"/>
      <c r="B71" s="139"/>
      <c r="K71" s="143" t="e">
        <f t="shared" si="6"/>
        <v>#DIV/0!</v>
      </c>
      <c r="L71" s="95" t="e">
        <f t="shared" si="7"/>
        <v>#DIV/0!</v>
      </c>
      <c r="M71" s="10" t="e">
        <f t="shared" si="8"/>
        <v>#DIV/0!</v>
      </c>
      <c r="N71" s="96" t="e">
        <f t="shared" si="9"/>
        <v>#DIV/0!</v>
      </c>
      <c r="O71" s="97">
        <f t="shared" si="10"/>
        <v>0</v>
      </c>
      <c r="Q71" s="142"/>
      <c r="R71" s="108">
        <f t="shared" si="4"/>
        <v>-40080</v>
      </c>
      <c r="S71" s="2"/>
      <c r="T71"/>
      <c r="U71"/>
      <c r="V71"/>
      <c r="W71" s="2"/>
      <c r="X71"/>
      <c r="AC71" s="130" t="e">
        <f t="shared" si="85"/>
        <v>#DIV/0!</v>
      </c>
      <c r="AD71" s="96" t="e">
        <f t="shared" si="86"/>
        <v>#DIV/0!</v>
      </c>
      <c r="AE71" s="96" t="e">
        <f t="shared" si="87"/>
        <v>#DIV/0!</v>
      </c>
      <c r="AF71" s="96" t="e">
        <f t="shared" si="88"/>
        <v>#DIV/0!</v>
      </c>
      <c r="AG71" s="96" t="e">
        <f t="shared" si="89"/>
        <v>#DIV/0!</v>
      </c>
      <c r="AH71" s="96" t="e">
        <f t="shared" si="90"/>
        <v>#DIV/0!</v>
      </c>
      <c r="AI71" s="126" t="e">
        <f t="shared" si="91"/>
        <v>#DIV/0!</v>
      </c>
      <c r="AJ71" s="131">
        <f t="shared" si="18"/>
        <v>4.1000000000000002E-2</v>
      </c>
      <c r="AK71" s="130" t="e">
        <f t="shared" si="92"/>
        <v>#DIV/0!</v>
      </c>
      <c r="AL71" s="96" t="e">
        <f t="shared" si="93"/>
        <v>#DIV/0!</v>
      </c>
      <c r="AM71" s="96" t="e">
        <f t="shared" si="94"/>
        <v>#DIV/0!</v>
      </c>
      <c r="AN71" s="96" t="e">
        <f t="shared" si="95"/>
        <v>#DIV/0!</v>
      </c>
      <c r="AO71" s="4" t="e">
        <f t="shared" si="96"/>
        <v>#DIV/0!</v>
      </c>
      <c r="AP71" s="6" t="e">
        <f t="shared" si="97"/>
        <v>#DIV/0!</v>
      </c>
      <c r="AQ71" s="5">
        <f t="shared" si="5"/>
        <v>0.36599999999999999</v>
      </c>
      <c r="AR71" s="4"/>
      <c r="AS71" s="132" t="e">
        <f t="shared" si="98"/>
        <v>#DIV/0!</v>
      </c>
      <c r="AT71" s="133" t="e">
        <f t="shared" si="99"/>
        <v>#DIV/0!</v>
      </c>
      <c r="AU71" s="133" t="e">
        <f t="shared" si="100"/>
        <v>#DIV/0!</v>
      </c>
      <c r="AV71" s="133" t="e">
        <f t="shared" si="101"/>
        <v>#DIV/0!</v>
      </c>
      <c r="AW71" s="133" t="e">
        <f t="shared" si="102"/>
        <v>#DIV/0!</v>
      </c>
      <c r="AX71" s="5" t="e">
        <f t="shared" si="103"/>
        <v>#DIV/0!</v>
      </c>
      <c r="AY71" s="5" t="e">
        <f t="shared" si="104"/>
        <v>#DIV/0!</v>
      </c>
      <c r="AZ71" s="5">
        <f t="shared" si="32"/>
        <v>0.85199999999999998</v>
      </c>
      <c r="BA71" s="134" t="e">
        <f t="shared" si="105"/>
        <v>#DIV/0!</v>
      </c>
      <c r="BB71" s="133" t="e">
        <f t="shared" si="106"/>
        <v>#DIV/0!</v>
      </c>
      <c r="BC71" s="106" t="e">
        <f t="shared" si="107"/>
        <v>#DIV/0!</v>
      </c>
      <c r="BD71" s="106" t="e">
        <f t="shared" si="108"/>
        <v>#DIV/0!</v>
      </c>
      <c r="BE71" s="133" t="e">
        <f t="shared" si="109"/>
        <v>#DIV/0!</v>
      </c>
      <c r="BF71" s="135" t="e">
        <f t="shared" si="110"/>
        <v>#DIV/0!</v>
      </c>
      <c r="BG71" s="133" t="e">
        <f t="shared" si="111"/>
        <v>#DIV/0!</v>
      </c>
      <c r="BH71" s="135" t="e">
        <f t="shared" si="112"/>
        <v>#DIV/0!</v>
      </c>
      <c r="BI71" s="106">
        <f t="shared" si="41"/>
        <v>0.10390000000000001</v>
      </c>
      <c r="BJ71" s="130" t="e">
        <f t="shared" si="113"/>
        <v>#DIV/0!</v>
      </c>
      <c r="BK71" s="96" t="e">
        <f t="shared" si="114"/>
        <v>#DIV/0!</v>
      </c>
      <c r="BL71" s="96" t="e">
        <f t="shared" si="115"/>
        <v>#DIV/0!</v>
      </c>
      <c r="BM71" s="135" t="e">
        <f t="shared" si="116"/>
        <v>#DIV/0!</v>
      </c>
      <c r="BN71" s="96" t="e">
        <f t="shared" si="117"/>
        <v>#DIV/0!</v>
      </c>
      <c r="BO71" s="5" t="e">
        <f t="shared" si="118"/>
        <v>#DIV/0!</v>
      </c>
      <c r="BP71" s="5" t="e">
        <f t="shared" si="119"/>
        <v>#DIV/0!</v>
      </c>
      <c r="BQ71" s="5">
        <f t="shared" si="49"/>
        <v>3.9E-2</v>
      </c>
      <c r="CB71" s="47">
        <f t="shared" si="120"/>
        <v>3.293726584796787E-2</v>
      </c>
    </row>
    <row r="72" spans="1:80">
      <c r="A72" s="144"/>
      <c r="B72" s="139"/>
      <c r="K72" s="143" t="e">
        <f t="shared" si="6"/>
        <v>#DIV/0!</v>
      </c>
      <c r="L72" s="95" t="e">
        <f t="shared" si="7"/>
        <v>#DIV/0!</v>
      </c>
      <c r="M72" s="10" t="e">
        <f t="shared" si="8"/>
        <v>#DIV/0!</v>
      </c>
      <c r="N72" s="96" t="e">
        <f t="shared" si="9"/>
        <v>#DIV/0!</v>
      </c>
      <c r="O72" s="97">
        <f t="shared" si="10"/>
        <v>0</v>
      </c>
      <c r="Q72" s="142"/>
      <c r="R72" s="108">
        <f t="shared" si="4"/>
        <v>-40080</v>
      </c>
      <c r="S72" s="2"/>
      <c r="T72"/>
      <c r="U72"/>
      <c r="V72"/>
      <c r="W72" s="2"/>
      <c r="X72"/>
      <c r="AC72" s="130" t="e">
        <f t="shared" si="85"/>
        <v>#DIV/0!</v>
      </c>
      <c r="AD72" s="96" t="e">
        <f t="shared" si="86"/>
        <v>#DIV/0!</v>
      </c>
      <c r="AE72" s="96" t="e">
        <f t="shared" si="87"/>
        <v>#DIV/0!</v>
      </c>
      <c r="AF72" s="96" t="e">
        <f t="shared" si="88"/>
        <v>#DIV/0!</v>
      </c>
      <c r="AG72" s="96" t="e">
        <f t="shared" si="89"/>
        <v>#DIV/0!</v>
      </c>
      <c r="AH72" s="96" t="e">
        <f t="shared" si="90"/>
        <v>#DIV/0!</v>
      </c>
      <c r="AI72" s="126" t="e">
        <f t="shared" si="91"/>
        <v>#DIV/0!</v>
      </c>
      <c r="AJ72" s="131">
        <f t="shared" si="18"/>
        <v>4.1000000000000002E-2</v>
      </c>
      <c r="AK72" s="130" t="e">
        <f t="shared" si="92"/>
        <v>#DIV/0!</v>
      </c>
      <c r="AL72" s="96" t="e">
        <f t="shared" si="93"/>
        <v>#DIV/0!</v>
      </c>
      <c r="AM72" s="96" t="e">
        <f t="shared" si="94"/>
        <v>#DIV/0!</v>
      </c>
      <c r="AN72" s="96" t="e">
        <f t="shared" si="95"/>
        <v>#DIV/0!</v>
      </c>
      <c r="AO72" s="4" t="e">
        <f t="shared" si="96"/>
        <v>#DIV/0!</v>
      </c>
      <c r="AP72" s="6" t="e">
        <f t="shared" si="97"/>
        <v>#DIV/0!</v>
      </c>
      <c r="AQ72" s="5">
        <f t="shared" si="5"/>
        <v>0.36599999999999999</v>
      </c>
      <c r="AR72" s="4"/>
      <c r="AS72" s="132" t="e">
        <f t="shared" si="98"/>
        <v>#DIV/0!</v>
      </c>
      <c r="AT72" s="133" t="e">
        <f t="shared" si="99"/>
        <v>#DIV/0!</v>
      </c>
      <c r="AU72" s="133" t="e">
        <f t="shared" si="100"/>
        <v>#DIV/0!</v>
      </c>
      <c r="AV72" s="133" t="e">
        <f t="shared" si="101"/>
        <v>#DIV/0!</v>
      </c>
      <c r="AW72" s="133" t="e">
        <f t="shared" si="102"/>
        <v>#DIV/0!</v>
      </c>
      <c r="AX72" s="5" t="e">
        <f t="shared" si="103"/>
        <v>#DIV/0!</v>
      </c>
      <c r="AY72" s="5" t="e">
        <f t="shared" si="104"/>
        <v>#DIV/0!</v>
      </c>
      <c r="AZ72" s="5">
        <f t="shared" si="32"/>
        <v>0.85199999999999998</v>
      </c>
      <c r="BA72" s="134" t="e">
        <f t="shared" si="105"/>
        <v>#DIV/0!</v>
      </c>
      <c r="BB72" s="133" t="e">
        <f t="shared" si="106"/>
        <v>#DIV/0!</v>
      </c>
      <c r="BC72" s="106" t="e">
        <f t="shared" si="107"/>
        <v>#DIV/0!</v>
      </c>
      <c r="BD72" s="106" t="e">
        <f t="shared" si="108"/>
        <v>#DIV/0!</v>
      </c>
      <c r="BE72" s="133" t="e">
        <f t="shared" si="109"/>
        <v>#DIV/0!</v>
      </c>
      <c r="BF72" s="135" t="e">
        <f t="shared" si="110"/>
        <v>#DIV/0!</v>
      </c>
      <c r="BG72" s="133" t="e">
        <f t="shared" si="111"/>
        <v>#DIV/0!</v>
      </c>
      <c r="BH72" s="135" t="e">
        <f t="shared" si="112"/>
        <v>#DIV/0!</v>
      </c>
      <c r="BI72" s="106">
        <f t="shared" si="41"/>
        <v>0.10390000000000001</v>
      </c>
      <c r="BJ72" s="130" t="e">
        <f t="shared" si="113"/>
        <v>#DIV/0!</v>
      </c>
      <c r="BK72" s="96" t="e">
        <f t="shared" si="114"/>
        <v>#DIV/0!</v>
      </c>
      <c r="BL72" s="96" t="e">
        <f t="shared" si="115"/>
        <v>#DIV/0!</v>
      </c>
      <c r="BM72" s="135" t="e">
        <f t="shared" si="116"/>
        <v>#DIV/0!</v>
      </c>
      <c r="BN72" s="96" t="e">
        <f t="shared" si="117"/>
        <v>#DIV/0!</v>
      </c>
      <c r="BO72" s="5" t="e">
        <f t="shared" si="118"/>
        <v>#DIV/0!</v>
      </c>
      <c r="BP72" s="5" t="e">
        <f t="shared" si="119"/>
        <v>#DIV/0!</v>
      </c>
      <c r="BQ72" s="5">
        <f t="shared" si="49"/>
        <v>3.9E-2</v>
      </c>
      <c r="CB72" s="47">
        <f t="shared" si="120"/>
        <v>3.293726584796787E-2</v>
      </c>
    </row>
    <row r="73" spans="1:80">
      <c r="A73" s="144"/>
      <c r="B73" s="139"/>
      <c r="K73" s="143" t="e">
        <f t="shared" si="6"/>
        <v>#DIV/0!</v>
      </c>
      <c r="L73" s="95" t="e">
        <f t="shared" si="7"/>
        <v>#DIV/0!</v>
      </c>
      <c r="M73" s="10" t="e">
        <f t="shared" si="8"/>
        <v>#DIV/0!</v>
      </c>
      <c r="N73" s="96" t="e">
        <f t="shared" si="9"/>
        <v>#DIV/0!</v>
      </c>
      <c r="O73" s="97">
        <f t="shared" si="10"/>
        <v>0</v>
      </c>
      <c r="Q73" s="142"/>
      <c r="R73" s="108">
        <f t="shared" ref="R73:R122" si="121">P73-$B$2</f>
        <v>-40080</v>
      </c>
      <c r="S73" s="2"/>
      <c r="T73"/>
      <c r="U73"/>
      <c r="V73"/>
      <c r="W73" s="2"/>
      <c r="X73"/>
      <c r="AC73" s="130" t="e">
        <f t="shared" si="85"/>
        <v>#DIV/0!</v>
      </c>
      <c r="AD73" s="96" t="e">
        <f t="shared" si="86"/>
        <v>#DIV/0!</v>
      </c>
      <c r="AE73" s="96" t="e">
        <f t="shared" si="87"/>
        <v>#DIV/0!</v>
      </c>
      <c r="AF73" s="96" t="e">
        <f t="shared" si="88"/>
        <v>#DIV/0!</v>
      </c>
      <c r="AG73" s="96" t="e">
        <f t="shared" si="89"/>
        <v>#DIV/0!</v>
      </c>
      <c r="AH73" s="96" t="e">
        <f t="shared" si="90"/>
        <v>#DIV/0!</v>
      </c>
      <c r="AI73" s="126" t="e">
        <f t="shared" si="91"/>
        <v>#DIV/0!</v>
      </c>
      <c r="AJ73" s="131">
        <f t="shared" si="18"/>
        <v>4.1000000000000002E-2</v>
      </c>
      <c r="AK73" s="130" t="e">
        <f t="shared" si="92"/>
        <v>#DIV/0!</v>
      </c>
      <c r="AL73" s="96" t="e">
        <f t="shared" si="93"/>
        <v>#DIV/0!</v>
      </c>
      <c r="AM73" s="96" t="e">
        <f t="shared" si="94"/>
        <v>#DIV/0!</v>
      </c>
      <c r="AN73" s="96" t="e">
        <f t="shared" si="95"/>
        <v>#DIV/0!</v>
      </c>
      <c r="AO73" s="4" t="e">
        <f t="shared" si="96"/>
        <v>#DIV/0!</v>
      </c>
      <c r="AP73" s="6" t="e">
        <f t="shared" si="97"/>
        <v>#DIV/0!</v>
      </c>
      <c r="AQ73" s="5">
        <f t="shared" ref="AQ73:AQ80" si="122">$AL$5</f>
        <v>0.36599999999999999</v>
      </c>
      <c r="AR73" s="4"/>
      <c r="AS73" s="132" t="e">
        <f t="shared" si="98"/>
        <v>#DIV/0!</v>
      </c>
      <c r="AT73" s="133" t="e">
        <f t="shared" si="99"/>
        <v>#DIV/0!</v>
      </c>
      <c r="AU73" s="133" t="e">
        <f t="shared" si="100"/>
        <v>#DIV/0!</v>
      </c>
      <c r="AV73" s="133" t="e">
        <f t="shared" si="101"/>
        <v>#DIV/0!</v>
      </c>
      <c r="AW73" s="133" t="e">
        <f t="shared" si="102"/>
        <v>#DIV/0!</v>
      </c>
      <c r="AX73" s="5" t="e">
        <f t="shared" si="103"/>
        <v>#DIV/0!</v>
      </c>
      <c r="AY73" s="5" t="e">
        <f t="shared" si="104"/>
        <v>#DIV/0!</v>
      </c>
      <c r="AZ73" s="5">
        <f t="shared" si="32"/>
        <v>0.85199999999999998</v>
      </c>
      <c r="BA73" s="134" t="e">
        <f t="shared" si="105"/>
        <v>#DIV/0!</v>
      </c>
      <c r="BB73" s="133" t="e">
        <f t="shared" si="106"/>
        <v>#DIV/0!</v>
      </c>
      <c r="BC73" s="106" t="e">
        <f t="shared" si="107"/>
        <v>#DIV/0!</v>
      </c>
      <c r="BD73" s="106" t="e">
        <f t="shared" si="108"/>
        <v>#DIV/0!</v>
      </c>
      <c r="BE73" s="133" t="e">
        <f t="shared" si="109"/>
        <v>#DIV/0!</v>
      </c>
      <c r="BF73" s="135" t="e">
        <f t="shared" si="110"/>
        <v>#DIV/0!</v>
      </c>
      <c r="BG73" s="133" t="e">
        <f t="shared" si="111"/>
        <v>#DIV/0!</v>
      </c>
      <c r="BH73" s="135" t="e">
        <f t="shared" si="112"/>
        <v>#DIV/0!</v>
      </c>
      <c r="BI73" s="106">
        <f t="shared" si="41"/>
        <v>0.10390000000000001</v>
      </c>
      <c r="BJ73" s="130" t="e">
        <f t="shared" si="113"/>
        <v>#DIV/0!</v>
      </c>
      <c r="BK73" s="96" t="e">
        <f t="shared" si="114"/>
        <v>#DIV/0!</v>
      </c>
      <c r="BL73" s="96" t="e">
        <f t="shared" si="115"/>
        <v>#DIV/0!</v>
      </c>
      <c r="BM73" s="135" t="e">
        <f t="shared" si="116"/>
        <v>#DIV/0!</v>
      </c>
      <c r="BN73" s="96" t="e">
        <f t="shared" si="117"/>
        <v>#DIV/0!</v>
      </c>
      <c r="BO73" s="5" t="e">
        <f t="shared" si="118"/>
        <v>#DIV/0!</v>
      </c>
      <c r="BP73" s="5" t="e">
        <f t="shared" si="119"/>
        <v>#DIV/0!</v>
      </c>
      <c r="BQ73" s="5">
        <f t="shared" si="49"/>
        <v>3.9E-2</v>
      </c>
      <c r="CB73" s="47">
        <f t="shared" si="120"/>
        <v>3.293726584796787E-2</v>
      </c>
    </row>
    <row r="74" spans="1:80">
      <c r="A74" s="144"/>
      <c r="B74" s="139"/>
      <c r="K74" s="143" t="e">
        <f t="shared" ref="K74:K108" si="123">AVERAGE(G74:J74)</f>
        <v>#DIV/0!</v>
      </c>
      <c r="L74" s="95" t="e">
        <f t="shared" ref="L74:L108" si="124">STDEV(G74:J74)</f>
        <v>#DIV/0!</v>
      </c>
      <c r="M74" s="10" t="e">
        <f t="shared" ref="M74:M122" si="125">(C74-D74)/((D74/2.54)+(C74-D74))</f>
        <v>#DIV/0!</v>
      </c>
      <c r="N74" s="96" t="e">
        <f t="shared" ref="N74:N108" si="126">(O74)/(3.14159*(3.17^2)*((K74-2.8)/10))</f>
        <v>#DIV/0!</v>
      </c>
      <c r="O74" s="97">
        <f t="shared" ref="O74:O108" si="127">F74-E74</f>
        <v>0</v>
      </c>
      <c r="Q74" s="142"/>
      <c r="R74" s="108">
        <f t="shared" si="121"/>
        <v>-40080</v>
      </c>
      <c r="S74" s="2"/>
      <c r="T74"/>
      <c r="U74"/>
      <c r="V74"/>
      <c r="W74" s="2"/>
      <c r="X74"/>
      <c r="AC74" s="130" t="e">
        <f t="shared" si="85"/>
        <v>#DIV/0!</v>
      </c>
      <c r="AD74" s="96" t="e">
        <f t="shared" si="86"/>
        <v>#DIV/0!</v>
      </c>
      <c r="AE74" s="96" t="e">
        <f t="shared" si="87"/>
        <v>#DIV/0!</v>
      </c>
      <c r="AF74" s="96" t="e">
        <f t="shared" si="88"/>
        <v>#DIV/0!</v>
      </c>
      <c r="AG74" s="96" t="e">
        <f t="shared" si="89"/>
        <v>#DIV/0!</v>
      </c>
      <c r="AH74" s="96" t="e">
        <f t="shared" si="90"/>
        <v>#DIV/0!</v>
      </c>
      <c r="AI74" s="126" t="e">
        <f t="shared" si="91"/>
        <v>#DIV/0!</v>
      </c>
      <c r="AJ74" s="131">
        <f t="shared" ref="AJ74:AJ80" si="128">$AD$5</f>
        <v>4.1000000000000002E-2</v>
      </c>
      <c r="AK74" s="130" t="e">
        <f t="shared" si="92"/>
        <v>#DIV/0!</v>
      </c>
      <c r="AL74" s="96" t="e">
        <f t="shared" si="93"/>
        <v>#DIV/0!</v>
      </c>
      <c r="AM74" s="96" t="e">
        <f t="shared" si="94"/>
        <v>#DIV/0!</v>
      </c>
      <c r="AN74" s="96" t="e">
        <f t="shared" si="95"/>
        <v>#DIV/0!</v>
      </c>
      <c r="AO74" s="4" t="e">
        <f t="shared" si="96"/>
        <v>#DIV/0!</v>
      </c>
      <c r="AP74" s="6" t="e">
        <f t="shared" si="97"/>
        <v>#DIV/0!</v>
      </c>
      <c r="AQ74" s="5">
        <f t="shared" si="122"/>
        <v>0.36599999999999999</v>
      </c>
      <c r="AR74" s="4"/>
      <c r="AS74" s="132" t="e">
        <f t="shared" si="98"/>
        <v>#DIV/0!</v>
      </c>
      <c r="AT74" s="133" t="e">
        <f t="shared" si="99"/>
        <v>#DIV/0!</v>
      </c>
      <c r="AU74" s="133" t="e">
        <f t="shared" si="100"/>
        <v>#DIV/0!</v>
      </c>
      <c r="AV74" s="133" t="e">
        <f t="shared" si="101"/>
        <v>#DIV/0!</v>
      </c>
      <c r="AW74" s="133" t="e">
        <f t="shared" si="102"/>
        <v>#DIV/0!</v>
      </c>
      <c r="AX74" s="5" t="e">
        <f t="shared" si="103"/>
        <v>#DIV/0!</v>
      </c>
      <c r="AY74" s="5" t="e">
        <f t="shared" si="104"/>
        <v>#DIV/0!</v>
      </c>
      <c r="AZ74" s="5">
        <f t="shared" ref="AZ74:AZ80" si="129">$AT$5</f>
        <v>0.85199999999999998</v>
      </c>
      <c r="BA74" s="134" t="e">
        <f t="shared" si="105"/>
        <v>#DIV/0!</v>
      </c>
      <c r="BB74" s="133" t="e">
        <f t="shared" si="106"/>
        <v>#DIV/0!</v>
      </c>
      <c r="BC74" s="106" t="e">
        <f t="shared" si="107"/>
        <v>#DIV/0!</v>
      </c>
      <c r="BD74" s="106" t="e">
        <f t="shared" si="108"/>
        <v>#DIV/0!</v>
      </c>
      <c r="BE74" s="133" t="e">
        <f t="shared" si="109"/>
        <v>#DIV/0!</v>
      </c>
      <c r="BF74" s="135" t="e">
        <f t="shared" si="110"/>
        <v>#DIV/0!</v>
      </c>
      <c r="BG74" s="133" t="e">
        <f t="shared" si="111"/>
        <v>#DIV/0!</v>
      </c>
      <c r="BH74" s="135" t="e">
        <f t="shared" si="112"/>
        <v>#DIV/0!</v>
      </c>
      <c r="BI74" s="106">
        <f t="shared" ref="BI74:BI80" si="130">$BB$5</f>
        <v>0.10390000000000001</v>
      </c>
      <c r="BJ74" s="130" t="e">
        <f t="shared" si="113"/>
        <v>#DIV/0!</v>
      </c>
      <c r="BK74" s="96" t="e">
        <f t="shared" si="114"/>
        <v>#DIV/0!</v>
      </c>
      <c r="BL74" s="96" t="e">
        <f t="shared" si="115"/>
        <v>#DIV/0!</v>
      </c>
      <c r="BM74" s="135" t="e">
        <f t="shared" si="116"/>
        <v>#DIV/0!</v>
      </c>
      <c r="BN74" s="96" t="e">
        <f t="shared" si="117"/>
        <v>#DIV/0!</v>
      </c>
      <c r="BO74" s="5" t="e">
        <f t="shared" si="118"/>
        <v>#DIV/0!</v>
      </c>
      <c r="BP74" s="5" t="e">
        <f t="shared" si="119"/>
        <v>#DIV/0!</v>
      </c>
      <c r="BQ74" s="5">
        <f t="shared" ref="BQ74:BQ80" si="131">$BK$5</f>
        <v>3.9E-2</v>
      </c>
      <c r="CB74" s="47">
        <f t="shared" si="120"/>
        <v>3.293726584796787E-2</v>
      </c>
    </row>
    <row r="75" spans="1:80">
      <c r="A75" s="144"/>
      <c r="B75" s="139"/>
      <c r="K75" s="143" t="e">
        <f t="shared" si="123"/>
        <v>#DIV/0!</v>
      </c>
      <c r="L75" s="95" t="e">
        <f t="shared" si="124"/>
        <v>#DIV/0!</v>
      </c>
      <c r="M75" s="10" t="e">
        <f t="shared" si="125"/>
        <v>#DIV/0!</v>
      </c>
      <c r="N75" s="96" t="e">
        <f t="shared" si="126"/>
        <v>#DIV/0!</v>
      </c>
      <c r="O75" s="97">
        <f t="shared" si="127"/>
        <v>0</v>
      </c>
      <c r="Q75" s="142"/>
      <c r="R75" s="108">
        <f t="shared" si="121"/>
        <v>-40080</v>
      </c>
      <c r="S75" s="2"/>
      <c r="T75"/>
      <c r="U75"/>
      <c r="V75"/>
      <c r="W75" s="2"/>
      <c r="X75"/>
      <c r="AC75" s="130" t="e">
        <f t="shared" si="85"/>
        <v>#DIV/0!</v>
      </c>
      <c r="AD75" s="96" t="e">
        <f t="shared" si="86"/>
        <v>#DIV/0!</v>
      </c>
      <c r="AE75" s="96" t="e">
        <f t="shared" si="87"/>
        <v>#DIV/0!</v>
      </c>
      <c r="AF75" s="96" t="e">
        <f t="shared" si="88"/>
        <v>#DIV/0!</v>
      </c>
      <c r="AG75" s="96" t="e">
        <f t="shared" si="89"/>
        <v>#DIV/0!</v>
      </c>
      <c r="AH75" s="96" t="e">
        <f t="shared" si="90"/>
        <v>#DIV/0!</v>
      </c>
      <c r="AI75" s="126" t="e">
        <f t="shared" si="91"/>
        <v>#DIV/0!</v>
      </c>
      <c r="AJ75" s="131">
        <f t="shared" si="128"/>
        <v>4.1000000000000002E-2</v>
      </c>
      <c r="AK75" s="130" t="e">
        <f t="shared" si="92"/>
        <v>#DIV/0!</v>
      </c>
      <c r="AL75" s="96" t="e">
        <f t="shared" si="93"/>
        <v>#DIV/0!</v>
      </c>
      <c r="AM75" s="96" t="e">
        <f t="shared" si="94"/>
        <v>#DIV/0!</v>
      </c>
      <c r="AN75" s="96" t="e">
        <f t="shared" si="95"/>
        <v>#DIV/0!</v>
      </c>
      <c r="AO75" s="4" t="e">
        <f t="shared" si="96"/>
        <v>#DIV/0!</v>
      </c>
      <c r="AP75" s="6" t="e">
        <f t="shared" si="97"/>
        <v>#DIV/0!</v>
      </c>
      <c r="AQ75" s="5">
        <f t="shared" si="122"/>
        <v>0.36599999999999999</v>
      </c>
      <c r="AR75" s="4"/>
      <c r="AS75" s="132" t="e">
        <f t="shared" si="98"/>
        <v>#DIV/0!</v>
      </c>
      <c r="AT75" s="133" t="e">
        <f t="shared" si="99"/>
        <v>#DIV/0!</v>
      </c>
      <c r="AU75" s="133" t="e">
        <f t="shared" si="100"/>
        <v>#DIV/0!</v>
      </c>
      <c r="AV75" s="133" t="e">
        <f t="shared" si="101"/>
        <v>#DIV/0!</v>
      </c>
      <c r="AW75" s="133" t="e">
        <f t="shared" si="102"/>
        <v>#DIV/0!</v>
      </c>
      <c r="AX75" s="5" t="e">
        <f t="shared" si="103"/>
        <v>#DIV/0!</v>
      </c>
      <c r="AY75" s="5" t="e">
        <f t="shared" si="104"/>
        <v>#DIV/0!</v>
      </c>
      <c r="AZ75" s="5">
        <f t="shared" si="129"/>
        <v>0.85199999999999998</v>
      </c>
      <c r="BA75" s="134" t="e">
        <f t="shared" si="105"/>
        <v>#DIV/0!</v>
      </c>
      <c r="BB75" s="133" t="e">
        <f t="shared" si="106"/>
        <v>#DIV/0!</v>
      </c>
      <c r="BC75" s="106" t="e">
        <f t="shared" si="107"/>
        <v>#DIV/0!</v>
      </c>
      <c r="BD75" s="106" t="e">
        <f t="shared" si="108"/>
        <v>#DIV/0!</v>
      </c>
      <c r="BE75" s="133" t="e">
        <f t="shared" si="109"/>
        <v>#DIV/0!</v>
      </c>
      <c r="BF75" s="135" t="e">
        <f t="shared" si="110"/>
        <v>#DIV/0!</v>
      </c>
      <c r="BG75" s="133" t="e">
        <f t="shared" si="111"/>
        <v>#DIV/0!</v>
      </c>
      <c r="BH75" s="135" t="e">
        <f t="shared" si="112"/>
        <v>#DIV/0!</v>
      </c>
      <c r="BI75" s="106">
        <f t="shared" si="130"/>
        <v>0.10390000000000001</v>
      </c>
      <c r="BJ75" s="130" t="e">
        <f t="shared" si="113"/>
        <v>#DIV/0!</v>
      </c>
      <c r="BK75" s="96" t="e">
        <f t="shared" si="114"/>
        <v>#DIV/0!</v>
      </c>
      <c r="BL75" s="96" t="e">
        <f t="shared" si="115"/>
        <v>#DIV/0!</v>
      </c>
      <c r="BM75" s="135" t="e">
        <f t="shared" si="116"/>
        <v>#DIV/0!</v>
      </c>
      <c r="BN75" s="96" t="e">
        <f t="shared" si="117"/>
        <v>#DIV/0!</v>
      </c>
      <c r="BO75" s="5" t="e">
        <f t="shared" si="118"/>
        <v>#DIV/0!</v>
      </c>
      <c r="BP75" s="5" t="e">
        <f t="shared" si="119"/>
        <v>#DIV/0!</v>
      </c>
      <c r="BQ75" s="5">
        <f t="shared" si="131"/>
        <v>3.9E-2</v>
      </c>
      <c r="CB75" s="47">
        <f t="shared" si="120"/>
        <v>3.293726584796787E-2</v>
      </c>
    </row>
    <row r="76" spans="1:80">
      <c r="A76" s="149"/>
      <c r="B76" s="139"/>
      <c r="K76" s="143" t="e">
        <f t="shared" si="123"/>
        <v>#DIV/0!</v>
      </c>
      <c r="L76" s="95" t="e">
        <f t="shared" si="124"/>
        <v>#DIV/0!</v>
      </c>
      <c r="M76" s="10" t="e">
        <f t="shared" si="125"/>
        <v>#DIV/0!</v>
      </c>
      <c r="N76" s="96" t="e">
        <f t="shared" si="126"/>
        <v>#DIV/0!</v>
      </c>
      <c r="O76" s="97">
        <f t="shared" si="127"/>
        <v>0</v>
      </c>
      <c r="Q76" s="142"/>
      <c r="R76" s="108">
        <f t="shared" si="121"/>
        <v>-40080</v>
      </c>
      <c r="S76" s="2"/>
      <c r="T76"/>
      <c r="U76"/>
      <c r="V76"/>
      <c r="W76" s="2"/>
      <c r="X76"/>
      <c r="AC76" s="130" t="e">
        <f t="shared" si="85"/>
        <v>#DIV/0!</v>
      </c>
      <c r="AD76" s="96" t="e">
        <f t="shared" si="86"/>
        <v>#DIV/0!</v>
      </c>
      <c r="AE76" s="96" t="e">
        <f t="shared" si="87"/>
        <v>#DIV/0!</v>
      </c>
      <c r="AF76" s="96" t="e">
        <f t="shared" si="88"/>
        <v>#DIV/0!</v>
      </c>
      <c r="AG76" s="96" t="e">
        <f t="shared" si="89"/>
        <v>#DIV/0!</v>
      </c>
      <c r="AH76" s="96" t="e">
        <f t="shared" si="90"/>
        <v>#DIV/0!</v>
      </c>
      <c r="AI76" s="126" t="e">
        <f t="shared" si="91"/>
        <v>#DIV/0!</v>
      </c>
      <c r="AJ76" s="131">
        <f t="shared" si="128"/>
        <v>4.1000000000000002E-2</v>
      </c>
      <c r="AK76" s="130" t="e">
        <f t="shared" si="92"/>
        <v>#DIV/0!</v>
      </c>
      <c r="AL76" s="96" t="e">
        <f t="shared" si="93"/>
        <v>#DIV/0!</v>
      </c>
      <c r="AM76" s="96" t="e">
        <f t="shared" si="94"/>
        <v>#DIV/0!</v>
      </c>
      <c r="AN76" s="96" t="e">
        <f t="shared" si="95"/>
        <v>#DIV/0!</v>
      </c>
      <c r="AO76" s="4" t="e">
        <f t="shared" si="96"/>
        <v>#DIV/0!</v>
      </c>
      <c r="AP76" s="6" t="e">
        <f t="shared" si="97"/>
        <v>#DIV/0!</v>
      </c>
      <c r="AQ76" s="5">
        <f t="shared" si="122"/>
        <v>0.36599999999999999</v>
      </c>
      <c r="AR76" s="4"/>
      <c r="AS76" s="132" t="e">
        <f t="shared" si="98"/>
        <v>#DIV/0!</v>
      </c>
      <c r="AT76" s="133" t="e">
        <f t="shared" si="99"/>
        <v>#DIV/0!</v>
      </c>
      <c r="AU76" s="133" t="e">
        <f t="shared" si="100"/>
        <v>#DIV/0!</v>
      </c>
      <c r="AV76" s="133" t="e">
        <f t="shared" si="101"/>
        <v>#DIV/0!</v>
      </c>
      <c r="AW76" s="133" t="e">
        <f t="shared" si="102"/>
        <v>#DIV/0!</v>
      </c>
      <c r="AX76" s="5" t="e">
        <f t="shared" si="103"/>
        <v>#DIV/0!</v>
      </c>
      <c r="AY76" s="5" t="e">
        <f t="shared" si="104"/>
        <v>#DIV/0!</v>
      </c>
      <c r="AZ76" s="5">
        <f t="shared" si="129"/>
        <v>0.85199999999999998</v>
      </c>
      <c r="BA76" s="134" t="e">
        <f t="shared" si="105"/>
        <v>#DIV/0!</v>
      </c>
      <c r="BB76" s="133" t="e">
        <f t="shared" si="106"/>
        <v>#DIV/0!</v>
      </c>
      <c r="BC76" s="106" t="e">
        <f t="shared" si="107"/>
        <v>#DIV/0!</v>
      </c>
      <c r="BD76" s="106" t="e">
        <f t="shared" si="108"/>
        <v>#DIV/0!</v>
      </c>
      <c r="BE76" s="133" t="e">
        <f t="shared" si="109"/>
        <v>#DIV/0!</v>
      </c>
      <c r="BF76" s="135" t="e">
        <f t="shared" si="110"/>
        <v>#DIV/0!</v>
      </c>
      <c r="BG76" s="133" t="e">
        <f t="shared" si="111"/>
        <v>#DIV/0!</v>
      </c>
      <c r="BH76" s="135" t="e">
        <f t="shared" si="112"/>
        <v>#DIV/0!</v>
      </c>
      <c r="BI76" s="106">
        <f t="shared" si="130"/>
        <v>0.10390000000000001</v>
      </c>
      <c r="BJ76" s="130" t="e">
        <f t="shared" si="113"/>
        <v>#DIV/0!</v>
      </c>
      <c r="BK76" s="96" t="e">
        <f t="shared" si="114"/>
        <v>#DIV/0!</v>
      </c>
      <c r="BL76" s="96" t="e">
        <f t="shared" si="115"/>
        <v>#DIV/0!</v>
      </c>
      <c r="BM76" s="135" t="e">
        <f t="shared" si="116"/>
        <v>#DIV/0!</v>
      </c>
      <c r="BN76" s="96" t="e">
        <f t="shared" si="117"/>
        <v>#DIV/0!</v>
      </c>
      <c r="BO76" s="5" t="e">
        <f t="shared" si="118"/>
        <v>#DIV/0!</v>
      </c>
      <c r="BP76" s="5" t="e">
        <f t="shared" si="119"/>
        <v>#DIV/0!</v>
      </c>
      <c r="BQ76" s="5">
        <f t="shared" si="131"/>
        <v>3.9E-2</v>
      </c>
    </row>
    <row r="77" spans="1:80" s="79" customFormat="1">
      <c r="A77" s="144"/>
      <c r="B77" s="139"/>
      <c r="C77" s="47"/>
      <c r="D77" s="47"/>
      <c r="E77" s="47"/>
      <c r="F77" s="47"/>
      <c r="G77" s="47"/>
      <c r="H77" s="47"/>
      <c r="I77" s="47"/>
      <c r="J77" s="47"/>
      <c r="K77" s="143" t="e">
        <f t="shared" si="123"/>
        <v>#DIV/0!</v>
      </c>
      <c r="L77" s="95" t="e">
        <f t="shared" si="124"/>
        <v>#DIV/0!</v>
      </c>
      <c r="M77" s="10" t="e">
        <f t="shared" si="125"/>
        <v>#DIV/0!</v>
      </c>
      <c r="N77" s="96" t="e">
        <f t="shared" si="126"/>
        <v>#DIV/0!</v>
      </c>
      <c r="O77" s="97">
        <f t="shared" si="127"/>
        <v>0</v>
      </c>
      <c r="P77" s="102"/>
      <c r="Q77" s="142"/>
      <c r="R77" s="108">
        <f t="shared" si="121"/>
        <v>-40080</v>
      </c>
      <c r="S77" s="2"/>
      <c r="T77"/>
      <c r="U77"/>
      <c r="V77"/>
      <c r="W77" s="2"/>
      <c r="X77"/>
      <c r="Y77" s="47"/>
      <c r="Z77" s="47"/>
      <c r="AA77" s="47"/>
      <c r="AB77" s="47"/>
      <c r="AC77" s="130" t="e">
        <f t="shared" si="85"/>
        <v>#DIV/0!</v>
      </c>
      <c r="AD77" s="96" t="e">
        <f t="shared" si="86"/>
        <v>#DIV/0!</v>
      </c>
      <c r="AE77" s="96" t="e">
        <f t="shared" si="87"/>
        <v>#DIV/0!</v>
      </c>
      <c r="AF77" s="96" t="e">
        <f t="shared" si="88"/>
        <v>#DIV/0!</v>
      </c>
      <c r="AG77" s="96" t="e">
        <f t="shared" si="89"/>
        <v>#DIV/0!</v>
      </c>
      <c r="AH77" s="96" t="e">
        <f t="shared" si="90"/>
        <v>#DIV/0!</v>
      </c>
      <c r="AI77" s="126" t="e">
        <f t="shared" si="91"/>
        <v>#DIV/0!</v>
      </c>
      <c r="AJ77" s="131">
        <f t="shared" si="128"/>
        <v>4.1000000000000002E-2</v>
      </c>
      <c r="AK77" s="130" t="e">
        <f t="shared" si="92"/>
        <v>#DIV/0!</v>
      </c>
      <c r="AL77" s="96" t="e">
        <f t="shared" si="93"/>
        <v>#DIV/0!</v>
      </c>
      <c r="AM77" s="96" t="e">
        <f t="shared" si="94"/>
        <v>#DIV/0!</v>
      </c>
      <c r="AN77" s="96" t="e">
        <f t="shared" si="95"/>
        <v>#DIV/0!</v>
      </c>
      <c r="AO77" s="4" t="e">
        <f t="shared" si="96"/>
        <v>#DIV/0!</v>
      </c>
      <c r="AP77" s="6" t="e">
        <f t="shared" si="97"/>
        <v>#DIV/0!</v>
      </c>
      <c r="AQ77" s="5">
        <f t="shared" si="122"/>
        <v>0.36599999999999999</v>
      </c>
      <c r="AR77" s="4"/>
      <c r="AS77" s="132" t="e">
        <f t="shared" si="98"/>
        <v>#DIV/0!</v>
      </c>
      <c r="AT77" s="133" t="e">
        <f t="shared" si="99"/>
        <v>#DIV/0!</v>
      </c>
      <c r="AU77" s="133" t="e">
        <f t="shared" si="100"/>
        <v>#DIV/0!</v>
      </c>
      <c r="AV77" s="133" t="e">
        <f t="shared" si="101"/>
        <v>#DIV/0!</v>
      </c>
      <c r="AW77" s="133" t="e">
        <f t="shared" si="102"/>
        <v>#DIV/0!</v>
      </c>
      <c r="AX77" s="5" t="e">
        <f t="shared" si="103"/>
        <v>#DIV/0!</v>
      </c>
      <c r="AY77" s="5" t="e">
        <f t="shared" si="104"/>
        <v>#DIV/0!</v>
      </c>
      <c r="AZ77" s="5">
        <f t="shared" si="129"/>
        <v>0.85199999999999998</v>
      </c>
      <c r="BA77" s="134" t="e">
        <f t="shared" si="105"/>
        <v>#DIV/0!</v>
      </c>
      <c r="BB77" s="133" t="e">
        <f t="shared" si="106"/>
        <v>#DIV/0!</v>
      </c>
      <c r="BC77" s="106" t="e">
        <f t="shared" si="107"/>
        <v>#DIV/0!</v>
      </c>
      <c r="BD77" s="106" t="e">
        <f t="shared" si="108"/>
        <v>#DIV/0!</v>
      </c>
      <c r="BE77" s="133" t="e">
        <f t="shared" si="109"/>
        <v>#DIV/0!</v>
      </c>
      <c r="BF77" s="135" t="e">
        <f t="shared" si="110"/>
        <v>#DIV/0!</v>
      </c>
      <c r="BG77" s="133" t="e">
        <f t="shared" si="111"/>
        <v>#DIV/0!</v>
      </c>
      <c r="BH77" s="135" t="e">
        <f t="shared" si="112"/>
        <v>#DIV/0!</v>
      </c>
      <c r="BI77" s="106">
        <f t="shared" si="130"/>
        <v>0.10390000000000001</v>
      </c>
      <c r="BJ77" s="130" t="e">
        <f t="shared" si="113"/>
        <v>#DIV/0!</v>
      </c>
      <c r="BK77" s="96" t="e">
        <f t="shared" si="114"/>
        <v>#DIV/0!</v>
      </c>
      <c r="BL77" s="96" t="e">
        <f t="shared" si="115"/>
        <v>#DIV/0!</v>
      </c>
      <c r="BM77" s="135" t="e">
        <f t="shared" si="116"/>
        <v>#DIV/0!</v>
      </c>
      <c r="BN77" s="96" t="e">
        <f t="shared" si="117"/>
        <v>#DIV/0!</v>
      </c>
      <c r="BO77" s="5" t="e">
        <f t="shared" si="118"/>
        <v>#DIV/0!</v>
      </c>
      <c r="BP77" s="5" t="e">
        <f t="shared" si="119"/>
        <v>#DIV/0!</v>
      </c>
      <c r="BQ77" s="5">
        <f t="shared" si="131"/>
        <v>3.9E-2</v>
      </c>
    </row>
    <row r="78" spans="1:80">
      <c r="A78" s="144"/>
      <c r="B78" s="139"/>
      <c r="K78" s="143" t="e">
        <f t="shared" si="123"/>
        <v>#DIV/0!</v>
      </c>
      <c r="L78" s="95" t="e">
        <f t="shared" si="124"/>
        <v>#DIV/0!</v>
      </c>
      <c r="M78" s="10" t="e">
        <f t="shared" si="125"/>
        <v>#DIV/0!</v>
      </c>
      <c r="N78" s="96" t="e">
        <f t="shared" si="126"/>
        <v>#DIV/0!</v>
      </c>
      <c r="O78" s="97">
        <f t="shared" si="127"/>
        <v>0</v>
      </c>
      <c r="Q78" s="142"/>
      <c r="R78" s="108">
        <f t="shared" si="121"/>
        <v>-40080</v>
      </c>
      <c r="S78" s="2"/>
      <c r="T78"/>
      <c r="U78"/>
      <c r="V78"/>
      <c r="W78" s="2"/>
      <c r="X78"/>
      <c r="AC78" s="130" t="e">
        <f t="shared" si="85"/>
        <v>#DIV/0!</v>
      </c>
      <c r="AD78" s="96" t="e">
        <f t="shared" si="86"/>
        <v>#DIV/0!</v>
      </c>
      <c r="AE78" s="96" t="e">
        <f t="shared" si="87"/>
        <v>#DIV/0!</v>
      </c>
      <c r="AF78" s="96" t="e">
        <f t="shared" si="88"/>
        <v>#DIV/0!</v>
      </c>
      <c r="AG78" s="96" t="e">
        <f t="shared" si="89"/>
        <v>#DIV/0!</v>
      </c>
      <c r="AH78" s="96" t="e">
        <f t="shared" si="90"/>
        <v>#DIV/0!</v>
      </c>
      <c r="AI78" s="126" t="e">
        <f t="shared" si="91"/>
        <v>#DIV/0!</v>
      </c>
      <c r="AJ78" s="131">
        <f t="shared" si="128"/>
        <v>4.1000000000000002E-2</v>
      </c>
      <c r="AK78" s="130" t="e">
        <f t="shared" si="92"/>
        <v>#DIV/0!</v>
      </c>
      <c r="AL78" s="96" t="e">
        <f t="shared" si="93"/>
        <v>#DIV/0!</v>
      </c>
      <c r="AM78" s="96" t="e">
        <f t="shared" si="94"/>
        <v>#DIV/0!</v>
      </c>
      <c r="AN78" s="96" t="e">
        <f t="shared" si="95"/>
        <v>#DIV/0!</v>
      </c>
      <c r="AO78" s="4" t="e">
        <f t="shared" si="96"/>
        <v>#DIV/0!</v>
      </c>
      <c r="AP78" s="6" t="e">
        <f t="shared" si="97"/>
        <v>#DIV/0!</v>
      </c>
      <c r="AQ78" s="5">
        <f t="shared" si="122"/>
        <v>0.36599999999999999</v>
      </c>
      <c r="AR78" s="4"/>
      <c r="AS78" s="132" t="e">
        <f t="shared" si="98"/>
        <v>#DIV/0!</v>
      </c>
      <c r="AT78" s="133" t="e">
        <f t="shared" si="99"/>
        <v>#DIV/0!</v>
      </c>
      <c r="AU78" s="133" t="e">
        <f t="shared" si="100"/>
        <v>#DIV/0!</v>
      </c>
      <c r="AV78" s="133" t="e">
        <f t="shared" si="101"/>
        <v>#DIV/0!</v>
      </c>
      <c r="AW78" s="133" t="e">
        <f t="shared" si="102"/>
        <v>#DIV/0!</v>
      </c>
      <c r="AX78" s="5" t="e">
        <f t="shared" si="103"/>
        <v>#DIV/0!</v>
      </c>
      <c r="AY78" s="5" t="e">
        <f t="shared" si="104"/>
        <v>#DIV/0!</v>
      </c>
      <c r="AZ78" s="5">
        <f t="shared" si="129"/>
        <v>0.85199999999999998</v>
      </c>
      <c r="BA78" s="134" t="e">
        <f t="shared" si="105"/>
        <v>#DIV/0!</v>
      </c>
      <c r="BB78" s="133" t="e">
        <f t="shared" si="106"/>
        <v>#DIV/0!</v>
      </c>
      <c r="BC78" s="106" t="e">
        <f t="shared" si="107"/>
        <v>#DIV/0!</v>
      </c>
      <c r="BD78" s="106" t="e">
        <f t="shared" si="108"/>
        <v>#DIV/0!</v>
      </c>
      <c r="BE78" s="133" t="e">
        <f t="shared" si="109"/>
        <v>#DIV/0!</v>
      </c>
      <c r="BF78" s="135" t="e">
        <f t="shared" si="110"/>
        <v>#DIV/0!</v>
      </c>
      <c r="BG78" s="133" t="e">
        <f t="shared" si="111"/>
        <v>#DIV/0!</v>
      </c>
      <c r="BH78" s="135" t="e">
        <f t="shared" si="112"/>
        <v>#DIV/0!</v>
      </c>
      <c r="BI78" s="106">
        <f t="shared" si="130"/>
        <v>0.10390000000000001</v>
      </c>
      <c r="BJ78" s="130" t="e">
        <f t="shared" si="113"/>
        <v>#DIV/0!</v>
      </c>
      <c r="BK78" s="96" t="e">
        <f t="shared" si="114"/>
        <v>#DIV/0!</v>
      </c>
      <c r="BL78" s="96" t="e">
        <f t="shared" si="115"/>
        <v>#DIV/0!</v>
      </c>
      <c r="BM78" s="135" t="e">
        <f t="shared" si="116"/>
        <v>#DIV/0!</v>
      </c>
      <c r="BN78" s="96" t="e">
        <f t="shared" si="117"/>
        <v>#DIV/0!</v>
      </c>
      <c r="BO78" s="5" t="e">
        <f t="shared" si="118"/>
        <v>#DIV/0!</v>
      </c>
      <c r="BP78" s="5" t="e">
        <f t="shared" si="119"/>
        <v>#DIV/0!</v>
      </c>
      <c r="BQ78" s="5">
        <f t="shared" si="131"/>
        <v>3.9E-2</v>
      </c>
      <c r="CB78" s="47">
        <f>EXP(R78*$AC$5)</f>
        <v>3.293726584796787E-2</v>
      </c>
    </row>
    <row r="79" spans="1:80" s="79" customFormat="1">
      <c r="A79" s="144"/>
      <c r="B79" s="139"/>
      <c r="C79" s="47"/>
      <c r="D79" s="47"/>
      <c r="E79" s="47"/>
      <c r="F79" s="47"/>
      <c r="G79" s="47"/>
      <c r="H79" s="47"/>
      <c r="I79" s="47"/>
      <c r="J79" s="47"/>
      <c r="K79" s="143" t="e">
        <f t="shared" si="123"/>
        <v>#DIV/0!</v>
      </c>
      <c r="L79" s="95" t="e">
        <f t="shared" si="124"/>
        <v>#DIV/0!</v>
      </c>
      <c r="M79" s="10" t="e">
        <f t="shared" si="125"/>
        <v>#DIV/0!</v>
      </c>
      <c r="N79" s="96" t="e">
        <f t="shared" si="126"/>
        <v>#DIV/0!</v>
      </c>
      <c r="O79" s="97">
        <f t="shared" si="127"/>
        <v>0</v>
      </c>
      <c r="P79" s="102"/>
      <c r="Q79" s="142"/>
      <c r="R79" s="108">
        <f t="shared" si="121"/>
        <v>-40080</v>
      </c>
      <c r="S79" s="2"/>
      <c r="T79"/>
      <c r="U79"/>
      <c r="V79"/>
      <c r="W79" s="2"/>
      <c r="X79"/>
      <c r="Y79" s="47"/>
      <c r="Z79" s="47"/>
      <c r="AA79" s="47"/>
      <c r="AB79" s="47"/>
      <c r="AC79" s="130" t="e">
        <f t="shared" si="85"/>
        <v>#DIV/0!</v>
      </c>
      <c r="AD79" s="96" t="e">
        <f t="shared" si="86"/>
        <v>#DIV/0!</v>
      </c>
      <c r="AE79" s="96" t="e">
        <f t="shared" si="87"/>
        <v>#DIV/0!</v>
      </c>
      <c r="AF79" s="96" t="e">
        <f t="shared" si="88"/>
        <v>#DIV/0!</v>
      </c>
      <c r="AG79" s="96" t="e">
        <f t="shared" si="89"/>
        <v>#DIV/0!</v>
      </c>
      <c r="AH79" s="96" t="e">
        <f t="shared" si="90"/>
        <v>#DIV/0!</v>
      </c>
      <c r="AI79" s="126" t="e">
        <f t="shared" si="91"/>
        <v>#DIV/0!</v>
      </c>
      <c r="AJ79" s="131">
        <f t="shared" si="128"/>
        <v>4.1000000000000002E-2</v>
      </c>
      <c r="AK79" s="130" t="e">
        <f t="shared" si="92"/>
        <v>#DIV/0!</v>
      </c>
      <c r="AL79" s="96" t="e">
        <f t="shared" si="93"/>
        <v>#DIV/0!</v>
      </c>
      <c r="AM79" s="96" t="e">
        <f t="shared" si="94"/>
        <v>#DIV/0!</v>
      </c>
      <c r="AN79" s="96" t="e">
        <f t="shared" si="95"/>
        <v>#DIV/0!</v>
      </c>
      <c r="AO79" s="4" t="e">
        <f t="shared" si="96"/>
        <v>#DIV/0!</v>
      </c>
      <c r="AP79" s="6" t="e">
        <f t="shared" si="97"/>
        <v>#DIV/0!</v>
      </c>
      <c r="AQ79" s="5">
        <f t="shared" si="122"/>
        <v>0.36599999999999999</v>
      </c>
      <c r="AR79" s="4"/>
      <c r="AS79" s="132" t="e">
        <f t="shared" si="98"/>
        <v>#DIV/0!</v>
      </c>
      <c r="AT79" s="133" t="e">
        <f t="shared" si="99"/>
        <v>#DIV/0!</v>
      </c>
      <c r="AU79" s="133" t="e">
        <f t="shared" si="100"/>
        <v>#DIV/0!</v>
      </c>
      <c r="AV79" s="133" t="e">
        <f t="shared" si="101"/>
        <v>#DIV/0!</v>
      </c>
      <c r="AW79" s="133" t="e">
        <f t="shared" si="102"/>
        <v>#DIV/0!</v>
      </c>
      <c r="AX79" s="5" t="e">
        <f t="shared" si="103"/>
        <v>#DIV/0!</v>
      </c>
      <c r="AY79" s="5" t="e">
        <f t="shared" si="104"/>
        <v>#DIV/0!</v>
      </c>
      <c r="AZ79" s="5">
        <f t="shared" si="129"/>
        <v>0.85199999999999998</v>
      </c>
      <c r="BA79" s="134" t="e">
        <f t="shared" si="105"/>
        <v>#DIV/0!</v>
      </c>
      <c r="BB79" s="133" t="e">
        <f t="shared" si="106"/>
        <v>#DIV/0!</v>
      </c>
      <c r="BC79" s="106" t="e">
        <f t="shared" si="107"/>
        <v>#DIV/0!</v>
      </c>
      <c r="BD79" s="106" t="e">
        <f t="shared" si="108"/>
        <v>#DIV/0!</v>
      </c>
      <c r="BE79" s="133" t="e">
        <f t="shared" si="109"/>
        <v>#DIV/0!</v>
      </c>
      <c r="BF79" s="135" t="e">
        <f t="shared" si="110"/>
        <v>#DIV/0!</v>
      </c>
      <c r="BG79" s="133" t="e">
        <f t="shared" si="111"/>
        <v>#DIV/0!</v>
      </c>
      <c r="BH79" s="135" t="e">
        <f t="shared" si="112"/>
        <v>#DIV/0!</v>
      </c>
      <c r="BI79" s="106">
        <f t="shared" si="130"/>
        <v>0.10390000000000001</v>
      </c>
      <c r="BJ79" s="130" t="e">
        <f t="shared" si="113"/>
        <v>#DIV/0!</v>
      </c>
      <c r="BK79" s="96" t="e">
        <f t="shared" si="114"/>
        <v>#DIV/0!</v>
      </c>
      <c r="BL79" s="96" t="e">
        <f t="shared" si="115"/>
        <v>#DIV/0!</v>
      </c>
      <c r="BM79" s="135" t="e">
        <f t="shared" si="116"/>
        <v>#DIV/0!</v>
      </c>
      <c r="BN79" s="96" t="e">
        <f t="shared" si="117"/>
        <v>#DIV/0!</v>
      </c>
      <c r="BO79" s="5" t="e">
        <f t="shared" si="118"/>
        <v>#DIV/0!</v>
      </c>
      <c r="BP79" s="5" t="e">
        <f t="shared" si="119"/>
        <v>#DIV/0!</v>
      </c>
      <c r="BQ79" s="5">
        <f t="shared" si="131"/>
        <v>3.9E-2</v>
      </c>
    </row>
    <row r="80" spans="1:80" s="79" customFormat="1">
      <c r="A80" s="144"/>
      <c r="B80" s="139"/>
      <c r="C80" s="47"/>
      <c r="D80" s="47"/>
      <c r="E80" s="47"/>
      <c r="F80" s="47"/>
      <c r="G80" s="47"/>
      <c r="H80" s="47"/>
      <c r="I80" s="47"/>
      <c r="J80" s="47"/>
      <c r="K80" s="143" t="e">
        <f t="shared" si="123"/>
        <v>#DIV/0!</v>
      </c>
      <c r="L80" s="95" t="e">
        <f t="shared" si="124"/>
        <v>#DIV/0!</v>
      </c>
      <c r="M80" s="10" t="e">
        <f t="shared" si="125"/>
        <v>#DIV/0!</v>
      </c>
      <c r="N80" s="96" t="e">
        <f t="shared" si="126"/>
        <v>#DIV/0!</v>
      </c>
      <c r="O80" s="97">
        <f t="shared" si="127"/>
        <v>0</v>
      </c>
      <c r="P80" s="102"/>
      <c r="Q80" s="142"/>
      <c r="R80" s="108">
        <f t="shared" si="121"/>
        <v>-40080</v>
      </c>
      <c r="S80" s="2"/>
      <c r="T80"/>
      <c r="U80"/>
      <c r="V80"/>
      <c r="W80" s="2"/>
      <c r="X80"/>
      <c r="Y80" s="47"/>
      <c r="Z80" s="47"/>
      <c r="AA80" s="47"/>
      <c r="AB80" s="47"/>
      <c r="AC80" s="130" t="e">
        <f t="shared" si="85"/>
        <v>#DIV/0!</v>
      </c>
      <c r="AD80" s="96" t="e">
        <f t="shared" si="86"/>
        <v>#DIV/0!</v>
      </c>
      <c r="AE80" s="96" t="e">
        <f t="shared" si="87"/>
        <v>#DIV/0!</v>
      </c>
      <c r="AF80" s="96" t="e">
        <f t="shared" si="88"/>
        <v>#DIV/0!</v>
      </c>
      <c r="AG80" s="96" t="e">
        <f t="shared" si="89"/>
        <v>#DIV/0!</v>
      </c>
      <c r="AH80" s="96" t="e">
        <f t="shared" si="90"/>
        <v>#DIV/0!</v>
      </c>
      <c r="AI80" s="126" t="e">
        <f t="shared" si="91"/>
        <v>#DIV/0!</v>
      </c>
      <c r="AJ80" s="131">
        <f t="shared" si="128"/>
        <v>4.1000000000000002E-2</v>
      </c>
      <c r="AK80" s="130" t="e">
        <f t="shared" si="92"/>
        <v>#DIV/0!</v>
      </c>
      <c r="AL80" s="96" t="e">
        <f t="shared" si="93"/>
        <v>#DIV/0!</v>
      </c>
      <c r="AM80" s="96" t="e">
        <f t="shared" si="94"/>
        <v>#DIV/0!</v>
      </c>
      <c r="AN80" s="96" t="e">
        <f t="shared" si="95"/>
        <v>#DIV/0!</v>
      </c>
      <c r="AO80" s="4" t="e">
        <f t="shared" si="96"/>
        <v>#DIV/0!</v>
      </c>
      <c r="AP80" s="6" t="e">
        <f t="shared" si="97"/>
        <v>#DIV/0!</v>
      </c>
      <c r="AQ80" s="5">
        <f t="shared" si="122"/>
        <v>0.36599999999999999</v>
      </c>
      <c r="AR80" s="4"/>
      <c r="AS80" s="132" t="e">
        <f t="shared" si="98"/>
        <v>#DIV/0!</v>
      </c>
      <c r="AT80" s="133" t="e">
        <f t="shared" si="99"/>
        <v>#DIV/0!</v>
      </c>
      <c r="AU80" s="133" t="e">
        <f t="shared" si="100"/>
        <v>#DIV/0!</v>
      </c>
      <c r="AV80" s="133" t="e">
        <f t="shared" si="101"/>
        <v>#DIV/0!</v>
      </c>
      <c r="AW80" s="133" t="e">
        <f t="shared" si="102"/>
        <v>#DIV/0!</v>
      </c>
      <c r="AX80" s="5" t="e">
        <f t="shared" si="103"/>
        <v>#DIV/0!</v>
      </c>
      <c r="AY80" s="5" t="e">
        <f t="shared" si="104"/>
        <v>#DIV/0!</v>
      </c>
      <c r="AZ80" s="5">
        <f t="shared" si="129"/>
        <v>0.85199999999999998</v>
      </c>
      <c r="BA80" s="134" t="e">
        <f t="shared" si="105"/>
        <v>#DIV/0!</v>
      </c>
      <c r="BB80" s="133" t="e">
        <f t="shared" si="106"/>
        <v>#DIV/0!</v>
      </c>
      <c r="BC80" s="106" t="e">
        <f t="shared" si="107"/>
        <v>#DIV/0!</v>
      </c>
      <c r="BD80" s="106" t="e">
        <f t="shared" si="108"/>
        <v>#DIV/0!</v>
      </c>
      <c r="BE80" s="133" t="e">
        <f t="shared" si="109"/>
        <v>#DIV/0!</v>
      </c>
      <c r="BF80" s="135" t="e">
        <f t="shared" si="110"/>
        <v>#DIV/0!</v>
      </c>
      <c r="BG80" s="133" t="e">
        <f t="shared" si="111"/>
        <v>#DIV/0!</v>
      </c>
      <c r="BH80" s="135" t="e">
        <f t="shared" si="112"/>
        <v>#DIV/0!</v>
      </c>
      <c r="BI80" s="106">
        <f t="shared" si="130"/>
        <v>0.10390000000000001</v>
      </c>
      <c r="BJ80" s="130" t="e">
        <f t="shared" si="113"/>
        <v>#DIV/0!</v>
      </c>
      <c r="BK80" s="96" t="e">
        <f t="shared" si="114"/>
        <v>#DIV/0!</v>
      </c>
      <c r="BL80" s="96" t="e">
        <f t="shared" si="115"/>
        <v>#DIV/0!</v>
      </c>
      <c r="BM80" s="135" t="e">
        <f t="shared" si="116"/>
        <v>#DIV/0!</v>
      </c>
      <c r="BN80" s="96" t="e">
        <f t="shared" si="117"/>
        <v>#DIV/0!</v>
      </c>
      <c r="BO80" s="5" t="e">
        <f t="shared" si="118"/>
        <v>#DIV/0!</v>
      </c>
      <c r="BP80" s="5" t="e">
        <f t="shared" si="119"/>
        <v>#DIV/0!</v>
      </c>
      <c r="BQ80" s="5">
        <f t="shared" si="131"/>
        <v>3.9E-2</v>
      </c>
    </row>
    <row r="81" spans="1:80" s="79" customFormat="1">
      <c r="A81" s="144"/>
      <c r="B81" s="139"/>
      <c r="C81" s="47"/>
      <c r="D81" s="47"/>
      <c r="E81" s="47"/>
      <c r="F81" s="47"/>
      <c r="G81" s="47"/>
      <c r="H81" s="47"/>
      <c r="I81" s="47"/>
      <c r="J81" s="47"/>
      <c r="K81" s="143" t="e">
        <f t="shared" si="123"/>
        <v>#DIV/0!</v>
      </c>
      <c r="L81" s="95" t="e">
        <f t="shared" si="124"/>
        <v>#DIV/0!</v>
      </c>
      <c r="M81" s="10" t="e">
        <f t="shared" si="125"/>
        <v>#DIV/0!</v>
      </c>
      <c r="N81" s="96" t="e">
        <f t="shared" si="126"/>
        <v>#DIV/0!</v>
      </c>
      <c r="O81" s="97">
        <f t="shared" si="127"/>
        <v>0</v>
      </c>
      <c r="P81" s="102"/>
      <c r="Q81" s="142"/>
      <c r="R81" s="108">
        <f t="shared" si="121"/>
        <v>-40080</v>
      </c>
      <c r="S81" s="2"/>
      <c r="T81"/>
      <c r="U81"/>
      <c r="V81"/>
      <c r="W81" s="2"/>
      <c r="X81"/>
      <c r="Y81" s="47"/>
      <c r="Z81" s="47"/>
      <c r="AA81" s="47"/>
      <c r="AB81" s="47"/>
      <c r="AC81" s="130" t="e">
        <f t="shared" ref="AC81:AC87" si="132">S81/(Q81/60)</f>
        <v>#DIV/0!</v>
      </c>
      <c r="AD81" s="96" t="e">
        <f t="shared" ref="AD81:AD87" si="133">T81/(Q81/60)</f>
        <v>#DIV/0!</v>
      </c>
      <c r="AE81" s="96" t="e">
        <f t="shared" ref="AE81:AE87" si="134">(AC81*AI81-$AI$5)/(AJ81*AH81*O81)</f>
        <v>#DIV/0!</v>
      </c>
      <c r="AF81" s="96" t="e">
        <f t="shared" ref="AF81:AF87" si="135">(AE81*(EXP(0.000085158*R81)))</f>
        <v>#DIV/0!</v>
      </c>
      <c r="AG81" s="96" t="e">
        <f t="shared" ref="AG81:AG87" si="136">SQRT(AI81^2*AD81^2+$AJ$5^2)/(AJ81*AH81*O81)</f>
        <v>#DIV/0!</v>
      </c>
      <c r="AH81" s="96" t="e">
        <f t="shared" ref="AH81:AH87" si="137">$AF$5+$AE$5*(K81-2.8)</f>
        <v>#DIV/0!</v>
      </c>
      <c r="AI81" s="126" t="e">
        <f t="shared" ref="AI81:AI87" si="138">$AH$5+$AG$5*(K81-2.8)</f>
        <v>#DIV/0!</v>
      </c>
      <c r="AJ81" s="131">
        <f t="shared" ref="AJ81:AJ122" si="139">$AD$5</f>
        <v>4.1000000000000002E-2</v>
      </c>
      <c r="AK81" s="130" t="e">
        <f t="shared" ref="AK81:AK87" si="140">W81/(Q81/60)</f>
        <v>#DIV/0!</v>
      </c>
      <c r="AL81" s="96" t="e">
        <f t="shared" ref="AL81:AL87" si="141">X81/(Q81/60)</f>
        <v>#DIV/0!</v>
      </c>
      <c r="AM81" s="96" t="e">
        <f t="shared" ref="AM81:AM87" si="142">(AK81*AP81-$AQ$5)/(AQ81*AO81*O81)</f>
        <v>#DIV/0!</v>
      </c>
      <c r="AN81" s="96" t="e">
        <f t="shared" ref="AN81:AN87" si="143">SQRT(AP81^2*AL81^2+$AR$5^2)/(AQ81*AO81*O81)</f>
        <v>#DIV/0!</v>
      </c>
      <c r="AO81" s="4" t="e">
        <f t="shared" ref="AO81:AO87" si="144">$AN$5+$AM$5*(K81-2.8)</f>
        <v>#DIV/0!</v>
      </c>
      <c r="AP81" s="6" t="e">
        <f t="shared" ref="AP81:AP87" si="145">$AP$5+$AO$5*(K81-2.8)</f>
        <v>#DIV/0!</v>
      </c>
      <c r="AQ81" s="5">
        <f t="shared" ref="AQ81:AQ122" si="146">$AL$5</f>
        <v>0.36599999999999999</v>
      </c>
      <c r="AR81" s="4"/>
      <c r="AS81" s="132" t="e">
        <f t="shared" ref="AS81:AS87" si="147">AA81/(Q81/60)</f>
        <v>#DIV/0!</v>
      </c>
      <c r="AT81" s="133" t="e">
        <f t="shared" ref="AT81:AT87" si="148">AB81/(Q81/60)</f>
        <v>#DIV/0!</v>
      </c>
      <c r="AU81" s="133" t="e">
        <f t="shared" ref="AU81:AU87" si="149">(AS81*AY81-$AY$5)/(AZ81*AX81*O81)</f>
        <v>#DIV/0!</v>
      </c>
      <c r="AV81" s="133" t="e">
        <f t="shared" ref="AV81:AV87" si="150">AU81*EXP((0.0000629444)*(R81))</f>
        <v>#DIV/0!</v>
      </c>
      <c r="AW81" s="133" t="e">
        <f t="shared" ref="AW81:AW87" si="151">SQRT(AY81^2*AT81^2+$AY$5^2)/(AZ81*AX81*O81)</f>
        <v>#DIV/0!</v>
      </c>
      <c r="AX81" s="5" t="e">
        <f t="shared" ref="AX81:AX87" si="152">$AU$5+$AV$5*(K81-2.8)</f>
        <v>#DIV/0!</v>
      </c>
      <c r="AY81" s="5" t="e">
        <f t="shared" ref="AY81:AY87" si="153">$AW$5+$AX$5*(K81-2.8)</f>
        <v>#DIV/0!</v>
      </c>
      <c r="AZ81" s="5">
        <f t="shared" ref="AZ81:AZ122" si="154">$AT$5</f>
        <v>0.85199999999999998</v>
      </c>
      <c r="BA81" s="134" t="e">
        <f t="shared" ref="BA81:BA87" si="155">Y81/(Q81/60)</f>
        <v>#DIV/0!</v>
      </c>
      <c r="BB81" s="133" t="e">
        <f t="shared" ref="BB81:BB87" si="156">Z81/(Q81/60)</f>
        <v>#DIV/0!</v>
      </c>
      <c r="BC81" s="106" t="e">
        <f t="shared" ref="BC81:BC87" si="157">(BA81*BH81-$BG$5)/(BI81*BG81*O81)</f>
        <v>#DIV/0!</v>
      </c>
      <c r="BD81" s="106" t="e">
        <f t="shared" ref="BD81:BD87" si="158">SQRT(BH81^2*BB81^2+$BH$5^2)/(BI81*BG81*O81)</f>
        <v>#DIV/0!</v>
      </c>
      <c r="BE81" s="133" t="e">
        <f t="shared" ref="BE81:BE87" si="159">BC81*EXP(0.01300464*R81)</f>
        <v>#DIV/0!</v>
      </c>
      <c r="BF81" s="135" t="e">
        <f t="shared" ref="BF81:BF87" si="160">BD81*EXP(0.01300464*R81)</f>
        <v>#DIV/0!</v>
      </c>
      <c r="BG81" s="133" t="e">
        <f t="shared" ref="BG81:BG87" si="161">$BD$5+$BC$5*(K81-2.8)</f>
        <v>#DIV/0!</v>
      </c>
      <c r="BH81" s="135" t="e">
        <f t="shared" ref="BH81:BH87" si="162">$BF$5+$BE$5*(K81-2.8)</f>
        <v>#DIV/0!</v>
      </c>
      <c r="BI81" s="106">
        <f t="shared" ref="BI81:BI122" si="163">$BB$5</f>
        <v>0.10390000000000001</v>
      </c>
      <c r="BJ81" s="130" t="e">
        <f t="shared" ref="BJ81:BJ87" si="164">U81/(Q81/60)</f>
        <v>#DIV/0!</v>
      </c>
      <c r="BK81" s="96" t="e">
        <f t="shared" ref="BK81:BK87" si="165">V81/(Q81/60)</f>
        <v>#DIV/0!</v>
      </c>
      <c r="BL81" s="96" t="e">
        <f t="shared" ref="BL81:BL87" si="166">(BJ81*BP81-$BP$5)/(BQ81*BO81*O81)</f>
        <v>#DIV/0!</v>
      </c>
      <c r="BM81" s="135" t="e">
        <f t="shared" ref="BM81:BM87" si="167">(BL81-$D$3)*EXP($BJ$5*R81)</f>
        <v>#DIV/0!</v>
      </c>
      <c r="BN81" s="96" t="e">
        <f t="shared" ref="BN81:BN87" si="168">SQRT(BP81^2*BK81^2+$BQ$5^2)/(BQ81*BO81*O81)</f>
        <v>#DIV/0!</v>
      </c>
      <c r="BO81" s="5" t="e">
        <f t="shared" ref="BO81:BO87" si="169">$BM$5+$BL$5*(K81-2.8)</f>
        <v>#DIV/0!</v>
      </c>
      <c r="BP81" s="5" t="e">
        <f t="shared" ref="BP81:BP87" si="170">$BO$5+$BN$5*(K81-2.8)</f>
        <v>#DIV/0!</v>
      </c>
      <c r="BQ81" s="5">
        <f t="shared" ref="BQ81:BQ122" si="171">$BK$5</f>
        <v>3.9E-2</v>
      </c>
    </row>
    <row r="82" spans="1:80" s="79" customFormat="1">
      <c r="A82" s="144"/>
      <c r="B82" s="139"/>
      <c r="C82" s="47"/>
      <c r="D82" s="47"/>
      <c r="E82" s="47"/>
      <c r="F82" s="47"/>
      <c r="G82" s="47"/>
      <c r="H82" s="47"/>
      <c r="I82" s="47"/>
      <c r="J82" s="47"/>
      <c r="K82" s="143" t="e">
        <f t="shared" si="123"/>
        <v>#DIV/0!</v>
      </c>
      <c r="L82" s="95" t="e">
        <f t="shared" si="124"/>
        <v>#DIV/0!</v>
      </c>
      <c r="M82" s="10" t="e">
        <f t="shared" si="125"/>
        <v>#DIV/0!</v>
      </c>
      <c r="N82" s="96" t="e">
        <f t="shared" si="126"/>
        <v>#DIV/0!</v>
      </c>
      <c r="O82" s="97">
        <f t="shared" si="127"/>
        <v>0</v>
      </c>
      <c r="P82" s="102"/>
      <c r="Q82" s="142"/>
      <c r="R82" s="108">
        <f t="shared" si="121"/>
        <v>-40080</v>
      </c>
      <c r="S82" s="2"/>
      <c r="T82"/>
      <c r="U82"/>
      <c r="V82"/>
      <c r="W82" s="2"/>
      <c r="X82"/>
      <c r="Y82" s="47"/>
      <c r="Z82" s="47"/>
      <c r="AA82" s="47"/>
      <c r="AB82" s="47"/>
      <c r="AC82" s="130" t="e">
        <f t="shared" si="132"/>
        <v>#DIV/0!</v>
      </c>
      <c r="AD82" s="96" t="e">
        <f t="shared" si="133"/>
        <v>#DIV/0!</v>
      </c>
      <c r="AE82" s="96" t="e">
        <f t="shared" si="134"/>
        <v>#DIV/0!</v>
      </c>
      <c r="AF82" s="96" t="e">
        <f t="shared" si="135"/>
        <v>#DIV/0!</v>
      </c>
      <c r="AG82" s="96" t="e">
        <f t="shared" si="136"/>
        <v>#DIV/0!</v>
      </c>
      <c r="AH82" s="96" t="e">
        <f t="shared" si="137"/>
        <v>#DIV/0!</v>
      </c>
      <c r="AI82" s="126" t="e">
        <f t="shared" si="138"/>
        <v>#DIV/0!</v>
      </c>
      <c r="AJ82" s="131">
        <f t="shared" si="139"/>
        <v>4.1000000000000002E-2</v>
      </c>
      <c r="AK82" s="130" t="e">
        <f t="shared" si="140"/>
        <v>#DIV/0!</v>
      </c>
      <c r="AL82" s="96" t="e">
        <f t="shared" si="141"/>
        <v>#DIV/0!</v>
      </c>
      <c r="AM82" s="96" t="e">
        <f t="shared" si="142"/>
        <v>#DIV/0!</v>
      </c>
      <c r="AN82" s="96" t="e">
        <f t="shared" si="143"/>
        <v>#DIV/0!</v>
      </c>
      <c r="AO82" s="4" t="e">
        <f t="shared" si="144"/>
        <v>#DIV/0!</v>
      </c>
      <c r="AP82" s="6" t="e">
        <f t="shared" si="145"/>
        <v>#DIV/0!</v>
      </c>
      <c r="AQ82" s="5">
        <f t="shared" si="146"/>
        <v>0.36599999999999999</v>
      </c>
      <c r="AR82" s="4"/>
      <c r="AS82" s="132" t="e">
        <f t="shared" si="147"/>
        <v>#DIV/0!</v>
      </c>
      <c r="AT82" s="133" t="e">
        <f t="shared" si="148"/>
        <v>#DIV/0!</v>
      </c>
      <c r="AU82" s="133" t="e">
        <f t="shared" si="149"/>
        <v>#DIV/0!</v>
      </c>
      <c r="AV82" s="133" t="e">
        <f t="shared" si="150"/>
        <v>#DIV/0!</v>
      </c>
      <c r="AW82" s="133" t="e">
        <f t="shared" si="151"/>
        <v>#DIV/0!</v>
      </c>
      <c r="AX82" s="5" t="e">
        <f t="shared" si="152"/>
        <v>#DIV/0!</v>
      </c>
      <c r="AY82" s="5" t="e">
        <f t="shared" si="153"/>
        <v>#DIV/0!</v>
      </c>
      <c r="AZ82" s="5">
        <f t="shared" si="154"/>
        <v>0.85199999999999998</v>
      </c>
      <c r="BA82" s="134" t="e">
        <f t="shared" si="155"/>
        <v>#DIV/0!</v>
      </c>
      <c r="BB82" s="133" t="e">
        <f t="shared" si="156"/>
        <v>#DIV/0!</v>
      </c>
      <c r="BC82" s="106" t="e">
        <f t="shared" si="157"/>
        <v>#DIV/0!</v>
      </c>
      <c r="BD82" s="106" t="e">
        <f t="shared" si="158"/>
        <v>#DIV/0!</v>
      </c>
      <c r="BE82" s="133" t="e">
        <f t="shared" si="159"/>
        <v>#DIV/0!</v>
      </c>
      <c r="BF82" s="135" t="e">
        <f t="shared" si="160"/>
        <v>#DIV/0!</v>
      </c>
      <c r="BG82" s="133" t="e">
        <f t="shared" si="161"/>
        <v>#DIV/0!</v>
      </c>
      <c r="BH82" s="135" t="e">
        <f t="shared" si="162"/>
        <v>#DIV/0!</v>
      </c>
      <c r="BI82" s="106">
        <f t="shared" si="163"/>
        <v>0.10390000000000001</v>
      </c>
      <c r="BJ82" s="130" t="e">
        <f t="shared" si="164"/>
        <v>#DIV/0!</v>
      </c>
      <c r="BK82" s="96" t="e">
        <f t="shared" si="165"/>
        <v>#DIV/0!</v>
      </c>
      <c r="BL82" s="96" t="e">
        <f t="shared" si="166"/>
        <v>#DIV/0!</v>
      </c>
      <c r="BM82" s="135" t="e">
        <f t="shared" si="167"/>
        <v>#DIV/0!</v>
      </c>
      <c r="BN82" s="96" t="e">
        <f t="shared" si="168"/>
        <v>#DIV/0!</v>
      </c>
      <c r="BO82" s="5" t="e">
        <f t="shared" si="169"/>
        <v>#DIV/0!</v>
      </c>
      <c r="BP82" s="5" t="e">
        <f t="shared" si="170"/>
        <v>#DIV/0!</v>
      </c>
      <c r="BQ82" s="5">
        <f t="shared" si="171"/>
        <v>3.9E-2</v>
      </c>
    </row>
    <row r="83" spans="1:80" s="106" customFormat="1">
      <c r="A83" s="140"/>
      <c r="B83" s="141"/>
      <c r="C83" s="47"/>
      <c r="D83" s="47"/>
      <c r="E83" s="47"/>
      <c r="F83" s="47"/>
      <c r="G83" s="47"/>
      <c r="H83" s="47"/>
      <c r="I83" s="47"/>
      <c r="J83" s="47"/>
      <c r="K83" s="143" t="e">
        <f t="shared" si="123"/>
        <v>#DIV/0!</v>
      </c>
      <c r="L83" s="95" t="e">
        <f t="shared" si="124"/>
        <v>#DIV/0!</v>
      </c>
      <c r="M83" s="10" t="e">
        <f t="shared" si="125"/>
        <v>#DIV/0!</v>
      </c>
      <c r="N83" s="96" t="e">
        <f t="shared" si="126"/>
        <v>#DIV/0!</v>
      </c>
      <c r="O83" s="97">
        <f t="shared" si="127"/>
        <v>0</v>
      </c>
      <c r="P83" s="102"/>
      <c r="Q83" s="142"/>
      <c r="R83" s="108">
        <f t="shared" si="121"/>
        <v>-40080</v>
      </c>
      <c r="S83" s="2"/>
      <c r="T83"/>
      <c r="U83"/>
      <c r="V83"/>
      <c r="W83" s="2"/>
      <c r="X83"/>
      <c r="Y83" s="47"/>
      <c r="Z83" s="47"/>
      <c r="AA83" s="47"/>
      <c r="AB83" s="47"/>
      <c r="AC83" s="130" t="e">
        <f t="shared" si="132"/>
        <v>#DIV/0!</v>
      </c>
      <c r="AD83" s="96" t="e">
        <f t="shared" si="133"/>
        <v>#DIV/0!</v>
      </c>
      <c r="AE83" s="96" t="e">
        <f t="shared" si="134"/>
        <v>#DIV/0!</v>
      </c>
      <c r="AF83" s="96" t="e">
        <f t="shared" si="135"/>
        <v>#DIV/0!</v>
      </c>
      <c r="AG83" s="96" t="e">
        <f t="shared" si="136"/>
        <v>#DIV/0!</v>
      </c>
      <c r="AH83" s="96" t="e">
        <f t="shared" si="137"/>
        <v>#DIV/0!</v>
      </c>
      <c r="AI83" s="126" t="e">
        <f t="shared" si="138"/>
        <v>#DIV/0!</v>
      </c>
      <c r="AJ83" s="131">
        <f t="shared" si="139"/>
        <v>4.1000000000000002E-2</v>
      </c>
      <c r="AK83" s="130" t="e">
        <f t="shared" si="140"/>
        <v>#DIV/0!</v>
      </c>
      <c r="AL83" s="96" t="e">
        <f t="shared" si="141"/>
        <v>#DIV/0!</v>
      </c>
      <c r="AM83" s="96" t="e">
        <f t="shared" si="142"/>
        <v>#DIV/0!</v>
      </c>
      <c r="AN83" s="96" t="e">
        <f t="shared" si="143"/>
        <v>#DIV/0!</v>
      </c>
      <c r="AO83" s="4" t="e">
        <f t="shared" si="144"/>
        <v>#DIV/0!</v>
      </c>
      <c r="AP83" s="6" t="e">
        <f t="shared" si="145"/>
        <v>#DIV/0!</v>
      </c>
      <c r="AQ83" s="5">
        <f t="shared" si="146"/>
        <v>0.36599999999999999</v>
      </c>
      <c r="AR83" s="4"/>
      <c r="AS83" s="132" t="e">
        <f t="shared" si="147"/>
        <v>#DIV/0!</v>
      </c>
      <c r="AT83" s="133" t="e">
        <f t="shared" si="148"/>
        <v>#DIV/0!</v>
      </c>
      <c r="AU83" s="133" t="e">
        <f t="shared" si="149"/>
        <v>#DIV/0!</v>
      </c>
      <c r="AV83" s="133" t="e">
        <f t="shared" si="150"/>
        <v>#DIV/0!</v>
      </c>
      <c r="AW83" s="133" t="e">
        <f t="shared" si="151"/>
        <v>#DIV/0!</v>
      </c>
      <c r="AX83" s="5" t="e">
        <f t="shared" si="152"/>
        <v>#DIV/0!</v>
      </c>
      <c r="AY83" s="5" t="e">
        <f t="shared" si="153"/>
        <v>#DIV/0!</v>
      </c>
      <c r="AZ83" s="5">
        <f t="shared" si="154"/>
        <v>0.85199999999999998</v>
      </c>
      <c r="BA83" s="134" t="e">
        <f t="shared" si="155"/>
        <v>#DIV/0!</v>
      </c>
      <c r="BB83" s="133" t="e">
        <f t="shared" si="156"/>
        <v>#DIV/0!</v>
      </c>
      <c r="BC83" s="106" t="e">
        <f t="shared" si="157"/>
        <v>#DIV/0!</v>
      </c>
      <c r="BD83" s="106" t="e">
        <f t="shared" si="158"/>
        <v>#DIV/0!</v>
      </c>
      <c r="BE83" s="133" t="e">
        <f t="shared" si="159"/>
        <v>#DIV/0!</v>
      </c>
      <c r="BF83" s="135" t="e">
        <f t="shared" si="160"/>
        <v>#DIV/0!</v>
      </c>
      <c r="BG83" s="133" t="e">
        <f t="shared" si="161"/>
        <v>#DIV/0!</v>
      </c>
      <c r="BH83" s="135" t="e">
        <f t="shared" si="162"/>
        <v>#DIV/0!</v>
      </c>
      <c r="BI83" s="106">
        <f t="shared" si="163"/>
        <v>0.10390000000000001</v>
      </c>
      <c r="BJ83" s="130" t="e">
        <f t="shared" si="164"/>
        <v>#DIV/0!</v>
      </c>
      <c r="BK83" s="96" t="e">
        <f t="shared" si="165"/>
        <v>#DIV/0!</v>
      </c>
      <c r="BL83" s="96" t="e">
        <f t="shared" si="166"/>
        <v>#DIV/0!</v>
      </c>
      <c r="BM83" s="135" t="e">
        <f t="shared" si="167"/>
        <v>#DIV/0!</v>
      </c>
      <c r="BN83" s="96" t="e">
        <f t="shared" si="168"/>
        <v>#DIV/0!</v>
      </c>
      <c r="BO83" s="5" t="e">
        <f t="shared" si="169"/>
        <v>#DIV/0!</v>
      </c>
      <c r="BP83" s="5" t="e">
        <f t="shared" si="170"/>
        <v>#DIV/0!</v>
      </c>
      <c r="BQ83" s="5">
        <f t="shared" si="171"/>
        <v>3.9E-2</v>
      </c>
      <c r="BR83" s="105"/>
      <c r="CA83" s="135" t="e">
        <f>(AE83-AM83)*(EXP($AC$5*R83))</f>
        <v>#DIV/0!</v>
      </c>
      <c r="CB83" s="136">
        <f>EXP(R83*$AC$5)</f>
        <v>3.293726584796787E-2</v>
      </c>
    </row>
    <row r="84" spans="1:80" s="106" customFormat="1" ht="12" customHeight="1">
      <c r="A84" s="144"/>
      <c r="B84" s="139"/>
      <c r="C84" s="47"/>
      <c r="D84" s="47"/>
      <c r="E84" s="47"/>
      <c r="F84" s="47"/>
      <c r="G84" s="47"/>
      <c r="H84" s="47"/>
      <c r="I84" s="47"/>
      <c r="J84" s="47"/>
      <c r="K84" s="143" t="e">
        <f t="shared" si="123"/>
        <v>#DIV/0!</v>
      </c>
      <c r="L84" s="95" t="e">
        <f t="shared" si="124"/>
        <v>#DIV/0!</v>
      </c>
      <c r="M84" s="10" t="e">
        <f t="shared" si="125"/>
        <v>#DIV/0!</v>
      </c>
      <c r="N84" s="96" t="e">
        <f t="shared" si="126"/>
        <v>#DIV/0!</v>
      </c>
      <c r="O84" s="97">
        <f t="shared" si="127"/>
        <v>0</v>
      </c>
      <c r="P84" s="102"/>
      <c r="Q84" s="142"/>
      <c r="R84" s="108">
        <f t="shared" si="121"/>
        <v>-40080</v>
      </c>
      <c r="S84" s="2"/>
      <c r="T84"/>
      <c r="U84"/>
      <c r="V84"/>
      <c r="W84" s="2"/>
      <c r="X84"/>
      <c r="Y84" s="47"/>
      <c r="Z84" s="47"/>
      <c r="AA84" s="47"/>
      <c r="AB84" s="47"/>
      <c r="AC84" s="130" t="e">
        <f t="shared" si="132"/>
        <v>#DIV/0!</v>
      </c>
      <c r="AD84" s="96" t="e">
        <f t="shared" si="133"/>
        <v>#DIV/0!</v>
      </c>
      <c r="AE84" s="96" t="e">
        <f t="shared" si="134"/>
        <v>#DIV/0!</v>
      </c>
      <c r="AF84" s="96" t="e">
        <f t="shared" si="135"/>
        <v>#DIV/0!</v>
      </c>
      <c r="AG84" s="96" t="e">
        <f t="shared" si="136"/>
        <v>#DIV/0!</v>
      </c>
      <c r="AH84" s="96" t="e">
        <f t="shared" si="137"/>
        <v>#DIV/0!</v>
      </c>
      <c r="AI84" s="126" t="e">
        <f t="shared" si="138"/>
        <v>#DIV/0!</v>
      </c>
      <c r="AJ84" s="131">
        <f t="shared" si="139"/>
        <v>4.1000000000000002E-2</v>
      </c>
      <c r="AK84" s="130" t="e">
        <f t="shared" si="140"/>
        <v>#DIV/0!</v>
      </c>
      <c r="AL84" s="96" t="e">
        <f t="shared" si="141"/>
        <v>#DIV/0!</v>
      </c>
      <c r="AM84" s="96" t="e">
        <f t="shared" si="142"/>
        <v>#DIV/0!</v>
      </c>
      <c r="AN84" s="96" t="e">
        <f t="shared" si="143"/>
        <v>#DIV/0!</v>
      </c>
      <c r="AO84" s="4" t="e">
        <f t="shared" si="144"/>
        <v>#DIV/0!</v>
      </c>
      <c r="AP84" s="6" t="e">
        <f t="shared" si="145"/>
        <v>#DIV/0!</v>
      </c>
      <c r="AQ84" s="5">
        <f t="shared" si="146"/>
        <v>0.36599999999999999</v>
      </c>
      <c r="AR84" s="4"/>
      <c r="AS84" s="132" t="e">
        <f t="shared" si="147"/>
        <v>#DIV/0!</v>
      </c>
      <c r="AT84" s="133" t="e">
        <f t="shared" si="148"/>
        <v>#DIV/0!</v>
      </c>
      <c r="AU84" s="133" t="e">
        <f t="shared" si="149"/>
        <v>#DIV/0!</v>
      </c>
      <c r="AV84" s="133" t="e">
        <f t="shared" si="150"/>
        <v>#DIV/0!</v>
      </c>
      <c r="AW84" s="133" t="e">
        <f t="shared" si="151"/>
        <v>#DIV/0!</v>
      </c>
      <c r="AX84" s="5" t="e">
        <f t="shared" si="152"/>
        <v>#DIV/0!</v>
      </c>
      <c r="AY84" s="5" t="e">
        <f t="shared" si="153"/>
        <v>#DIV/0!</v>
      </c>
      <c r="AZ84" s="5">
        <f t="shared" si="154"/>
        <v>0.85199999999999998</v>
      </c>
      <c r="BA84" s="134" t="e">
        <f t="shared" si="155"/>
        <v>#DIV/0!</v>
      </c>
      <c r="BB84" s="133" t="e">
        <f t="shared" si="156"/>
        <v>#DIV/0!</v>
      </c>
      <c r="BC84" s="106" t="e">
        <f t="shared" si="157"/>
        <v>#DIV/0!</v>
      </c>
      <c r="BD84" s="106" t="e">
        <f t="shared" si="158"/>
        <v>#DIV/0!</v>
      </c>
      <c r="BE84" s="133" t="e">
        <f t="shared" si="159"/>
        <v>#DIV/0!</v>
      </c>
      <c r="BF84" s="135" t="e">
        <f t="shared" si="160"/>
        <v>#DIV/0!</v>
      </c>
      <c r="BG84" s="133" t="e">
        <f t="shared" si="161"/>
        <v>#DIV/0!</v>
      </c>
      <c r="BH84" s="135" t="e">
        <f t="shared" si="162"/>
        <v>#DIV/0!</v>
      </c>
      <c r="BI84" s="106">
        <f t="shared" si="163"/>
        <v>0.10390000000000001</v>
      </c>
      <c r="BJ84" s="130" t="e">
        <f t="shared" si="164"/>
        <v>#DIV/0!</v>
      </c>
      <c r="BK84" s="96" t="e">
        <f t="shared" si="165"/>
        <v>#DIV/0!</v>
      </c>
      <c r="BL84" s="96" t="e">
        <f t="shared" si="166"/>
        <v>#DIV/0!</v>
      </c>
      <c r="BM84" s="135" t="e">
        <f t="shared" si="167"/>
        <v>#DIV/0!</v>
      </c>
      <c r="BN84" s="96" t="e">
        <f t="shared" si="168"/>
        <v>#DIV/0!</v>
      </c>
      <c r="BO84" s="5" t="e">
        <f t="shared" si="169"/>
        <v>#DIV/0!</v>
      </c>
      <c r="BP84" s="5" t="e">
        <f t="shared" si="170"/>
        <v>#DIV/0!</v>
      </c>
      <c r="BQ84" s="5">
        <f t="shared" si="171"/>
        <v>3.9E-2</v>
      </c>
      <c r="BR84" s="105"/>
      <c r="CA84" s="135"/>
      <c r="CB84" s="136"/>
    </row>
    <row r="85" spans="1:80">
      <c r="A85" s="139"/>
      <c r="B85" s="139"/>
      <c r="K85" s="143" t="e">
        <f t="shared" si="123"/>
        <v>#DIV/0!</v>
      </c>
      <c r="L85" s="95" t="e">
        <f t="shared" si="124"/>
        <v>#DIV/0!</v>
      </c>
      <c r="M85" s="10" t="e">
        <f t="shared" si="125"/>
        <v>#DIV/0!</v>
      </c>
      <c r="N85" s="96" t="e">
        <f t="shared" si="126"/>
        <v>#DIV/0!</v>
      </c>
      <c r="O85" s="97">
        <f t="shared" si="127"/>
        <v>0</v>
      </c>
      <c r="Q85" s="142"/>
      <c r="R85" s="108">
        <f t="shared" si="121"/>
        <v>-40080</v>
      </c>
      <c r="S85" s="2"/>
      <c r="T85"/>
      <c r="U85"/>
      <c r="V85"/>
      <c r="W85" s="2"/>
      <c r="X85"/>
      <c r="AC85" s="130" t="e">
        <f t="shared" si="132"/>
        <v>#DIV/0!</v>
      </c>
      <c r="AD85" s="96" t="e">
        <f t="shared" si="133"/>
        <v>#DIV/0!</v>
      </c>
      <c r="AE85" s="96" t="e">
        <f t="shared" si="134"/>
        <v>#DIV/0!</v>
      </c>
      <c r="AF85" s="96" t="e">
        <f t="shared" si="135"/>
        <v>#DIV/0!</v>
      </c>
      <c r="AG85" s="96" t="e">
        <f t="shared" si="136"/>
        <v>#DIV/0!</v>
      </c>
      <c r="AH85" s="96" t="e">
        <f t="shared" si="137"/>
        <v>#DIV/0!</v>
      </c>
      <c r="AI85" s="126" t="e">
        <f t="shared" si="138"/>
        <v>#DIV/0!</v>
      </c>
      <c r="AJ85" s="131">
        <f t="shared" si="139"/>
        <v>4.1000000000000002E-2</v>
      </c>
      <c r="AK85" s="130" t="e">
        <f t="shared" si="140"/>
        <v>#DIV/0!</v>
      </c>
      <c r="AL85" s="96" t="e">
        <f t="shared" si="141"/>
        <v>#DIV/0!</v>
      </c>
      <c r="AM85" s="96" t="e">
        <f t="shared" si="142"/>
        <v>#DIV/0!</v>
      </c>
      <c r="AN85" s="96" t="e">
        <f t="shared" si="143"/>
        <v>#DIV/0!</v>
      </c>
      <c r="AO85" s="4" t="e">
        <f t="shared" si="144"/>
        <v>#DIV/0!</v>
      </c>
      <c r="AP85" s="6" t="e">
        <f t="shared" si="145"/>
        <v>#DIV/0!</v>
      </c>
      <c r="AQ85" s="5">
        <f t="shared" si="146"/>
        <v>0.36599999999999999</v>
      </c>
      <c r="AR85" s="4"/>
      <c r="AS85" s="132" t="e">
        <f t="shared" si="147"/>
        <v>#DIV/0!</v>
      </c>
      <c r="AT85" s="133" t="e">
        <f t="shared" si="148"/>
        <v>#DIV/0!</v>
      </c>
      <c r="AU85" s="133" t="e">
        <f t="shared" si="149"/>
        <v>#DIV/0!</v>
      </c>
      <c r="AV85" s="133" t="e">
        <f t="shared" si="150"/>
        <v>#DIV/0!</v>
      </c>
      <c r="AW85" s="133" t="e">
        <f t="shared" si="151"/>
        <v>#DIV/0!</v>
      </c>
      <c r="AX85" s="5" t="e">
        <f t="shared" si="152"/>
        <v>#DIV/0!</v>
      </c>
      <c r="AY85" s="5" t="e">
        <f t="shared" si="153"/>
        <v>#DIV/0!</v>
      </c>
      <c r="AZ85" s="5">
        <f t="shared" si="154"/>
        <v>0.85199999999999998</v>
      </c>
      <c r="BA85" s="134" t="e">
        <f t="shared" si="155"/>
        <v>#DIV/0!</v>
      </c>
      <c r="BB85" s="133" t="e">
        <f t="shared" si="156"/>
        <v>#DIV/0!</v>
      </c>
      <c r="BC85" s="106" t="e">
        <f t="shared" si="157"/>
        <v>#DIV/0!</v>
      </c>
      <c r="BD85" s="106" t="e">
        <f t="shared" si="158"/>
        <v>#DIV/0!</v>
      </c>
      <c r="BE85" s="133" t="e">
        <f t="shared" si="159"/>
        <v>#DIV/0!</v>
      </c>
      <c r="BF85" s="135" t="e">
        <f t="shared" si="160"/>
        <v>#DIV/0!</v>
      </c>
      <c r="BG85" s="133" t="e">
        <f t="shared" si="161"/>
        <v>#DIV/0!</v>
      </c>
      <c r="BH85" s="135" t="e">
        <f t="shared" si="162"/>
        <v>#DIV/0!</v>
      </c>
      <c r="BI85" s="106">
        <f t="shared" si="163"/>
        <v>0.10390000000000001</v>
      </c>
      <c r="BJ85" s="130" t="e">
        <f t="shared" si="164"/>
        <v>#DIV/0!</v>
      </c>
      <c r="BK85" s="96" t="e">
        <f t="shared" si="165"/>
        <v>#DIV/0!</v>
      </c>
      <c r="BL85" s="96" t="e">
        <f t="shared" si="166"/>
        <v>#DIV/0!</v>
      </c>
      <c r="BM85" s="135" t="e">
        <f t="shared" si="167"/>
        <v>#DIV/0!</v>
      </c>
      <c r="BN85" s="96" t="e">
        <f t="shared" si="168"/>
        <v>#DIV/0!</v>
      </c>
      <c r="BO85" s="5" t="e">
        <f t="shared" si="169"/>
        <v>#DIV/0!</v>
      </c>
      <c r="BP85" s="5" t="e">
        <f t="shared" si="170"/>
        <v>#DIV/0!</v>
      </c>
      <c r="BQ85" s="5">
        <f t="shared" si="171"/>
        <v>3.9E-2</v>
      </c>
    </row>
    <row r="86" spans="1:80">
      <c r="A86" s="139"/>
      <c r="B86" s="139"/>
      <c r="K86" s="143" t="e">
        <f t="shared" si="123"/>
        <v>#DIV/0!</v>
      </c>
      <c r="L86" s="95" t="e">
        <f t="shared" si="124"/>
        <v>#DIV/0!</v>
      </c>
      <c r="M86" s="10" t="e">
        <f t="shared" si="125"/>
        <v>#DIV/0!</v>
      </c>
      <c r="N86" s="96" t="e">
        <f t="shared" si="126"/>
        <v>#DIV/0!</v>
      </c>
      <c r="O86" s="97">
        <f t="shared" si="127"/>
        <v>0</v>
      </c>
      <c r="Q86" s="142"/>
      <c r="R86" s="108">
        <f t="shared" si="121"/>
        <v>-40080</v>
      </c>
      <c r="S86" s="2"/>
      <c r="T86"/>
      <c r="U86"/>
      <c r="V86"/>
      <c r="W86" s="2"/>
      <c r="X86"/>
      <c r="AC86" s="130" t="e">
        <f t="shared" si="132"/>
        <v>#DIV/0!</v>
      </c>
      <c r="AD86" s="96" t="e">
        <f t="shared" si="133"/>
        <v>#DIV/0!</v>
      </c>
      <c r="AE86" s="96" t="e">
        <f t="shared" si="134"/>
        <v>#DIV/0!</v>
      </c>
      <c r="AF86" s="96" t="e">
        <f t="shared" si="135"/>
        <v>#DIV/0!</v>
      </c>
      <c r="AG86" s="96" t="e">
        <f t="shared" si="136"/>
        <v>#DIV/0!</v>
      </c>
      <c r="AH86" s="96" t="e">
        <f t="shared" si="137"/>
        <v>#DIV/0!</v>
      </c>
      <c r="AI86" s="126" t="e">
        <f t="shared" si="138"/>
        <v>#DIV/0!</v>
      </c>
      <c r="AJ86" s="131">
        <f t="shared" si="139"/>
        <v>4.1000000000000002E-2</v>
      </c>
      <c r="AK86" s="130" t="e">
        <f t="shared" si="140"/>
        <v>#DIV/0!</v>
      </c>
      <c r="AL86" s="96" t="e">
        <f t="shared" si="141"/>
        <v>#DIV/0!</v>
      </c>
      <c r="AM86" s="96" t="e">
        <f t="shared" si="142"/>
        <v>#DIV/0!</v>
      </c>
      <c r="AN86" s="96" t="e">
        <f t="shared" si="143"/>
        <v>#DIV/0!</v>
      </c>
      <c r="AO86" s="4" t="e">
        <f t="shared" si="144"/>
        <v>#DIV/0!</v>
      </c>
      <c r="AP86" s="6" t="e">
        <f t="shared" si="145"/>
        <v>#DIV/0!</v>
      </c>
      <c r="AQ86" s="5">
        <f t="shared" si="146"/>
        <v>0.36599999999999999</v>
      </c>
      <c r="AR86" s="4"/>
      <c r="AS86" s="132" t="e">
        <f t="shared" si="147"/>
        <v>#DIV/0!</v>
      </c>
      <c r="AT86" s="133" t="e">
        <f t="shared" si="148"/>
        <v>#DIV/0!</v>
      </c>
      <c r="AU86" s="133" t="e">
        <f t="shared" si="149"/>
        <v>#DIV/0!</v>
      </c>
      <c r="AV86" s="133" t="e">
        <f t="shared" si="150"/>
        <v>#DIV/0!</v>
      </c>
      <c r="AW86" s="133" t="e">
        <f t="shared" si="151"/>
        <v>#DIV/0!</v>
      </c>
      <c r="AX86" s="5" t="e">
        <f t="shared" si="152"/>
        <v>#DIV/0!</v>
      </c>
      <c r="AY86" s="5" t="e">
        <f t="shared" si="153"/>
        <v>#DIV/0!</v>
      </c>
      <c r="AZ86" s="5">
        <f t="shared" si="154"/>
        <v>0.85199999999999998</v>
      </c>
      <c r="BA86" s="134" t="e">
        <f t="shared" si="155"/>
        <v>#DIV/0!</v>
      </c>
      <c r="BB86" s="133" t="e">
        <f t="shared" si="156"/>
        <v>#DIV/0!</v>
      </c>
      <c r="BC86" s="106" t="e">
        <f t="shared" si="157"/>
        <v>#DIV/0!</v>
      </c>
      <c r="BD86" s="106" t="e">
        <f t="shared" si="158"/>
        <v>#DIV/0!</v>
      </c>
      <c r="BE86" s="133" t="e">
        <f t="shared" si="159"/>
        <v>#DIV/0!</v>
      </c>
      <c r="BF86" s="135" t="e">
        <f t="shared" si="160"/>
        <v>#DIV/0!</v>
      </c>
      <c r="BG86" s="133" t="e">
        <f t="shared" si="161"/>
        <v>#DIV/0!</v>
      </c>
      <c r="BH86" s="135" t="e">
        <f t="shared" si="162"/>
        <v>#DIV/0!</v>
      </c>
      <c r="BI86" s="106">
        <f t="shared" si="163"/>
        <v>0.10390000000000001</v>
      </c>
      <c r="BJ86" s="130" t="e">
        <f t="shared" si="164"/>
        <v>#DIV/0!</v>
      </c>
      <c r="BK86" s="96" t="e">
        <f t="shared" si="165"/>
        <v>#DIV/0!</v>
      </c>
      <c r="BL86" s="96" t="e">
        <f t="shared" si="166"/>
        <v>#DIV/0!</v>
      </c>
      <c r="BM86" s="135" t="e">
        <f t="shared" si="167"/>
        <v>#DIV/0!</v>
      </c>
      <c r="BN86" s="96" t="e">
        <f t="shared" si="168"/>
        <v>#DIV/0!</v>
      </c>
      <c r="BO86" s="5" t="e">
        <f t="shared" si="169"/>
        <v>#DIV/0!</v>
      </c>
      <c r="BP86" s="5" t="e">
        <f t="shared" si="170"/>
        <v>#DIV/0!</v>
      </c>
      <c r="BQ86" s="5">
        <f t="shared" si="171"/>
        <v>3.9E-2</v>
      </c>
    </row>
    <row r="87" spans="1:80">
      <c r="A87" s="139"/>
      <c r="B87" s="139"/>
      <c r="K87" s="143" t="e">
        <f t="shared" si="123"/>
        <v>#DIV/0!</v>
      </c>
      <c r="L87" s="95" t="e">
        <f t="shared" si="124"/>
        <v>#DIV/0!</v>
      </c>
      <c r="M87" s="10" t="e">
        <f t="shared" si="125"/>
        <v>#DIV/0!</v>
      </c>
      <c r="N87" s="96" t="e">
        <f t="shared" si="126"/>
        <v>#DIV/0!</v>
      </c>
      <c r="O87" s="97">
        <f t="shared" si="127"/>
        <v>0</v>
      </c>
      <c r="Q87" s="142"/>
      <c r="R87" s="108">
        <f t="shared" si="121"/>
        <v>-40080</v>
      </c>
      <c r="S87" s="2"/>
      <c r="T87"/>
      <c r="U87"/>
      <c r="V87"/>
      <c r="W87" s="2"/>
      <c r="X87"/>
      <c r="AC87" s="130" t="e">
        <f t="shared" si="132"/>
        <v>#DIV/0!</v>
      </c>
      <c r="AD87" s="96" t="e">
        <f t="shared" si="133"/>
        <v>#DIV/0!</v>
      </c>
      <c r="AE87" s="96" t="e">
        <f t="shared" si="134"/>
        <v>#DIV/0!</v>
      </c>
      <c r="AF87" s="96" t="e">
        <f t="shared" si="135"/>
        <v>#DIV/0!</v>
      </c>
      <c r="AG87" s="96" t="e">
        <f t="shared" si="136"/>
        <v>#DIV/0!</v>
      </c>
      <c r="AH87" s="96" t="e">
        <f t="shared" si="137"/>
        <v>#DIV/0!</v>
      </c>
      <c r="AI87" s="126" t="e">
        <f t="shared" si="138"/>
        <v>#DIV/0!</v>
      </c>
      <c r="AJ87" s="131">
        <f t="shared" si="139"/>
        <v>4.1000000000000002E-2</v>
      </c>
      <c r="AK87" s="130" t="e">
        <f t="shared" si="140"/>
        <v>#DIV/0!</v>
      </c>
      <c r="AL87" s="96" t="e">
        <f t="shared" si="141"/>
        <v>#DIV/0!</v>
      </c>
      <c r="AM87" s="96" t="e">
        <f t="shared" si="142"/>
        <v>#DIV/0!</v>
      </c>
      <c r="AN87" s="96" t="e">
        <f t="shared" si="143"/>
        <v>#DIV/0!</v>
      </c>
      <c r="AO87" s="4" t="e">
        <f t="shared" si="144"/>
        <v>#DIV/0!</v>
      </c>
      <c r="AP87" s="6" t="e">
        <f t="shared" si="145"/>
        <v>#DIV/0!</v>
      </c>
      <c r="AQ87" s="5">
        <f t="shared" si="146"/>
        <v>0.36599999999999999</v>
      </c>
      <c r="AR87" s="4"/>
      <c r="AS87" s="132" t="e">
        <f t="shared" si="147"/>
        <v>#DIV/0!</v>
      </c>
      <c r="AT87" s="133" t="e">
        <f t="shared" si="148"/>
        <v>#DIV/0!</v>
      </c>
      <c r="AU87" s="133" t="e">
        <f t="shared" si="149"/>
        <v>#DIV/0!</v>
      </c>
      <c r="AV87" s="133" t="e">
        <f t="shared" si="150"/>
        <v>#DIV/0!</v>
      </c>
      <c r="AW87" s="133" t="e">
        <f t="shared" si="151"/>
        <v>#DIV/0!</v>
      </c>
      <c r="AX87" s="5" t="e">
        <f t="shared" si="152"/>
        <v>#DIV/0!</v>
      </c>
      <c r="AY87" s="5" t="e">
        <f t="shared" si="153"/>
        <v>#DIV/0!</v>
      </c>
      <c r="AZ87" s="5">
        <f t="shared" si="154"/>
        <v>0.85199999999999998</v>
      </c>
      <c r="BA87" s="134" t="e">
        <f t="shared" si="155"/>
        <v>#DIV/0!</v>
      </c>
      <c r="BB87" s="133" t="e">
        <f t="shared" si="156"/>
        <v>#DIV/0!</v>
      </c>
      <c r="BC87" s="106" t="e">
        <f t="shared" si="157"/>
        <v>#DIV/0!</v>
      </c>
      <c r="BD87" s="106" t="e">
        <f t="shared" si="158"/>
        <v>#DIV/0!</v>
      </c>
      <c r="BE87" s="133" t="e">
        <f t="shared" si="159"/>
        <v>#DIV/0!</v>
      </c>
      <c r="BF87" s="135" t="e">
        <f t="shared" si="160"/>
        <v>#DIV/0!</v>
      </c>
      <c r="BG87" s="133" t="e">
        <f t="shared" si="161"/>
        <v>#DIV/0!</v>
      </c>
      <c r="BH87" s="135" t="e">
        <f t="shared" si="162"/>
        <v>#DIV/0!</v>
      </c>
      <c r="BI87" s="106">
        <f t="shared" si="163"/>
        <v>0.10390000000000001</v>
      </c>
      <c r="BJ87" s="130" t="e">
        <f t="shared" si="164"/>
        <v>#DIV/0!</v>
      </c>
      <c r="BK87" s="96" t="e">
        <f t="shared" si="165"/>
        <v>#DIV/0!</v>
      </c>
      <c r="BL87" s="96" t="e">
        <f t="shared" si="166"/>
        <v>#DIV/0!</v>
      </c>
      <c r="BM87" s="135" t="e">
        <f t="shared" si="167"/>
        <v>#DIV/0!</v>
      </c>
      <c r="BN87" s="96" t="e">
        <f t="shared" si="168"/>
        <v>#DIV/0!</v>
      </c>
      <c r="BO87" s="5" t="e">
        <f t="shared" si="169"/>
        <v>#DIV/0!</v>
      </c>
      <c r="BP87" s="5" t="e">
        <f t="shared" si="170"/>
        <v>#DIV/0!</v>
      </c>
      <c r="BQ87" s="5">
        <f t="shared" si="171"/>
        <v>3.9E-2</v>
      </c>
      <c r="CB87" s="47">
        <f t="shared" si="120"/>
        <v>3.293726584796787E-2</v>
      </c>
    </row>
    <row r="88" spans="1:80">
      <c r="A88" s="139"/>
      <c r="B88" s="139"/>
      <c r="K88" s="143" t="e">
        <f t="shared" si="123"/>
        <v>#DIV/0!</v>
      </c>
      <c r="L88" s="95" t="e">
        <f t="shared" si="124"/>
        <v>#DIV/0!</v>
      </c>
      <c r="M88" s="10" t="e">
        <f t="shared" si="125"/>
        <v>#DIV/0!</v>
      </c>
      <c r="N88" s="96" t="e">
        <f t="shared" si="126"/>
        <v>#DIV/0!</v>
      </c>
      <c r="O88" s="97">
        <f t="shared" si="127"/>
        <v>0</v>
      </c>
      <c r="Q88" s="142"/>
      <c r="R88" s="108">
        <f t="shared" si="121"/>
        <v>-40080</v>
      </c>
      <c r="S88" s="2"/>
      <c r="T88"/>
      <c r="U88"/>
      <c r="V88"/>
      <c r="W88" s="2"/>
      <c r="X88"/>
      <c r="AC88" s="130" t="e">
        <f t="shared" ref="AC88:AC122" si="172">S88/(Q88/60)</f>
        <v>#DIV/0!</v>
      </c>
      <c r="AD88" s="96" t="e">
        <f t="shared" ref="AD88:AD122" si="173">T88/(Q88/60)</f>
        <v>#DIV/0!</v>
      </c>
      <c r="AE88" s="96" t="e">
        <f t="shared" ref="AE88:AE122" si="174">(AC88*AI88-$AI$5)/(AJ88*AH88*O88)</f>
        <v>#DIV/0!</v>
      </c>
      <c r="AF88" s="96" t="e">
        <f t="shared" ref="AF88:AF122" si="175">(AE88*(EXP(0.000085158*R88)))</f>
        <v>#DIV/0!</v>
      </c>
      <c r="AG88" s="96" t="e">
        <f t="shared" ref="AG88:AG122" si="176">SQRT(AI88^2*AD88^2+$AJ$5^2)/(AJ88*AH88*O88)</f>
        <v>#DIV/0!</v>
      </c>
      <c r="AH88" s="96" t="e">
        <f t="shared" ref="AH88:AH122" si="177">$AF$5+$AE$5*(K88-2.8)</f>
        <v>#DIV/0!</v>
      </c>
      <c r="AI88" s="126" t="e">
        <f t="shared" ref="AI88:AI122" si="178">$AH$5+$AG$5*(K88-2.8)</f>
        <v>#DIV/0!</v>
      </c>
      <c r="AJ88" s="131">
        <f t="shared" si="139"/>
        <v>4.1000000000000002E-2</v>
      </c>
      <c r="AK88" s="130" t="e">
        <f t="shared" ref="AK88:AK122" si="179">W88/(Q88/60)</f>
        <v>#DIV/0!</v>
      </c>
      <c r="AL88" s="96" t="e">
        <f t="shared" ref="AL88:AL122" si="180">X88/(Q88/60)</f>
        <v>#DIV/0!</v>
      </c>
      <c r="AM88" s="96" t="e">
        <f t="shared" ref="AM88:AM122" si="181">(AK88*AP88-$AQ$5)/(AQ88*AO88*O88)</f>
        <v>#DIV/0!</v>
      </c>
      <c r="AN88" s="96" t="e">
        <f t="shared" ref="AN88:AN122" si="182">SQRT(AP88^2*AL88^2+$AR$5^2)/(AQ88*AO88*O88)</f>
        <v>#DIV/0!</v>
      </c>
      <c r="AO88" s="4" t="e">
        <f t="shared" ref="AO88:AO122" si="183">$AN$5+$AM$5*(K88-2.8)</f>
        <v>#DIV/0!</v>
      </c>
      <c r="AP88" s="6" t="e">
        <f t="shared" ref="AP88:AP122" si="184">$AP$5+$AO$5*(K88-2.8)</f>
        <v>#DIV/0!</v>
      </c>
      <c r="AQ88" s="5">
        <f t="shared" si="146"/>
        <v>0.36599999999999999</v>
      </c>
      <c r="AR88" s="4"/>
      <c r="AS88" s="132" t="e">
        <f t="shared" ref="AS88:AS122" si="185">AA88/(Q88/60)</f>
        <v>#DIV/0!</v>
      </c>
      <c r="AT88" s="133" t="e">
        <f t="shared" ref="AT88:AT122" si="186">AB88/(Q88/60)</f>
        <v>#DIV/0!</v>
      </c>
      <c r="AU88" s="133" t="e">
        <f t="shared" ref="AU88:AU122" si="187">(AS88*AY88-$AY$5)/(AZ88*AX88*O88)</f>
        <v>#DIV/0!</v>
      </c>
      <c r="AV88" s="133" t="e">
        <f t="shared" ref="AV88:AV122" si="188">AU88*EXP((0.0000629444)*(R88))</f>
        <v>#DIV/0!</v>
      </c>
      <c r="AW88" s="133" t="e">
        <f t="shared" ref="AW88:AW122" si="189">SQRT(AY88^2*AT88^2+$AY$5^2)/(AZ88*AX88*O88)</f>
        <v>#DIV/0!</v>
      </c>
      <c r="AX88" s="5" t="e">
        <f t="shared" ref="AX88:AX122" si="190">$AU$5+$AV$5*(K88-2.8)</f>
        <v>#DIV/0!</v>
      </c>
      <c r="AY88" s="5" t="e">
        <f t="shared" ref="AY88:AY122" si="191">$AW$5+$AX$5*(K88-2.8)</f>
        <v>#DIV/0!</v>
      </c>
      <c r="AZ88" s="5">
        <f t="shared" si="154"/>
        <v>0.85199999999999998</v>
      </c>
      <c r="BA88" s="134" t="e">
        <f t="shared" ref="BA88:BA122" si="192">Y88/(Q88/60)</f>
        <v>#DIV/0!</v>
      </c>
      <c r="BB88" s="133" t="e">
        <f t="shared" ref="BB88:BB122" si="193">Z88/(Q88/60)</f>
        <v>#DIV/0!</v>
      </c>
      <c r="BC88" s="106" t="e">
        <f t="shared" ref="BC88:BC122" si="194">(BA88*BH88-$BG$5)/(BI88*BG88*O88)</f>
        <v>#DIV/0!</v>
      </c>
      <c r="BD88" s="106" t="e">
        <f t="shared" ref="BD88:BD122" si="195">SQRT(BH88^2*BB88^2+$BH$5^2)/(BI88*BG88*O88)</f>
        <v>#DIV/0!</v>
      </c>
      <c r="BE88" s="133" t="e">
        <f t="shared" ref="BE88:BE122" si="196">BC88*EXP(0.01300464*R88)</f>
        <v>#DIV/0!</v>
      </c>
      <c r="BF88" s="135" t="e">
        <f t="shared" ref="BF88:BF122" si="197">BD88*EXP(0.01300464*R88)</f>
        <v>#DIV/0!</v>
      </c>
      <c r="BG88" s="133" t="e">
        <f t="shared" ref="BG88:BG122" si="198">$BD$5+$BC$5*(K88-2.8)</f>
        <v>#DIV/0!</v>
      </c>
      <c r="BH88" s="135" t="e">
        <f t="shared" ref="BH88:BH122" si="199">$BF$5+$BE$5*(K88-2.8)</f>
        <v>#DIV/0!</v>
      </c>
      <c r="BI88" s="106">
        <f t="shared" si="163"/>
        <v>0.10390000000000001</v>
      </c>
      <c r="BJ88" s="130" t="e">
        <f t="shared" ref="BJ88:BJ122" si="200">U88/(Q88/60)</f>
        <v>#DIV/0!</v>
      </c>
      <c r="BK88" s="96" t="e">
        <f t="shared" ref="BK88:BK122" si="201">V88/(Q88/60)</f>
        <v>#DIV/0!</v>
      </c>
      <c r="BL88" s="96" t="e">
        <f t="shared" ref="BL88:BL122" si="202">(BJ88*BP88-$BP$5)/(BQ88*BO88*O88)</f>
        <v>#DIV/0!</v>
      </c>
      <c r="BM88" s="135" t="e">
        <f t="shared" ref="BM88:BM122" si="203">(BL88-$D$3)*EXP($BJ$5*R88)</f>
        <v>#DIV/0!</v>
      </c>
      <c r="BN88" s="96" t="e">
        <f t="shared" ref="BN88:BN122" si="204">SQRT(BP88^2*BK88^2+$BQ$5^2)/(BQ88*BO88*O88)</f>
        <v>#DIV/0!</v>
      </c>
      <c r="BO88" s="5" t="e">
        <f t="shared" ref="BO88:BO122" si="205">$BM$5+$BL$5*(K88-2.8)</f>
        <v>#DIV/0!</v>
      </c>
      <c r="BP88" s="5" t="e">
        <f t="shared" ref="BP88:BP122" si="206">$BO$5+$BN$5*(K88-2.8)</f>
        <v>#DIV/0!</v>
      </c>
      <c r="BQ88" s="5">
        <f t="shared" si="171"/>
        <v>3.9E-2</v>
      </c>
      <c r="CB88" s="47">
        <f t="shared" si="120"/>
        <v>3.293726584796787E-2</v>
      </c>
    </row>
    <row r="89" spans="1:80">
      <c r="A89" s="139"/>
      <c r="B89" s="139"/>
      <c r="K89" s="143" t="e">
        <f t="shared" si="123"/>
        <v>#DIV/0!</v>
      </c>
      <c r="L89" s="95" t="e">
        <f t="shared" si="124"/>
        <v>#DIV/0!</v>
      </c>
      <c r="M89" s="10" t="e">
        <f t="shared" si="125"/>
        <v>#DIV/0!</v>
      </c>
      <c r="N89" s="96" t="e">
        <f t="shared" si="126"/>
        <v>#DIV/0!</v>
      </c>
      <c r="O89" s="97">
        <f t="shared" si="127"/>
        <v>0</v>
      </c>
      <c r="Q89" s="142"/>
      <c r="R89" s="108">
        <f t="shared" si="121"/>
        <v>-40080</v>
      </c>
      <c r="S89" s="2"/>
      <c r="T89"/>
      <c r="U89"/>
      <c r="V89"/>
      <c r="W89" s="2"/>
      <c r="X89"/>
      <c r="AC89" s="130" t="e">
        <f t="shared" si="172"/>
        <v>#DIV/0!</v>
      </c>
      <c r="AD89" s="96" t="e">
        <f t="shared" si="173"/>
        <v>#DIV/0!</v>
      </c>
      <c r="AE89" s="96" t="e">
        <f t="shared" si="174"/>
        <v>#DIV/0!</v>
      </c>
      <c r="AF89" s="96" t="e">
        <f t="shared" si="175"/>
        <v>#DIV/0!</v>
      </c>
      <c r="AG89" s="96" t="e">
        <f t="shared" si="176"/>
        <v>#DIV/0!</v>
      </c>
      <c r="AH89" s="96" t="e">
        <f t="shared" si="177"/>
        <v>#DIV/0!</v>
      </c>
      <c r="AI89" s="126" t="e">
        <f t="shared" si="178"/>
        <v>#DIV/0!</v>
      </c>
      <c r="AJ89" s="131">
        <f t="shared" si="139"/>
        <v>4.1000000000000002E-2</v>
      </c>
      <c r="AK89" s="130" t="e">
        <f t="shared" si="179"/>
        <v>#DIV/0!</v>
      </c>
      <c r="AL89" s="96" t="e">
        <f t="shared" si="180"/>
        <v>#DIV/0!</v>
      </c>
      <c r="AM89" s="96" t="e">
        <f t="shared" si="181"/>
        <v>#DIV/0!</v>
      </c>
      <c r="AN89" s="96" t="e">
        <f t="shared" si="182"/>
        <v>#DIV/0!</v>
      </c>
      <c r="AO89" s="4" t="e">
        <f t="shared" si="183"/>
        <v>#DIV/0!</v>
      </c>
      <c r="AP89" s="6" t="e">
        <f t="shared" si="184"/>
        <v>#DIV/0!</v>
      </c>
      <c r="AQ89" s="5">
        <f t="shared" si="146"/>
        <v>0.36599999999999999</v>
      </c>
      <c r="AR89" s="4"/>
      <c r="AS89" s="132" t="e">
        <f t="shared" si="185"/>
        <v>#DIV/0!</v>
      </c>
      <c r="AT89" s="133" t="e">
        <f t="shared" si="186"/>
        <v>#DIV/0!</v>
      </c>
      <c r="AU89" s="133" t="e">
        <f t="shared" si="187"/>
        <v>#DIV/0!</v>
      </c>
      <c r="AV89" s="133" t="e">
        <f t="shared" si="188"/>
        <v>#DIV/0!</v>
      </c>
      <c r="AW89" s="133" t="e">
        <f t="shared" si="189"/>
        <v>#DIV/0!</v>
      </c>
      <c r="AX89" s="5" t="e">
        <f t="shared" si="190"/>
        <v>#DIV/0!</v>
      </c>
      <c r="AY89" s="5" t="e">
        <f t="shared" si="191"/>
        <v>#DIV/0!</v>
      </c>
      <c r="AZ89" s="5">
        <f t="shared" si="154"/>
        <v>0.85199999999999998</v>
      </c>
      <c r="BA89" s="134" t="e">
        <f t="shared" si="192"/>
        <v>#DIV/0!</v>
      </c>
      <c r="BB89" s="133" t="e">
        <f t="shared" si="193"/>
        <v>#DIV/0!</v>
      </c>
      <c r="BC89" s="106" t="e">
        <f t="shared" si="194"/>
        <v>#DIV/0!</v>
      </c>
      <c r="BD89" s="106" t="e">
        <f t="shared" si="195"/>
        <v>#DIV/0!</v>
      </c>
      <c r="BE89" s="133" t="e">
        <f t="shared" si="196"/>
        <v>#DIV/0!</v>
      </c>
      <c r="BF89" s="135" t="e">
        <f t="shared" si="197"/>
        <v>#DIV/0!</v>
      </c>
      <c r="BG89" s="133" t="e">
        <f t="shared" si="198"/>
        <v>#DIV/0!</v>
      </c>
      <c r="BH89" s="135" t="e">
        <f t="shared" si="199"/>
        <v>#DIV/0!</v>
      </c>
      <c r="BI89" s="106">
        <f t="shared" si="163"/>
        <v>0.10390000000000001</v>
      </c>
      <c r="BJ89" s="130" t="e">
        <f t="shared" si="200"/>
        <v>#DIV/0!</v>
      </c>
      <c r="BK89" s="96" t="e">
        <f t="shared" si="201"/>
        <v>#DIV/0!</v>
      </c>
      <c r="BL89" s="96" t="e">
        <f t="shared" si="202"/>
        <v>#DIV/0!</v>
      </c>
      <c r="BM89" s="135" t="e">
        <f t="shared" si="203"/>
        <v>#DIV/0!</v>
      </c>
      <c r="BN89" s="96" t="e">
        <f t="shared" si="204"/>
        <v>#DIV/0!</v>
      </c>
      <c r="BO89" s="5" t="e">
        <f t="shared" si="205"/>
        <v>#DIV/0!</v>
      </c>
      <c r="BP89" s="5" t="e">
        <f t="shared" si="206"/>
        <v>#DIV/0!</v>
      </c>
      <c r="BQ89" s="5">
        <f t="shared" si="171"/>
        <v>3.9E-2</v>
      </c>
      <c r="CB89" s="47">
        <f t="shared" si="120"/>
        <v>3.293726584796787E-2</v>
      </c>
    </row>
    <row r="90" spans="1:80" s="106" customFormat="1">
      <c r="A90" s="139"/>
      <c r="B90" s="139"/>
      <c r="C90" s="47"/>
      <c r="D90" s="47"/>
      <c r="E90" s="47"/>
      <c r="F90" s="47"/>
      <c r="G90" s="47"/>
      <c r="H90" s="47"/>
      <c r="I90" s="47"/>
      <c r="J90" s="47"/>
      <c r="K90" s="143" t="e">
        <f t="shared" si="123"/>
        <v>#DIV/0!</v>
      </c>
      <c r="L90" s="95" t="e">
        <f t="shared" si="124"/>
        <v>#DIV/0!</v>
      </c>
      <c r="M90" s="10" t="e">
        <f t="shared" si="125"/>
        <v>#DIV/0!</v>
      </c>
      <c r="N90" s="96" t="e">
        <f t="shared" si="126"/>
        <v>#DIV/0!</v>
      </c>
      <c r="O90" s="97">
        <f t="shared" si="127"/>
        <v>0</v>
      </c>
      <c r="P90" s="102"/>
      <c r="Q90" s="142"/>
      <c r="R90" s="108">
        <f t="shared" si="121"/>
        <v>-40080</v>
      </c>
      <c r="S90" s="2"/>
      <c r="T90"/>
      <c r="U90"/>
      <c r="V90"/>
      <c r="W90" s="2"/>
      <c r="X90"/>
      <c r="Y90" s="47"/>
      <c r="Z90" s="47"/>
      <c r="AA90" s="47"/>
      <c r="AB90" s="47"/>
      <c r="AC90" s="130" t="e">
        <f t="shared" si="172"/>
        <v>#DIV/0!</v>
      </c>
      <c r="AD90" s="96" t="e">
        <f t="shared" si="173"/>
        <v>#DIV/0!</v>
      </c>
      <c r="AE90" s="96" t="e">
        <f t="shared" si="174"/>
        <v>#DIV/0!</v>
      </c>
      <c r="AF90" s="96" t="e">
        <f t="shared" si="175"/>
        <v>#DIV/0!</v>
      </c>
      <c r="AG90" s="96" t="e">
        <f t="shared" si="176"/>
        <v>#DIV/0!</v>
      </c>
      <c r="AH90" s="96" t="e">
        <f t="shared" si="177"/>
        <v>#DIV/0!</v>
      </c>
      <c r="AI90" s="126" t="e">
        <f t="shared" si="178"/>
        <v>#DIV/0!</v>
      </c>
      <c r="AJ90" s="131">
        <f t="shared" si="139"/>
        <v>4.1000000000000002E-2</v>
      </c>
      <c r="AK90" s="130" t="e">
        <f t="shared" si="179"/>
        <v>#DIV/0!</v>
      </c>
      <c r="AL90" s="96" t="e">
        <f t="shared" si="180"/>
        <v>#DIV/0!</v>
      </c>
      <c r="AM90" s="96" t="e">
        <f t="shared" si="181"/>
        <v>#DIV/0!</v>
      </c>
      <c r="AN90" s="96" t="e">
        <f t="shared" si="182"/>
        <v>#DIV/0!</v>
      </c>
      <c r="AO90" s="4" t="e">
        <f t="shared" si="183"/>
        <v>#DIV/0!</v>
      </c>
      <c r="AP90" s="6" t="e">
        <f t="shared" si="184"/>
        <v>#DIV/0!</v>
      </c>
      <c r="AQ90" s="5">
        <f t="shared" si="146"/>
        <v>0.36599999999999999</v>
      </c>
      <c r="AR90" s="4"/>
      <c r="AS90" s="132" t="e">
        <f t="shared" si="185"/>
        <v>#DIV/0!</v>
      </c>
      <c r="AT90" s="133" t="e">
        <f t="shared" si="186"/>
        <v>#DIV/0!</v>
      </c>
      <c r="AU90" s="133" t="e">
        <f t="shared" si="187"/>
        <v>#DIV/0!</v>
      </c>
      <c r="AV90" s="133" t="e">
        <f t="shared" si="188"/>
        <v>#DIV/0!</v>
      </c>
      <c r="AW90" s="133" t="e">
        <f t="shared" si="189"/>
        <v>#DIV/0!</v>
      </c>
      <c r="AX90" s="5" t="e">
        <f t="shared" si="190"/>
        <v>#DIV/0!</v>
      </c>
      <c r="AY90" s="5" t="e">
        <f t="shared" si="191"/>
        <v>#DIV/0!</v>
      </c>
      <c r="AZ90" s="5">
        <f t="shared" si="154"/>
        <v>0.85199999999999998</v>
      </c>
      <c r="BA90" s="134" t="e">
        <f t="shared" si="192"/>
        <v>#DIV/0!</v>
      </c>
      <c r="BB90" s="133" t="e">
        <f t="shared" si="193"/>
        <v>#DIV/0!</v>
      </c>
      <c r="BC90" s="106" t="e">
        <f t="shared" si="194"/>
        <v>#DIV/0!</v>
      </c>
      <c r="BD90" s="106" t="e">
        <f t="shared" si="195"/>
        <v>#DIV/0!</v>
      </c>
      <c r="BE90" s="133" t="e">
        <f t="shared" si="196"/>
        <v>#DIV/0!</v>
      </c>
      <c r="BF90" s="135" t="e">
        <f t="shared" si="197"/>
        <v>#DIV/0!</v>
      </c>
      <c r="BG90" s="133" t="e">
        <f t="shared" si="198"/>
        <v>#DIV/0!</v>
      </c>
      <c r="BH90" s="135" t="e">
        <f t="shared" si="199"/>
        <v>#DIV/0!</v>
      </c>
      <c r="BI90" s="106">
        <f t="shared" si="163"/>
        <v>0.10390000000000001</v>
      </c>
      <c r="BJ90" s="130" t="e">
        <f t="shared" si="200"/>
        <v>#DIV/0!</v>
      </c>
      <c r="BK90" s="96" t="e">
        <f t="shared" si="201"/>
        <v>#DIV/0!</v>
      </c>
      <c r="BL90" s="96" t="e">
        <f t="shared" si="202"/>
        <v>#DIV/0!</v>
      </c>
      <c r="BM90" s="135" t="e">
        <f t="shared" si="203"/>
        <v>#DIV/0!</v>
      </c>
      <c r="BN90" s="96" t="e">
        <f t="shared" si="204"/>
        <v>#DIV/0!</v>
      </c>
      <c r="BO90" s="5" t="e">
        <f t="shared" si="205"/>
        <v>#DIV/0!</v>
      </c>
      <c r="BP90" s="5" t="e">
        <f t="shared" si="206"/>
        <v>#DIV/0!</v>
      </c>
      <c r="BQ90" s="5">
        <f t="shared" si="171"/>
        <v>3.9E-2</v>
      </c>
      <c r="BR90" s="105"/>
      <c r="CA90" s="135"/>
      <c r="CB90" s="136"/>
    </row>
    <row r="91" spans="1:80">
      <c r="A91" s="139"/>
      <c r="B91" s="139"/>
      <c r="K91" s="143" t="e">
        <f t="shared" si="123"/>
        <v>#DIV/0!</v>
      </c>
      <c r="L91" s="95" t="e">
        <f t="shared" si="124"/>
        <v>#DIV/0!</v>
      </c>
      <c r="M91" s="10" t="e">
        <f t="shared" si="125"/>
        <v>#DIV/0!</v>
      </c>
      <c r="N91" s="96" t="e">
        <f t="shared" si="126"/>
        <v>#DIV/0!</v>
      </c>
      <c r="O91" s="97">
        <f t="shared" si="127"/>
        <v>0</v>
      </c>
      <c r="Q91" s="142"/>
      <c r="R91" s="108">
        <f t="shared" si="121"/>
        <v>-40080</v>
      </c>
      <c r="S91" s="2"/>
      <c r="T91"/>
      <c r="U91"/>
      <c r="V91"/>
      <c r="W91" s="2"/>
      <c r="X91"/>
      <c r="AC91" s="130" t="e">
        <f t="shared" si="172"/>
        <v>#DIV/0!</v>
      </c>
      <c r="AD91" s="96" t="e">
        <f t="shared" si="173"/>
        <v>#DIV/0!</v>
      </c>
      <c r="AE91" s="96" t="e">
        <f t="shared" si="174"/>
        <v>#DIV/0!</v>
      </c>
      <c r="AF91" s="96" t="e">
        <f t="shared" si="175"/>
        <v>#DIV/0!</v>
      </c>
      <c r="AG91" s="96" t="e">
        <f t="shared" si="176"/>
        <v>#DIV/0!</v>
      </c>
      <c r="AH91" s="96" t="e">
        <f t="shared" si="177"/>
        <v>#DIV/0!</v>
      </c>
      <c r="AI91" s="126" t="e">
        <f t="shared" si="178"/>
        <v>#DIV/0!</v>
      </c>
      <c r="AJ91" s="131">
        <f t="shared" si="139"/>
        <v>4.1000000000000002E-2</v>
      </c>
      <c r="AK91" s="130" t="e">
        <f t="shared" si="179"/>
        <v>#DIV/0!</v>
      </c>
      <c r="AL91" s="96" t="e">
        <f t="shared" si="180"/>
        <v>#DIV/0!</v>
      </c>
      <c r="AM91" s="96" t="e">
        <f t="shared" si="181"/>
        <v>#DIV/0!</v>
      </c>
      <c r="AN91" s="96" t="e">
        <f t="shared" si="182"/>
        <v>#DIV/0!</v>
      </c>
      <c r="AO91" s="4" t="e">
        <f t="shared" si="183"/>
        <v>#DIV/0!</v>
      </c>
      <c r="AP91" s="6" t="e">
        <f t="shared" si="184"/>
        <v>#DIV/0!</v>
      </c>
      <c r="AQ91" s="5">
        <f t="shared" si="146"/>
        <v>0.36599999999999999</v>
      </c>
      <c r="AR91" s="4"/>
      <c r="AS91" s="132" t="e">
        <f t="shared" si="185"/>
        <v>#DIV/0!</v>
      </c>
      <c r="AT91" s="133" t="e">
        <f t="shared" si="186"/>
        <v>#DIV/0!</v>
      </c>
      <c r="AU91" s="133" t="e">
        <f t="shared" si="187"/>
        <v>#DIV/0!</v>
      </c>
      <c r="AV91" s="133" t="e">
        <f t="shared" si="188"/>
        <v>#DIV/0!</v>
      </c>
      <c r="AW91" s="133" t="e">
        <f t="shared" si="189"/>
        <v>#DIV/0!</v>
      </c>
      <c r="AX91" s="5" t="e">
        <f t="shared" si="190"/>
        <v>#DIV/0!</v>
      </c>
      <c r="AY91" s="5" t="e">
        <f t="shared" si="191"/>
        <v>#DIV/0!</v>
      </c>
      <c r="AZ91" s="5">
        <f t="shared" si="154"/>
        <v>0.85199999999999998</v>
      </c>
      <c r="BA91" s="134" t="e">
        <f t="shared" si="192"/>
        <v>#DIV/0!</v>
      </c>
      <c r="BB91" s="133" t="e">
        <f t="shared" si="193"/>
        <v>#DIV/0!</v>
      </c>
      <c r="BC91" s="106" t="e">
        <f t="shared" si="194"/>
        <v>#DIV/0!</v>
      </c>
      <c r="BD91" s="106" t="e">
        <f t="shared" si="195"/>
        <v>#DIV/0!</v>
      </c>
      <c r="BE91" s="133" t="e">
        <f t="shared" si="196"/>
        <v>#DIV/0!</v>
      </c>
      <c r="BF91" s="135" t="e">
        <f t="shared" si="197"/>
        <v>#DIV/0!</v>
      </c>
      <c r="BG91" s="133" t="e">
        <f t="shared" si="198"/>
        <v>#DIV/0!</v>
      </c>
      <c r="BH91" s="135" t="e">
        <f t="shared" si="199"/>
        <v>#DIV/0!</v>
      </c>
      <c r="BI91" s="106">
        <f t="shared" si="163"/>
        <v>0.10390000000000001</v>
      </c>
      <c r="BJ91" s="130" t="e">
        <f t="shared" si="200"/>
        <v>#DIV/0!</v>
      </c>
      <c r="BK91" s="96" t="e">
        <f t="shared" si="201"/>
        <v>#DIV/0!</v>
      </c>
      <c r="BL91" s="96" t="e">
        <f t="shared" si="202"/>
        <v>#DIV/0!</v>
      </c>
      <c r="BM91" s="135" t="e">
        <f t="shared" si="203"/>
        <v>#DIV/0!</v>
      </c>
      <c r="BN91" s="96" t="e">
        <f t="shared" si="204"/>
        <v>#DIV/0!</v>
      </c>
      <c r="BO91" s="5" t="e">
        <f t="shared" si="205"/>
        <v>#DIV/0!</v>
      </c>
      <c r="BP91" s="5" t="e">
        <f t="shared" si="206"/>
        <v>#DIV/0!</v>
      </c>
      <c r="BQ91" s="5">
        <f t="shared" si="171"/>
        <v>3.9E-2</v>
      </c>
    </row>
    <row r="92" spans="1:80" s="106" customFormat="1">
      <c r="A92" s="139"/>
      <c r="B92" s="139"/>
      <c r="C92" s="47"/>
      <c r="D92" s="47"/>
      <c r="E92" s="47"/>
      <c r="F92" s="47"/>
      <c r="G92" s="47"/>
      <c r="H92" s="47"/>
      <c r="I92" s="47"/>
      <c r="J92" s="47"/>
      <c r="K92" s="143" t="e">
        <f t="shared" si="123"/>
        <v>#DIV/0!</v>
      </c>
      <c r="L92" s="95" t="e">
        <f t="shared" si="124"/>
        <v>#DIV/0!</v>
      </c>
      <c r="M92" s="10" t="e">
        <f t="shared" si="125"/>
        <v>#DIV/0!</v>
      </c>
      <c r="N92" s="96" t="e">
        <f t="shared" si="126"/>
        <v>#DIV/0!</v>
      </c>
      <c r="O92" s="97">
        <f t="shared" si="127"/>
        <v>0</v>
      </c>
      <c r="P92" s="102"/>
      <c r="Q92" s="142"/>
      <c r="R92" s="108">
        <f t="shared" si="121"/>
        <v>-40080</v>
      </c>
      <c r="S92" s="2"/>
      <c r="T92"/>
      <c r="U92"/>
      <c r="V92"/>
      <c r="W92" s="2"/>
      <c r="X92"/>
      <c r="Y92" s="47"/>
      <c r="Z92" s="47"/>
      <c r="AA92" s="47"/>
      <c r="AB92" s="47"/>
      <c r="AC92" s="130" t="e">
        <f t="shared" si="172"/>
        <v>#DIV/0!</v>
      </c>
      <c r="AD92" s="96" t="e">
        <f t="shared" si="173"/>
        <v>#DIV/0!</v>
      </c>
      <c r="AE92" s="96" t="e">
        <f t="shared" si="174"/>
        <v>#DIV/0!</v>
      </c>
      <c r="AF92" s="96" t="e">
        <f t="shared" si="175"/>
        <v>#DIV/0!</v>
      </c>
      <c r="AG92" s="96" t="e">
        <f t="shared" si="176"/>
        <v>#DIV/0!</v>
      </c>
      <c r="AH92" s="96" t="e">
        <f t="shared" si="177"/>
        <v>#DIV/0!</v>
      </c>
      <c r="AI92" s="126" t="e">
        <f t="shared" si="178"/>
        <v>#DIV/0!</v>
      </c>
      <c r="AJ92" s="131">
        <f t="shared" si="139"/>
        <v>4.1000000000000002E-2</v>
      </c>
      <c r="AK92" s="130" t="e">
        <f t="shared" si="179"/>
        <v>#DIV/0!</v>
      </c>
      <c r="AL92" s="96" t="e">
        <f t="shared" si="180"/>
        <v>#DIV/0!</v>
      </c>
      <c r="AM92" s="96" t="e">
        <f t="shared" si="181"/>
        <v>#DIV/0!</v>
      </c>
      <c r="AN92" s="96" t="e">
        <f t="shared" si="182"/>
        <v>#DIV/0!</v>
      </c>
      <c r="AO92" s="4" t="e">
        <f t="shared" si="183"/>
        <v>#DIV/0!</v>
      </c>
      <c r="AP92" s="6" t="e">
        <f t="shared" si="184"/>
        <v>#DIV/0!</v>
      </c>
      <c r="AQ92" s="5">
        <f t="shared" si="146"/>
        <v>0.36599999999999999</v>
      </c>
      <c r="AR92" s="4"/>
      <c r="AS92" s="132" t="e">
        <f t="shared" si="185"/>
        <v>#DIV/0!</v>
      </c>
      <c r="AT92" s="133" t="e">
        <f t="shared" si="186"/>
        <v>#DIV/0!</v>
      </c>
      <c r="AU92" s="133" t="e">
        <f t="shared" si="187"/>
        <v>#DIV/0!</v>
      </c>
      <c r="AV92" s="133" t="e">
        <f t="shared" si="188"/>
        <v>#DIV/0!</v>
      </c>
      <c r="AW92" s="133" t="e">
        <f t="shared" si="189"/>
        <v>#DIV/0!</v>
      </c>
      <c r="AX92" s="5" t="e">
        <f t="shared" si="190"/>
        <v>#DIV/0!</v>
      </c>
      <c r="AY92" s="5" t="e">
        <f t="shared" si="191"/>
        <v>#DIV/0!</v>
      </c>
      <c r="AZ92" s="5">
        <f t="shared" si="154"/>
        <v>0.85199999999999998</v>
      </c>
      <c r="BA92" s="134" t="e">
        <f t="shared" si="192"/>
        <v>#DIV/0!</v>
      </c>
      <c r="BB92" s="133" t="e">
        <f t="shared" si="193"/>
        <v>#DIV/0!</v>
      </c>
      <c r="BC92" s="106" t="e">
        <f t="shared" si="194"/>
        <v>#DIV/0!</v>
      </c>
      <c r="BD92" s="106" t="e">
        <f t="shared" si="195"/>
        <v>#DIV/0!</v>
      </c>
      <c r="BE92" s="133" t="e">
        <f t="shared" si="196"/>
        <v>#DIV/0!</v>
      </c>
      <c r="BF92" s="135" t="e">
        <f t="shared" si="197"/>
        <v>#DIV/0!</v>
      </c>
      <c r="BG92" s="133" t="e">
        <f t="shared" si="198"/>
        <v>#DIV/0!</v>
      </c>
      <c r="BH92" s="135" t="e">
        <f t="shared" si="199"/>
        <v>#DIV/0!</v>
      </c>
      <c r="BI92" s="106">
        <f t="shared" si="163"/>
        <v>0.10390000000000001</v>
      </c>
      <c r="BJ92" s="130" t="e">
        <f t="shared" si="200"/>
        <v>#DIV/0!</v>
      </c>
      <c r="BK92" s="96" t="e">
        <f t="shared" si="201"/>
        <v>#DIV/0!</v>
      </c>
      <c r="BL92" s="96" t="e">
        <f t="shared" si="202"/>
        <v>#DIV/0!</v>
      </c>
      <c r="BM92" s="135" t="e">
        <f t="shared" si="203"/>
        <v>#DIV/0!</v>
      </c>
      <c r="BN92" s="96" t="e">
        <f t="shared" si="204"/>
        <v>#DIV/0!</v>
      </c>
      <c r="BO92" s="5" t="e">
        <f t="shared" si="205"/>
        <v>#DIV/0!</v>
      </c>
      <c r="BP92" s="5" t="e">
        <f t="shared" si="206"/>
        <v>#DIV/0!</v>
      </c>
      <c r="BQ92" s="5">
        <f t="shared" si="171"/>
        <v>3.9E-2</v>
      </c>
      <c r="BR92" s="105"/>
      <c r="CA92" s="135" t="e">
        <f>(AE92-AM92)*(EXP($AC$5*R92))</f>
        <v>#DIV/0!</v>
      </c>
      <c r="CB92" s="136">
        <f>EXP(R92*$AC$5)</f>
        <v>3.293726584796787E-2</v>
      </c>
    </row>
    <row r="93" spans="1:80">
      <c r="A93" s="139"/>
      <c r="B93" s="139"/>
      <c r="K93" s="143" t="e">
        <f t="shared" si="123"/>
        <v>#DIV/0!</v>
      </c>
      <c r="L93" s="95" t="e">
        <f t="shared" si="124"/>
        <v>#DIV/0!</v>
      </c>
      <c r="M93" s="10" t="e">
        <f t="shared" si="125"/>
        <v>#DIV/0!</v>
      </c>
      <c r="N93" s="96" t="e">
        <f t="shared" si="126"/>
        <v>#DIV/0!</v>
      </c>
      <c r="O93" s="97">
        <f t="shared" si="127"/>
        <v>0</v>
      </c>
      <c r="Q93" s="142"/>
      <c r="R93" s="108">
        <f t="shared" si="121"/>
        <v>-40080</v>
      </c>
      <c r="S93" s="2"/>
      <c r="T93"/>
      <c r="U93"/>
      <c r="V93"/>
      <c r="W93" s="2"/>
      <c r="X93"/>
      <c r="AC93" s="130" t="e">
        <f t="shared" si="172"/>
        <v>#DIV/0!</v>
      </c>
      <c r="AD93" s="96" t="e">
        <f t="shared" si="173"/>
        <v>#DIV/0!</v>
      </c>
      <c r="AE93" s="96" t="e">
        <f t="shared" si="174"/>
        <v>#DIV/0!</v>
      </c>
      <c r="AF93" s="96" t="e">
        <f t="shared" si="175"/>
        <v>#DIV/0!</v>
      </c>
      <c r="AG93" s="96" t="e">
        <f t="shared" si="176"/>
        <v>#DIV/0!</v>
      </c>
      <c r="AH93" s="96" t="e">
        <f t="shared" si="177"/>
        <v>#DIV/0!</v>
      </c>
      <c r="AI93" s="126" t="e">
        <f t="shared" si="178"/>
        <v>#DIV/0!</v>
      </c>
      <c r="AJ93" s="131">
        <f t="shared" si="139"/>
        <v>4.1000000000000002E-2</v>
      </c>
      <c r="AK93" s="130" t="e">
        <f t="shared" si="179"/>
        <v>#DIV/0!</v>
      </c>
      <c r="AL93" s="96" t="e">
        <f t="shared" si="180"/>
        <v>#DIV/0!</v>
      </c>
      <c r="AM93" s="96" t="e">
        <f t="shared" si="181"/>
        <v>#DIV/0!</v>
      </c>
      <c r="AN93" s="96" t="e">
        <f t="shared" si="182"/>
        <v>#DIV/0!</v>
      </c>
      <c r="AO93" s="4" t="e">
        <f t="shared" si="183"/>
        <v>#DIV/0!</v>
      </c>
      <c r="AP93" s="6" t="e">
        <f t="shared" si="184"/>
        <v>#DIV/0!</v>
      </c>
      <c r="AQ93" s="5">
        <f t="shared" si="146"/>
        <v>0.36599999999999999</v>
      </c>
      <c r="AR93" s="4"/>
      <c r="AS93" s="132" t="e">
        <f t="shared" si="185"/>
        <v>#DIV/0!</v>
      </c>
      <c r="AT93" s="133" t="e">
        <f t="shared" si="186"/>
        <v>#DIV/0!</v>
      </c>
      <c r="AU93" s="133" t="e">
        <f t="shared" si="187"/>
        <v>#DIV/0!</v>
      </c>
      <c r="AV93" s="133" t="e">
        <f t="shared" si="188"/>
        <v>#DIV/0!</v>
      </c>
      <c r="AW93" s="133" t="e">
        <f t="shared" si="189"/>
        <v>#DIV/0!</v>
      </c>
      <c r="AX93" s="5" t="e">
        <f t="shared" si="190"/>
        <v>#DIV/0!</v>
      </c>
      <c r="AY93" s="5" t="e">
        <f t="shared" si="191"/>
        <v>#DIV/0!</v>
      </c>
      <c r="AZ93" s="5">
        <f t="shared" si="154"/>
        <v>0.85199999999999998</v>
      </c>
      <c r="BA93" s="134" t="e">
        <f t="shared" si="192"/>
        <v>#DIV/0!</v>
      </c>
      <c r="BB93" s="133" t="e">
        <f t="shared" si="193"/>
        <v>#DIV/0!</v>
      </c>
      <c r="BC93" s="106" t="e">
        <f t="shared" si="194"/>
        <v>#DIV/0!</v>
      </c>
      <c r="BD93" s="106" t="e">
        <f t="shared" si="195"/>
        <v>#DIV/0!</v>
      </c>
      <c r="BE93" s="133" t="e">
        <f t="shared" si="196"/>
        <v>#DIV/0!</v>
      </c>
      <c r="BF93" s="135" t="e">
        <f t="shared" si="197"/>
        <v>#DIV/0!</v>
      </c>
      <c r="BG93" s="133" t="e">
        <f t="shared" si="198"/>
        <v>#DIV/0!</v>
      </c>
      <c r="BH93" s="135" t="e">
        <f t="shared" si="199"/>
        <v>#DIV/0!</v>
      </c>
      <c r="BI93" s="106">
        <f t="shared" si="163"/>
        <v>0.10390000000000001</v>
      </c>
      <c r="BJ93" s="130" t="e">
        <f t="shared" si="200"/>
        <v>#DIV/0!</v>
      </c>
      <c r="BK93" s="96" t="e">
        <f t="shared" si="201"/>
        <v>#DIV/0!</v>
      </c>
      <c r="BL93" s="96" t="e">
        <f t="shared" si="202"/>
        <v>#DIV/0!</v>
      </c>
      <c r="BM93" s="135" t="e">
        <f t="shared" si="203"/>
        <v>#DIV/0!</v>
      </c>
      <c r="BN93" s="96" t="e">
        <f t="shared" si="204"/>
        <v>#DIV/0!</v>
      </c>
      <c r="BO93" s="5" t="e">
        <f t="shared" si="205"/>
        <v>#DIV/0!</v>
      </c>
      <c r="BP93" s="5" t="e">
        <f t="shared" si="206"/>
        <v>#DIV/0!</v>
      </c>
      <c r="BQ93" s="5">
        <f t="shared" si="171"/>
        <v>3.9E-2</v>
      </c>
    </row>
    <row r="94" spans="1:80">
      <c r="A94" s="139"/>
      <c r="B94" s="139"/>
      <c r="K94" s="143" t="e">
        <f t="shared" si="123"/>
        <v>#DIV/0!</v>
      </c>
      <c r="L94" s="95" t="e">
        <f t="shared" si="124"/>
        <v>#DIV/0!</v>
      </c>
      <c r="M94" s="10" t="e">
        <f t="shared" si="125"/>
        <v>#DIV/0!</v>
      </c>
      <c r="N94" s="96" t="e">
        <f t="shared" si="126"/>
        <v>#DIV/0!</v>
      </c>
      <c r="O94" s="97">
        <f t="shared" si="127"/>
        <v>0</v>
      </c>
      <c r="Q94" s="142"/>
      <c r="R94" s="108">
        <f t="shared" si="121"/>
        <v>-40080</v>
      </c>
      <c r="S94" s="2"/>
      <c r="T94"/>
      <c r="U94"/>
      <c r="V94"/>
      <c r="W94" s="2"/>
      <c r="X94"/>
      <c r="AC94" s="130" t="e">
        <f t="shared" si="172"/>
        <v>#DIV/0!</v>
      </c>
      <c r="AD94" s="96" t="e">
        <f t="shared" si="173"/>
        <v>#DIV/0!</v>
      </c>
      <c r="AE94" s="96" t="e">
        <f t="shared" si="174"/>
        <v>#DIV/0!</v>
      </c>
      <c r="AF94" s="96" t="e">
        <f t="shared" si="175"/>
        <v>#DIV/0!</v>
      </c>
      <c r="AG94" s="96" t="e">
        <f t="shared" si="176"/>
        <v>#DIV/0!</v>
      </c>
      <c r="AH94" s="96" t="e">
        <f t="shared" si="177"/>
        <v>#DIV/0!</v>
      </c>
      <c r="AI94" s="126" t="e">
        <f t="shared" si="178"/>
        <v>#DIV/0!</v>
      </c>
      <c r="AJ94" s="131">
        <f t="shared" si="139"/>
        <v>4.1000000000000002E-2</v>
      </c>
      <c r="AK94" s="130" t="e">
        <f t="shared" si="179"/>
        <v>#DIV/0!</v>
      </c>
      <c r="AL94" s="96" t="e">
        <f t="shared" si="180"/>
        <v>#DIV/0!</v>
      </c>
      <c r="AM94" s="96" t="e">
        <f t="shared" si="181"/>
        <v>#DIV/0!</v>
      </c>
      <c r="AN94" s="96" t="e">
        <f t="shared" si="182"/>
        <v>#DIV/0!</v>
      </c>
      <c r="AO94" s="4" t="e">
        <f t="shared" si="183"/>
        <v>#DIV/0!</v>
      </c>
      <c r="AP94" s="6" t="e">
        <f t="shared" si="184"/>
        <v>#DIV/0!</v>
      </c>
      <c r="AQ94" s="5">
        <f t="shared" si="146"/>
        <v>0.36599999999999999</v>
      </c>
      <c r="AR94" s="4"/>
      <c r="AS94" s="132" t="e">
        <f t="shared" si="185"/>
        <v>#DIV/0!</v>
      </c>
      <c r="AT94" s="133" t="e">
        <f t="shared" si="186"/>
        <v>#DIV/0!</v>
      </c>
      <c r="AU94" s="133" t="e">
        <f t="shared" si="187"/>
        <v>#DIV/0!</v>
      </c>
      <c r="AV94" s="133" t="e">
        <f t="shared" si="188"/>
        <v>#DIV/0!</v>
      </c>
      <c r="AW94" s="133" t="e">
        <f t="shared" si="189"/>
        <v>#DIV/0!</v>
      </c>
      <c r="AX94" s="5" t="e">
        <f t="shared" si="190"/>
        <v>#DIV/0!</v>
      </c>
      <c r="AY94" s="5" t="e">
        <f t="shared" si="191"/>
        <v>#DIV/0!</v>
      </c>
      <c r="AZ94" s="5">
        <f t="shared" si="154"/>
        <v>0.85199999999999998</v>
      </c>
      <c r="BA94" s="134" t="e">
        <f t="shared" si="192"/>
        <v>#DIV/0!</v>
      </c>
      <c r="BB94" s="133" t="e">
        <f t="shared" si="193"/>
        <v>#DIV/0!</v>
      </c>
      <c r="BC94" s="106" t="e">
        <f t="shared" si="194"/>
        <v>#DIV/0!</v>
      </c>
      <c r="BD94" s="106" t="e">
        <f t="shared" si="195"/>
        <v>#DIV/0!</v>
      </c>
      <c r="BE94" s="133" t="e">
        <f t="shared" si="196"/>
        <v>#DIV/0!</v>
      </c>
      <c r="BF94" s="135" t="e">
        <f t="shared" si="197"/>
        <v>#DIV/0!</v>
      </c>
      <c r="BG94" s="133" t="e">
        <f t="shared" si="198"/>
        <v>#DIV/0!</v>
      </c>
      <c r="BH94" s="135" t="e">
        <f t="shared" si="199"/>
        <v>#DIV/0!</v>
      </c>
      <c r="BI94" s="106">
        <f t="shared" si="163"/>
        <v>0.10390000000000001</v>
      </c>
      <c r="BJ94" s="130" t="e">
        <f t="shared" si="200"/>
        <v>#DIV/0!</v>
      </c>
      <c r="BK94" s="96" t="e">
        <f t="shared" si="201"/>
        <v>#DIV/0!</v>
      </c>
      <c r="BL94" s="96" t="e">
        <f t="shared" si="202"/>
        <v>#DIV/0!</v>
      </c>
      <c r="BM94" s="135" t="e">
        <f t="shared" si="203"/>
        <v>#DIV/0!</v>
      </c>
      <c r="BN94" s="96" t="e">
        <f t="shared" si="204"/>
        <v>#DIV/0!</v>
      </c>
      <c r="BO94" s="5" t="e">
        <f t="shared" si="205"/>
        <v>#DIV/0!</v>
      </c>
      <c r="BP94" s="5" t="e">
        <f t="shared" si="206"/>
        <v>#DIV/0!</v>
      </c>
      <c r="BQ94" s="5">
        <f t="shared" si="171"/>
        <v>3.9E-2</v>
      </c>
    </row>
    <row r="95" spans="1:80">
      <c r="A95" s="139"/>
      <c r="B95" s="139"/>
      <c r="K95" s="143" t="e">
        <f t="shared" si="123"/>
        <v>#DIV/0!</v>
      </c>
      <c r="L95" s="95" t="e">
        <f t="shared" si="124"/>
        <v>#DIV/0!</v>
      </c>
      <c r="M95" s="10" t="e">
        <f t="shared" si="125"/>
        <v>#DIV/0!</v>
      </c>
      <c r="N95" s="96" t="e">
        <f t="shared" si="126"/>
        <v>#DIV/0!</v>
      </c>
      <c r="O95" s="97">
        <f t="shared" si="127"/>
        <v>0</v>
      </c>
      <c r="Q95" s="142"/>
      <c r="R95" s="108">
        <f t="shared" si="121"/>
        <v>-40080</v>
      </c>
      <c r="S95" s="2"/>
      <c r="T95"/>
      <c r="U95"/>
      <c r="V95"/>
      <c r="W95" s="2"/>
      <c r="X95"/>
      <c r="AC95" s="130" t="e">
        <f t="shared" si="172"/>
        <v>#DIV/0!</v>
      </c>
      <c r="AD95" s="96" t="e">
        <f t="shared" si="173"/>
        <v>#DIV/0!</v>
      </c>
      <c r="AE95" s="96" t="e">
        <f t="shared" si="174"/>
        <v>#DIV/0!</v>
      </c>
      <c r="AF95" s="96" t="e">
        <f t="shared" si="175"/>
        <v>#DIV/0!</v>
      </c>
      <c r="AG95" s="96" t="e">
        <f t="shared" si="176"/>
        <v>#DIV/0!</v>
      </c>
      <c r="AH95" s="96" t="e">
        <f t="shared" si="177"/>
        <v>#DIV/0!</v>
      </c>
      <c r="AI95" s="126" t="e">
        <f t="shared" si="178"/>
        <v>#DIV/0!</v>
      </c>
      <c r="AJ95" s="131">
        <f t="shared" si="139"/>
        <v>4.1000000000000002E-2</v>
      </c>
      <c r="AK95" s="130" t="e">
        <f t="shared" si="179"/>
        <v>#DIV/0!</v>
      </c>
      <c r="AL95" s="96" t="e">
        <f t="shared" si="180"/>
        <v>#DIV/0!</v>
      </c>
      <c r="AM95" s="96" t="e">
        <f t="shared" si="181"/>
        <v>#DIV/0!</v>
      </c>
      <c r="AN95" s="96" t="e">
        <f t="shared" si="182"/>
        <v>#DIV/0!</v>
      </c>
      <c r="AO95" s="4" t="e">
        <f t="shared" si="183"/>
        <v>#DIV/0!</v>
      </c>
      <c r="AP95" s="6" t="e">
        <f t="shared" si="184"/>
        <v>#DIV/0!</v>
      </c>
      <c r="AQ95" s="5">
        <f t="shared" si="146"/>
        <v>0.36599999999999999</v>
      </c>
      <c r="AR95" s="4"/>
      <c r="AS95" s="132" t="e">
        <f t="shared" si="185"/>
        <v>#DIV/0!</v>
      </c>
      <c r="AT95" s="133" t="e">
        <f t="shared" si="186"/>
        <v>#DIV/0!</v>
      </c>
      <c r="AU95" s="133" t="e">
        <f t="shared" si="187"/>
        <v>#DIV/0!</v>
      </c>
      <c r="AV95" s="133" t="e">
        <f t="shared" si="188"/>
        <v>#DIV/0!</v>
      </c>
      <c r="AW95" s="133" t="e">
        <f t="shared" si="189"/>
        <v>#DIV/0!</v>
      </c>
      <c r="AX95" s="5" t="e">
        <f t="shared" si="190"/>
        <v>#DIV/0!</v>
      </c>
      <c r="AY95" s="5" t="e">
        <f t="shared" si="191"/>
        <v>#DIV/0!</v>
      </c>
      <c r="AZ95" s="5">
        <f t="shared" si="154"/>
        <v>0.85199999999999998</v>
      </c>
      <c r="BA95" s="134" t="e">
        <f t="shared" si="192"/>
        <v>#DIV/0!</v>
      </c>
      <c r="BB95" s="133" t="e">
        <f t="shared" si="193"/>
        <v>#DIV/0!</v>
      </c>
      <c r="BC95" s="106" t="e">
        <f t="shared" si="194"/>
        <v>#DIV/0!</v>
      </c>
      <c r="BD95" s="106" t="e">
        <f t="shared" si="195"/>
        <v>#DIV/0!</v>
      </c>
      <c r="BE95" s="133" t="e">
        <f t="shared" si="196"/>
        <v>#DIV/0!</v>
      </c>
      <c r="BF95" s="135" t="e">
        <f t="shared" si="197"/>
        <v>#DIV/0!</v>
      </c>
      <c r="BG95" s="133" t="e">
        <f t="shared" si="198"/>
        <v>#DIV/0!</v>
      </c>
      <c r="BH95" s="135" t="e">
        <f t="shared" si="199"/>
        <v>#DIV/0!</v>
      </c>
      <c r="BI95" s="106">
        <f t="shared" si="163"/>
        <v>0.10390000000000001</v>
      </c>
      <c r="BJ95" s="130" t="e">
        <f t="shared" si="200"/>
        <v>#DIV/0!</v>
      </c>
      <c r="BK95" s="96" t="e">
        <f t="shared" si="201"/>
        <v>#DIV/0!</v>
      </c>
      <c r="BL95" s="96" t="e">
        <f t="shared" si="202"/>
        <v>#DIV/0!</v>
      </c>
      <c r="BM95" s="135" t="e">
        <f t="shared" si="203"/>
        <v>#DIV/0!</v>
      </c>
      <c r="BN95" s="96" t="e">
        <f t="shared" si="204"/>
        <v>#DIV/0!</v>
      </c>
      <c r="BO95" s="5" t="e">
        <f t="shared" si="205"/>
        <v>#DIV/0!</v>
      </c>
      <c r="BP95" s="5" t="e">
        <f t="shared" si="206"/>
        <v>#DIV/0!</v>
      </c>
      <c r="BQ95" s="5">
        <f t="shared" si="171"/>
        <v>3.9E-2</v>
      </c>
    </row>
    <row r="96" spans="1:80">
      <c r="A96" s="139"/>
      <c r="B96" s="139"/>
      <c r="K96" s="143" t="e">
        <f t="shared" si="123"/>
        <v>#DIV/0!</v>
      </c>
      <c r="L96" s="95" t="e">
        <f t="shared" si="124"/>
        <v>#DIV/0!</v>
      </c>
      <c r="M96" s="10" t="e">
        <f t="shared" si="125"/>
        <v>#DIV/0!</v>
      </c>
      <c r="N96" s="96" t="e">
        <f t="shared" si="126"/>
        <v>#DIV/0!</v>
      </c>
      <c r="O96" s="97">
        <f t="shared" si="127"/>
        <v>0</v>
      </c>
      <c r="Q96" s="142"/>
      <c r="R96" s="108">
        <f t="shared" si="121"/>
        <v>-40080</v>
      </c>
      <c r="S96" s="2"/>
      <c r="T96"/>
      <c r="U96"/>
      <c r="V96"/>
      <c r="W96" s="2"/>
      <c r="X96"/>
      <c r="AC96" s="130" t="e">
        <f t="shared" si="172"/>
        <v>#DIV/0!</v>
      </c>
      <c r="AD96" s="96" t="e">
        <f t="shared" si="173"/>
        <v>#DIV/0!</v>
      </c>
      <c r="AE96" s="96" t="e">
        <f t="shared" si="174"/>
        <v>#DIV/0!</v>
      </c>
      <c r="AF96" s="96" t="e">
        <f t="shared" si="175"/>
        <v>#DIV/0!</v>
      </c>
      <c r="AG96" s="96" t="e">
        <f t="shared" si="176"/>
        <v>#DIV/0!</v>
      </c>
      <c r="AH96" s="96" t="e">
        <f t="shared" si="177"/>
        <v>#DIV/0!</v>
      </c>
      <c r="AI96" s="126" t="e">
        <f t="shared" si="178"/>
        <v>#DIV/0!</v>
      </c>
      <c r="AJ96" s="131">
        <f t="shared" si="139"/>
        <v>4.1000000000000002E-2</v>
      </c>
      <c r="AK96" s="130" t="e">
        <f t="shared" si="179"/>
        <v>#DIV/0!</v>
      </c>
      <c r="AL96" s="96" t="e">
        <f t="shared" si="180"/>
        <v>#DIV/0!</v>
      </c>
      <c r="AM96" s="96" t="e">
        <f t="shared" si="181"/>
        <v>#DIV/0!</v>
      </c>
      <c r="AN96" s="96" t="e">
        <f t="shared" si="182"/>
        <v>#DIV/0!</v>
      </c>
      <c r="AO96" s="4" t="e">
        <f t="shared" si="183"/>
        <v>#DIV/0!</v>
      </c>
      <c r="AP96" s="6" t="e">
        <f t="shared" si="184"/>
        <v>#DIV/0!</v>
      </c>
      <c r="AQ96" s="5">
        <f t="shared" si="146"/>
        <v>0.36599999999999999</v>
      </c>
      <c r="AR96" s="4"/>
      <c r="AS96" s="132" t="e">
        <f t="shared" si="185"/>
        <v>#DIV/0!</v>
      </c>
      <c r="AT96" s="133" t="e">
        <f t="shared" si="186"/>
        <v>#DIV/0!</v>
      </c>
      <c r="AU96" s="133" t="e">
        <f t="shared" si="187"/>
        <v>#DIV/0!</v>
      </c>
      <c r="AV96" s="133" t="e">
        <f t="shared" si="188"/>
        <v>#DIV/0!</v>
      </c>
      <c r="AW96" s="133" t="e">
        <f t="shared" si="189"/>
        <v>#DIV/0!</v>
      </c>
      <c r="AX96" s="5" t="e">
        <f t="shared" si="190"/>
        <v>#DIV/0!</v>
      </c>
      <c r="AY96" s="5" t="e">
        <f t="shared" si="191"/>
        <v>#DIV/0!</v>
      </c>
      <c r="AZ96" s="5">
        <f t="shared" si="154"/>
        <v>0.85199999999999998</v>
      </c>
      <c r="BA96" s="134" t="e">
        <f t="shared" si="192"/>
        <v>#DIV/0!</v>
      </c>
      <c r="BB96" s="133" t="e">
        <f t="shared" si="193"/>
        <v>#DIV/0!</v>
      </c>
      <c r="BC96" s="106" t="e">
        <f t="shared" si="194"/>
        <v>#DIV/0!</v>
      </c>
      <c r="BD96" s="106" t="e">
        <f t="shared" si="195"/>
        <v>#DIV/0!</v>
      </c>
      <c r="BE96" s="133" t="e">
        <f t="shared" si="196"/>
        <v>#DIV/0!</v>
      </c>
      <c r="BF96" s="135" t="e">
        <f t="shared" si="197"/>
        <v>#DIV/0!</v>
      </c>
      <c r="BG96" s="133" t="e">
        <f t="shared" si="198"/>
        <v>#DIV/0!</v>
      </c>
      <c r="BH96" s="135" t="e">
        <f t="shared" si="199"/>
        <v>#DIV/0!</v>
      </c>
      <c r="BI96" s="106">
        <f t="shared" si="163"/>
        <v>0.10390000000000001</v>
      </c>
      <c r="BJ96" s="130" t="e">
        <f t="shared" si="200"/>
        <v>#DIV/0!</v>
      </c>
      <c r="BK96" s="96" t="e">
        <f t="shared" si="201"/>
        <v>#DIV/0!</v>
      </c>
      <c r="BL96" s="96" t="e">
        <f t="shared" si="202"/>
        <v>#DIV/0!</v>
      </c>
      <c r="BM96" s="135" t="e">
        <f t="shared" si="203"/>
        <v>#DIV/0!</v>
      </c>
      <c r="BN96" s="96" t="e">
        <f t="shared" si="204"/>
        <v>#DIV/0!</v>
      </c>
      <c r="BO96" s="5" t="e">
        <f t="shared" si="205"/>
        <v>#DIV/0!</v>
      </c>
      <c r="BP96" s="5" t="e">
        <f t="shared" si="206"/>
        <v>#DIV/0!</v>
      </c>
      <c r="BQ96" s="5">
        <f t="shared" si="171"/>
        <v>3.9E-2</v>
      </c>
    </row>
    <row r="97" spans="1:69">
      <c r="A97" s="139"/>
      <c r="B97" s="139"/>
      <c r="K97" s="143" t="e">
        <f t="shared" si="123"/>
        <v>#DIV/0!</v>
      </c>
      <c r="L97" s="95" t="e">
        <f t="shared" si="124"/>
        <v>#DIV/0!</v>
      </c>
      <c r="M97" s="10" t="e">
        <f t="shared" si="125"/>
        <v>#DIV/0!</v>
      </c>
      <c r="N97" s="96" t="e">
        <f t="shared" si="126"/>
        <v>#DIV/0!</v>
      </c>
      <c r="O97" s="97">
        <f t="shared" si="127"/>
        <v>0</v>
      </c>
      <c r="Q97" s="142"/>
      <c r="R97" s="108">
        <f t="shared" si="121"/>
        <v>-40080</v>
      </c>
      <c r="S97" s="2"/>
      <c r="T97"/>
      <c r="U97"/>
      <c r="V97"/>
      <c r="W97" s="2"/>
      <c r="X97"/>
      <c r="AC97" s="130" t="e">
        <f t="shared" si="172"/>
        <v>#DIV/0!</v>
      </c>
      <c r="AD97" s="96" t="e">
        <f t="shared" si="173"/>
        <v>#DIV/0!</v>
      </c>
      <c r="AE97" s="96" t="e">
        <f t="shared" si="174"/>
        <v>#DIV/0!</v>
      </c>
      <c r="AF97" s="96" t="e">
        <f t="shared" si="175"/>
        <v>#DIV/0!</v>
      </c>
      <c r="AG97" s="96" t="e">
        <f t="shared" si="176"/>
        <v>#DIV/0!</v>
      </c>
      <c r="AH97" s="96" t="e">
        <f t="shared" si="177"/>
        <v>#DIV/0!</v>
      </c>
      <c r="AI97" s="126" t="e">
        <f t="shared" si="178"/>
        <v>#DIV/0!</v>
      </c>
      <c r="AJ97" s="131">
        <f t="shared" si="139"/>
        <v>4.1000000000000002E-2</v>
      </c>
      <c r="AK97" s="130" t="e">
        <f t="shared" si="179"/>
        <v>#DIV/0!</v>
      </c>
      <c r="AL97" s="96" t="e">
        <f t="shared" si="180"/>
        <v>#DIV/0!</v>
      </c>
      <c r="AM97" s="96" t="e">
        <f t="shared" si="181"/>
        <v>#DIV/0!</v>
      </c>
      <c r="AN97" s="96" t="e">
        <f t="shared" si="182"/>
        <v>#DIV/0!</v>
      </c>
      <c r="AO97" s="4" t="e">
        <f t="shared" si="183"/>
        <v>#DIV/0!</v>
      </c>
      <c r="AP97" s="6" t="e">
        <f t="shared" si="184"/>
        <v>#DIV/0!</v>
      </c>
      <c r="AQ97" s="5">
        <f t="shared" si="146"/>
        <v>0.36599999999999999</v>
      </c>
      <c r="AR97" s="4"/>
      <c r="AS97" s="132" t="e">
        <f t="shared" si="185"/>
        <v>#DIV/0!</v>
      </c>
      <c r="AT97" s="133" t="e">
        <f t="shared" si="186"/>
        <v>#DIV/0!</v>
      </c>
      <c r="AU97" s="133" t="e">
        <f t="shared" si="187"/>
        <v>#DIV/0!</v>
      </c>
      <c r="AV97" s="133" t="e">
        <f t="shared" si="188"/>
        <v>#DIV/0!</v>
      </c>
      <c r="AW97" s="133" t="e">
        <f t="shared" si="189"/>
        <v>#DIV/0!</v>
      </c>
      <c r="AX97" s="5" t="e">
        <f t="shared" si="190"/>
        <v>#DIV/0!</v>
      </c>
      <c r="AY97" s="5" t="e">
        <f t="shared" si="191"/>
        <v>#DIV/0!</v>
      </c>
      <c r="AZ97" s="5">
        <f t="shared" si="154"/>
        <v>0.85199999999999998</v>
      </c>
      <c r="BA97" s="134" t="e">
        <f t="shared" si="192"/>
        <v>#DIV/0!</v>
      </c>
      <c r="BB97" s="133" t="e">
        <f t="shared" si="193"/>
        <v>#DIV/0!</v>
      </c>
      <c r="BC97" s="106" t="e">
        <f t="shared" si="194"/>
        <v>#DIV/0!</v>
      </c>
      <c r="BD97" s="106" t="e">
        <f t="shared" si="195"/>
        <v>#DIV/0!</v>
      </c>
      <c r="BE97" s="133" t="e">
        <f t="shared" si="196"/>
        <v>#DIV/0!</v>
      </c>
      <c r="BF97" s="135" t="e">
        <f t="shared" si="197"/>
        <v>#DIV/0!</v>
      </c>
      <c r="BG97" s="133" t="e">
        <f t="shared" si="198"/>
        <v>#DIV/0!</v>
      </c>
      <c r="BH97" s="135" t="e">
        <f t="shared" si="199"/>
        <v>#DIV/0!</v>
      </c>
      <c r="BI97" s="106">
        <f t="shared" si="163"/>
        <v>0.10390000000000001</v>
      </c>
      <c r="BJ97" s="130" t="e">
        <f t="shared" si="200"/>
        <v>#DIV/0!</v>
      </c>
      <c r="BK97" s="96" t="e">
        <f t="shared" si="201"/>
        <v>#DIV/0!</v>
      </c>
      <c r="BL97" s="96" t="e">
        <f t="shared" si="202"/>
        <v>#DIV/0!</v>
      </c>
      <c r="BM97" s="135" t="e">
        <f t="shared" si="203"/>
        <v>#DIV/0!</v>
      </c>
      <c r="BN97" s="96" t="e">
        <f t="shared" si="204"/>
        <v>#DIV/0!</v>
      </c>
      <c r="BO97" s="5" t="e">
        <f t="shared" si="205"/>
        <v>#DIV/0!</v>
      </c>
      <c r="BP97" s="5" t="e">
        <f t="shared" si="206"/>
        <v>#DIV/0!</v>
      </c>
      <c r="BQ97" s="5">
        <f t="shared" si="171"/>
        <v>3.9E-2</v>
      </c>
    </row>
    <row r="98" spans="1:69">
      <c r="A98" s="139"/>
      <c r="B98" s="139"/>
      <c r="K98" s="143" t="e">
        <f t="shared" si="123"/>
        <v>#DIV/0!</v>
      </c>
      <c r="L98" s="95" t="e">
        <f t="shared" si="124"/>
        <v>#DIV/0!</v>
      </c>
      <c r="M98" s="10" t="e">
        <f t="shared" si="125"/>
        <v>#DIV/0!</v>
      </c>
      <c r="N98" s="96" t="e">
        <f t="shared" si="126"/>
        <v>#DIV/0!</v>
      </c>
      <c r="O98" s="97">
        <f t="shared" si="127"/>
        <v>0</v>
      </c>
      <c r="Q98" s="142"/>
      <c r="R98" s="108">
        <f t="shared" si="121"/>
        <v>-40080</v>
      </c>
      <c r="S98" s="2"/>
      <c r="T98"/>
      <c r="U98"/>
      <c r="V98"/>
      <c r="W98" s="2"/>
      <c r="X98"/>
      <c r="AC98" s="130" t="e">
        <f t="shared" si="172"/>
        <v>#DIV/0!</v>
      </c>
      <c r="AD98" s="96" t="e">
        <f t="shared" si="173"/>
        <v>#DIV/0!</v>
      </c>
      <c r="AE98" s="96" t="e">
        <f t="shared" si="174"/>
        <v>#DIV/0!</v>
      </c>
      <c r="AF98" s="96" t="e">
        <f t="shared" si="175"/>
        <v>#DIV/0!</v>
      </c>
      <c r="AG98" s="96" t="e">
        <f t="shared" si="176"/>
        <v>#DIV/0!</v>
      </c>
      <c r="AH98" s="96" t="e">
        <f t="shared" si="177"/>
        <v>#DIV/0!</v>
      </c>
      <c r="AI98" s="126" t="e">
        <f t="shared" si="178"/>
        <v>#DIV/0!</v>
      </c>
      <c r="AJ98" s="131">
        <f t="shared" si="139"/>
        <v>4.1000000000000002E-2</v>
      </c>
      <c r="AK98" s="130" t="e">
        <f t="shared" si="179"/>
        <v>#DIV/0!</v>
      </c>
      <c r="AL98" s="96" t="e">
        <f t="shared" si="180"/>
        <v>#DIV/0!</v>
      </c>
      <c r="AM98" s="96" t="e">
        <f t="shared" si="181"/>
        <v>#DIV/0!</v>
      </c>
      <c r="AN98" s="96" t="e">
        <f t="shared" si="182"/>
        <v>#DIV/0!</v>
      </c>
      <c r="AO98" s="4" t="e">
        <f t="shared" si="183"/>
        <v>#DIV/0!</v>
      </c>
      <c r="AP98" s="6" t="e">
        <f t="shared" si="184"/>
        <v>#DIV/0!</v>
      </c>
      <c r="AQ98" s="5">
        <f t="shared" si="146"/>
        <v>0.36599999999999999</v>
      </c>
      <c r="AR98" s="4"/>
      <c r="AS98" s="132" t="e">
        <f t="shared" si="185"/>
        <v>#DIV/0!</v>
      </c>
      <c r="AT98" s="133" t="e">
        <f t="shared" si="186"/>
        <v>#DIV/0!</v>
      </c>
      <c r="AU98" s="133" t="e">
        <f t="shared" si="187"/>
        <v>#DIV/0!</v>
      </c>
      <c r="AV98" s="133" t="e">
        <f t="shared" si="188"/>
        <v>#DIV/0!</v>
      </c>
      <c r="AW98" s="133" t="e">
        <f t="shared" si="189"/>
        <v>#DIV/0!</v>
      </c>
      <c r="AX98" s="5" t="e">
        <f t="shared" si="190"/>
        <v>#DIV/0!</v>
      </c>
      <c r="AY98" s="5" t="e">
        <f t="shared" si="191"/>
        <v>#DIV/0!</v>
      </c>
      <c r="AZ98" s="5">
        <f t="shared" si="154"/>
        <v>0.85199999999999998</v>
      </c>
      <c r="BA98" s="134" t="e">
        <f t="shared" si="192"/>
        <v>#DIV/0!</v>
      </c>
      <c r="BB98" s="133" t="e">
        <f t="shared" si="193"/>
        <v>#DIV/0!</v>
      </c>
      <c r="BC98" s="106" t="e">
        <f t="shared" si="194"/>
        <v>#DIV/0!</v>
      </c>
      <c r="BD98" s="106" t="e">
        <f t="shared" si="195"/>
        <v>#DIV/0!</v>
      </c>
      <c r="BE98" s="133" t="e">
        <f t="shared" si="196"/>
        <v>#DIV/0!</v>
      </c>
      <c r="BF98" s="135" t="e">
        <f t="shared" si="197"/>
        <v>#DIV/0!</v>
      </c>
      <c r="BG98" s="133" t="e">
        <f t="shared" si="198"/>
        <v>#DIV/0!</v>
      </c>
      <c r="BH98" s="135" t="e">
        <f t="shared" si="199"/>
        <v>#DIV/0!</v>
      </c>
      <c r="BI98" s="106">
        <f t="shared" si="163"/>
        <v>0.10390000000000001</v>
      </c>
      <c r="BJ98" s="130" t="e">
        <f t="shared" si="200"/>
        <v>#DIV/0!</v>
      </c>
      <c r="BK98" s="96" t="e">
        <f t="shared" si="201"/>
        <v>#DIV/0!</v>
      </c>
      <c r="BL98" s="96" t="e">
        <f t="shared" si="202"/>
        <v>#DIV/0!</v>
      </c>
      <c r="BM98" s="135" t="e">
        <f t="shared" si="203"/>
        <v>#DIV/0!</v>
      </c>
      <c r="BN98" s="96" t="e">
        <f t="shared" si="204"/>
        <v>#DIV/0!</v>
      </c>
      <c r="BO98" s="5" t="e">
        <f t="shared" si="205"/>
        <v>#DIV/0!</v>
      </c>
      <c r="BP98" s="5" t="e">
        <f t="shared" si="206"/>
        <v>#DIV/0!</v>
      </c>
      <c r="BQ98" s="5">
        <f t="shared" si="171"/>
        <v>3.9E-2</v>
      </c>
    </row>
    <row r="99" spans="1:69">
      <c r="A99" s="139"/>
      <c r="B99" s="139"/>
      <c r="K99" s="143" t="e">
        <f t="shared" si="123"/>
        <v>#DIV/0!</v>
      </c>
      <c r="L99" s="95" t="e">
        <f t="shared" si="124"/>
        <v>#DIV/0!</v>
      </c>
      <c r="M99" s="10" t="e">
        <f t="shared" si="125"/>
        <v>#DIV/0!</v>
      </c>
      <c r="N99" s="96" t="e">
        <f t="shared" si="126"/>
        <v>#DIV/0!</v>
      </c>
      <c r="O99" s="97">
        <f t="shared" si="127"/>
        <v>0</v>
      </c>
      <c r="Q99" s="142"/>
      <c r="R99" s="108">
        <f t="shared" si="121"/>
        <v>-40080</v>
      </c>
      <c r="S99" s="2"/>
      <c r="T99"/>
      <c r="U99"/>
      <c r="V99"/>
      <c r="W99" s="2"/>
      <c r="X99"/>
      <c r="AC99" s="130" t="e">
        <f t="shared" si="172"/>
        <v>#DIV/0!</v>
      </c>
      <c r="AD99" s="96" t="e">
        <f t="shared" si="173"/>
        <v>#DIV/0!</v>
      </c>
      <c r="AE99" s="96" t="e">
        <f t="shared" si="174"/>
        <v>#DIV/0!</v>
      </c>
      <c r="AF99" s="96" t="e">
        <f t="shared" si="175"/>
        <v>#DIV/0!</v>
      </c>
      <c r="AG99" s="96" t="e">
        <f t="shared" si="176"/>
        <v>#DIV/0!</v>
      </c>
      <c r="AH99" s="96" t="e">
        <f t="shared" si="177"/>
        <v>#DIV/0!</v>
      </c>
      <c r="AI99" s="126" t="e">
        <f t="shared" si="178"/>
        <v>#DIV/0!</v>
      </c>
      <c r="AJ99" s="131">
        <f t="shared" si="139"/>
        <v>4.1000000000000002E-2</v>
      </c>
      <c r="AK99" s="130" t="e">
        <f t="shared" si="179"/>
        <v>#DIV/0!</v>
      </c>
      <c r="AL99" s="96" t="e">
        <f t="shared" si="180"/>
        <v>#DIV/0!</v>
      </c>
      <c r="AM99" s="96" t="e">
        <f t="shared" si="181"/>
        <v>#DIV/0!</v>
      </c>
      <c r="AN99" s="96" t="e">
        <f t="shared" si="182"/>
        <v>#DIV/0!</v>
      </c>
      <c r="AO99" s="4" t="e">
        <f t="shared" si="183"/>
        <v>#DIV/0!</v>
      </c>
      <c r="AP99" s="6" t="e">
        <f t="shared" si="184"/>
        <v>#DIV/0!</v>
      </c>
      <c r="AQ99" s="5">
        <f t="shared" si="146"/>
        <v>0.36599999999999999</v>
      </c>
      <c r="AR99" s="4"/>
      <c r="AS99" s="132" t="e">
        <f t="shared" si="185"/>
        <v>#DIV/0!</v>
      </c>
      <c r="AT99" s="133" t="e">
        <f t="shared" si="186"/>
        <v>#DIV/0!</v>
      </c>
      <c r="AU99" s="133" t="e">
        <f t="shared" si="187"/>
        <v>#DIV/0!</v>
      </c>
      <c r="AV99" s="133" t="e">
        <f t="shared" si="188"/>
        <v>#DIV/0!</v>
      </c>
      <c r="AW99" s="133" t="e">
        <f t="shared" si="189"/>
        <v>#DIV/0!</v>
      </c>
      <c r="AX99" s="5" t="e">
        <f t="shared" si="190"/>
        <v>#DIV/0!</v>
      </c>
      <c r="AY99" s="5" t="e">
        <f t="shared" si="191"/>
        <v>#DIV/0!</v>
      </c>
      <c r="AZ99" s="5">
        <f t="shared" si="154"/>
        <v>0.85199999999999998</v>
      </c>
      <c r="BA99" s="134" t="e">
        <f t="shared" si="192"/>
        <v>#DIV/0!</v>
      </c>
      <c r="BB99" s="133" t="e">
        <f t="shared" si="193"/>
        <v>#DIV/0!</v>
      </c>
      <c r="BC99" s="106" t="e">
        <f t="shared" si="194"/>
        <v>#DIV/0!</v>
      </c>
      <c r="BD99" s="106" t="e">
        <f t="shared" si="195"/>
        <v>#DIV/0!</v>
      </c>
      <c r="BE99" s="133" t="e">
        <f t="shared" si="196"/>
        <v>#DIV/0!</v>
      </c>
      <c r="BF99" s="135" t="e">
        <f t="shared" si="197"/>
        <v>#DIV/0!</v>
      </c>
      <c r="BG99" s="133" t="e">
        <f t="shared" si="198"/>
        <v>#DIV/0!</v>
      </c>
      <c r="BH99" s="135" t="e">
        <f t="shared" si="199"/>
        <v>#DIV/0!</v>
      </c>
      <c r="BI99" s="106">
        <f t="shared" si="163"/>
        <v>0.10390000000000001</v>
      </c>
      <c r="BJ99" s="130" t="e">
        <f t="shared" si="200"/>
        <v>#DIV/0!</v>
      </c>
      <c r="BK99" s="96" t="e">
        <f t="shared" si="201"/>
        <v>#DIV/0!</v>
      </c>
      <c r="BL99" s="96" t="e">
        <f t="shared" si="202"/>
        <v>#DIV/0!</v>
      </c>
      <c r="BM99" s="135" t="e">
        <f t="shared" si="203"/>
        <v>#DIV/0!</v>
      </c>
      <c r="BN99" s="96" t="e">
        <f t="shared" si="204"/>
        <v>#DIV/0!</v>
      </c>
      <c r="BO99" s="5" t="e">
        <f t="shared" si="205"/>
        <v>#DIV/0!</v>
      </c>
      <c r="BP99" s="5" t="e">
        <f t="shared" si="206"/>
        <v>#DIV/0!</v>
      </c>
      <c r="BQ99" s="5">
        <f t="shared" si="171"/>
        <v>3.9E-2</v>
      </c>
    </row>
    <row r="100" spans="1:69">
      <c r="A100" s="139"/>
      <c r="B100" s="139"/>
      <c r="K100" s="143" t="e">
        <f t="shared" si="123"/>
        <v>#DIV/0!</v>
      </c>
      <c r="L100" s="95" t="e">
        <f t="shared" si="124"/>
        <v>#DIV/0!</v>
      </c>
      <c r="M100" s="10" t="e">
        <f t="shared" si="125"/>
        <v>#DIV/0!</v>
      </c>
      <c r="N100" s="96" t="e">
        <f t="shared" si="126"/>
        <v>#DIV/0!</v>
      </c>
      <c r="O100" s="97">
        <f t="shared" si="127"/>
        <v>0</v>
      </c>
      <c r="Q100" s="142"/>
      <c r="R100" s="108">
        <f t="shared" si="121"/>
        <v>-40080</v>
      </c>
      <c r="S100" s="2"/>
      <c r="T100"/>
      <c r="U100"/>
      <c r="V100"/>
      <c r="W100" s="2"/>
      <c r="X100"/>
      <c r="AC100" s="130" t="e">
        <f t="shared" si="172"/>
        <v>#DIV/0!</v>
      </c>
      <c r="AD100" s="96" t="e">
        <f t="shared" si="173"/>
        <v>#DIV/0!</v>
      </c>
      <c r="AE100" s="96" t="e">
        <f t="shared" si="174"/>
        <v>#DIV/0!</v>
      </c>
      <c r="AF100" s="96" t="e">
        <f t="shared" si="175"/>
        <v>#DIV/0!</v>
      </c>
      <c r="AG100" s="96" t="e">
        <f t="shared" si="176"/>
        <v>#DIV/0!</v>
      </c>
      <c r="AH100" s="96" t="e">
        <f t="shared" si="177"/>
        <v>#DIV/0!</v>
      </c>
      <c r="AI100" s="126" t="e">
        <f t="shared" si="178"/>
        <v>#DIV/0!</v>
      </c>
      <c r="AJ100" s="131">
        <f t="shared" si="139"/>
        <v>4.1000000000000002E-2</v>
      </c>
      <c r="AK100" s="130" t="e">
        <f t="shared" si="179"/>
        <v>#DIV/0!</v>
      </c>
      <c r="AL100" s="96" t="e">
        <f t="shared" si="180"/>
        <v>#DIV/0!</v>
      </c>
      <c r="AM100" s="96" t="e">
        <f t="shared" si="181"/>
        <v>#DIV/0!</v>
      </c>
      <c r="AN100" s="96" t="e">
        <f t="shared" si="182"/>
        <v>#DIV/0!</v>
      </c>
      <c r="AO100" s="4" t="e">
        <f t="shared" si="183"/>
        <v>#DIV/0!</v>
      </c>
      <c r="AP100" s="6" t="e">
        <f t="shared" si="184"/>
        <v>#DIV/0!</v>
      </c>
      <c r="AQ100" s="5">
        <f t="shared" si="146"/>
        <v>0.36599999999999999</v>
      </c>
      <c r="AR100" s="4"/>
      <c r="AS100" s="132" t="e">
        <f t="shared" si="185"/>
        <v>#DIV/0!</v>
      </c>
      <c r="AT100" s="133" t="e">
        <f t="shared" si="186"/>
        <v>#DIV/0!</v>
      </c>
      <c r="AU100" s="133" t="e">
        <f t="shared" si="187"/>
        <v>#DIV/0!</v>
      </c>
      <c r="AV100" s="133" t="e">
        <f t="shared" si="188"/>
        <v>#DIV/0!</v>
      </c>
      <c r="AW100" s="133" t="e">
        <f t="shared" si="189"/>
        <v>#DIV/0!</v>
      </c>
      <c r="AX100" s="5" t="e">
        <f t="shared" si="190"/>
        <v>#DIV/0!</v>
      </c>
      <c r="AY100" s="5" t="e">
        <f t="shared" si="191"/>
        <v>#DIV/0!</v>
      </c>
      <c r="AZ100" s="5">
        <f t="shared" si="154"/>
        <v>0.85199999999999998</v>
      </c>
      <c r="BA100" s="134" t="e">
        <f t="shared" si="192"/>
        <v>#DIV/0!</v>
      </c>
      <c r="BB100" s="133" t="e">
        <f t="shared" si="193"/>
        <v>#DIV/0!</v>
      </c>
      <c r="BC100" s="106" t="e">
        <f t="shared" si="194"/>
        <v>#DIV/0!</v>
      </c>
      <c r="BD100" s="106" t="e">
        <f t="shared" si="195"/>
        <v>#DIV/0!</v>
      </c>
      <c r="BE100" s="133" t="e">
        <f t="shared" si="196"/>
        <v>#DIV/0!</v>
      </c>
      <c r="BF100" s="135" t="e">
        <f t="shared" si="197"/>
        <v>#DIV/0!</v>
      </c>
      <c r="BG100" s="133" t="e">
        <f t="shared" si="198"/>
        <v>#DIV/0!</v>
      </c>
      <c r="BH100" s="135" t="e">
        <f t="shared" si="199"/>
        <v>#DIV/0!</v>
      </c>
      <c r="BI100" s="106">
        <f t="shared" si="163"/>
        <v>0.10390000000000001</v>
      </c>
      <c r="BJ100" s="130" t="e">
        <f t="shared" si="200"/>
        <v>#DIV/0!</v>
      </c>
      <c r="BK100" s="96" t="e">
        <f t="shared" si="201"/>
        <v>#DIV/0!</v>
      </c>
      <c r="BL100" s="96" t="e">
        <f t="shared" si="202"/>
        <v>#DIV/0!</v>
      </c>
      <c r="BM100" s="135" t="e">
        <f t="shared" si="203"/>
        <v>#DIV/0!</v>
      </c>
      <c r="BN100" s="96" t="e">
        <f t="shared" si="204"/>
        <v>#DIV/0!</v>
      </c>
      <c r="BO100" s="5" t="e">
        <f t="shared" si="205"/>
        <v>#DIV/0!</v>
      </c>
      <c r="BP100" s="5" t="e">
        <f t="shared" si="206"/>
        <v>#DIV/0!</v>
      </c>
      <c r="BQ100" s="5">
        <f t="shared" si="171"/>
        <v>3.9E-2</v>
      </c>
    </row>
    <row r="101" spans="1:69">
      <c r="A101" s="139"/>
      <c r="B101" s="139"/>
      <c r="K101" s="143" t="e">
        <f t="shared" si="123"/>
        <v>#DIV/0!</v>
      </c>
      <c r="L101" s="95" t="e">
        <f t="shared" si="124"/>
        <v>#DIV/0!</v>
      </c>
      <c r="M101" s="10" t="e">
        <f t="shared" si="125"/>
        <v>#DIV/0!</v>
      </c>
      <c r="N101" s="96" t="e">
        <f t="shared" si="126"/>
        <v>#DIV/0!</v>
      </c>
      <c r="O101" s="97">
        <f t="shared" si="127"/>
        <v>0</v>
      </c>
      <c r="Q101" s="142"/>
      <c r="R101" s="108">
        <f t="shared" si="121"/>
        <v>-40080</v>
      </c>
      <c r="S101" s="2"/>
      <c r="T101"/>
      <c r="U101"/>
      <c r="V101"/>
      <c r="W101" s="2"/>
      <c r="X101"/>
      <c r="AC101" s="130" t="e">
        <f t="shared" si="172"/>
        <v>#DIV/0!</v>
      </c>
      <c r="AD101" s="96" t="e">
        <f t="shared" si="173"/>
        <v>#DIV/0!</v>
      </c>
      <c r="AE101" s="96" t="e">
        <f t="shared" si="174"/>
        <v>#DIV/0!</v>
      </c>
      <c r="AF101" s="96" t="e">
        <f t="shared" si="175"/>
        <v>#DIV/0!</v>
      </c>
      <c r="AG101" s="96" t="e">
        <f t="shared" si="176"/>
        <v>#DIV/0!</v>
      </c>
      <c r="AH101" s="96" t="e">
        <f t="shared" si="177"/>
        <v>#DIV/0!</v>
      </c>
      <c r="AI101" s="126" t="e">
        <f t="shared" si="178"/>
        <v>#DIV/0!</v>
      </c>
      <c r="AJ101" s="131">
        <f t="shared" si="139"/>
        <v>4.1000000000000002E-2</v>
      </c>
      <c r="AK101" s="130" t="e">
        <f t="shared" si="179"/>
        <v>#DIV/0!</v>
      </c>
      <c r="AL101" s="96" t="e">
        <f t="shared" si="180"/>
        <v>#DIV/0!</v>
      </c>
      <c r="AM101" s="96" t="e">
        <f t="shared" si="181"/>
        <v>#DIV/0!</v>
      </c>
      <c r="AN101" s="96" t="e">
        <f t="shared" si="182"/>
        <v>#DIV/0!</v>
      </c>
      <c r="AO101" s="4" t="e">
        <f t="shared" si="183"/>
        <v>#DIV/0!</v>
      </c>
      <c r="AP101" s="6" t="e">
        <f t="shared" si="184"/>
        <v>#DIV/0!</v>
      </c>
      <c r="AQ101" s="5">
        <f t="shared" si="146"/>
        <v>0.36599999999999999</v>
      </c>
      <c r="AR101" s="4"/>
      <c r="AS101" s="132" t="e">
        <f t="shared" si="185"/>
        <v>#DIV/0!</v>
      </c>
      <c r="AT101" s="133" t="e">
        <f t="shared" si="186"/>
        <v>#DIV/0!</v>
      </c>
      <c r="AU101" s="133" t="e">
        <f t="shared" si="187"/>
        <v>#DIV/0!</v>
      </c>
      <c r="AV101" s="133" t="e">
        <f t="shared" si="188"/>
        <v>#DIV/0!</v>
      </c>
      <c r="AW101" s="133" t="e">
        <f t="shared" si="189"/>
        <v>#DIV/0!</v>
      </c>
      <c r="AX101" s="5" t="e">
        <f t="shared" si="190"/>
        <v>#DIV/0!</v>
      </c>
      <c r="AY101" s="5" t="e">
        <f t="shared" si="191"/>
        <v>#DIV/0!</v>
      </c>
      <c r="AZ101" s="5">
        <f t="shared" si="154"/>
        <v>0.85199999999999998</v>
      </c>
      <c r="BA101" s="134" t="e">
        <f t="shared" si="192"/>
        <v>#DIV/0!</v>
      </c>
      <c r="BB101" s="133" t="e">
        <f t="shared" si="193"/>
        <v>#DIV/0!</v>
      </c>
      <c r="BC101" s="106" t="e">
        <f t="shared" si="194"/>
        <v>#DIV/0!</v>
      </c>
      <c r="BD101" s="106" t="e">
        <f t="shared" si="195"/>
        <v>#DIV/0!</v>
      </c>
      <c r="BE101" s="133" t="e">
        <f t="shared" si="196"/>
        <v>#DIV/0!</v>
      </c>
      <c r="BF101" s="135" t="e">
        <f t="shared" si="197"/>
        <v>#DIV/0!</v>
      </c>
      <c r="BG101" s="133" t="e">
        <f t="shared" si="198"/>
        <v>#DIV/0!</v>
      </c>
      <c r="BH101" s="135" t="e">
        <f t="shared" si="199"/>
        <v>#DIV/0!</v>
      </c>
      <c r="BI101" s="106">
        <f t="shared" si="163"/>
        <v>0.10390000000000001</v>
      </c>
      <c r="BJ101" s="130" t="e">
        <f t="shared" si="200"/>
        <v>#DIV/0!</v>
      </c>
      <c r="BK101" s="96" t="e">
        <f t="shared" si="201"/>
        <v>#DIV/0!</v>
      </c>
      <c r="BL101" s="96" t="e">
        <f t="shared" si="202"/>
        <v>#DIV/0!</v>
      </c>
      <c r="BM101" s="135" t="e">
        <f t="shared" si="203"/>
        <v>#DIV/0!</v>
      </c>
      <c r="BN101" s="96" t="e">
        <f t="shared" si="204"/>
        <v>#DIV/0!</v>
      </c>
      <c r="BO101" s="5" t="e">
        <f t="shared" si="205"/>
        <v>#DIV/0!</v>
      </c>
      <c r="BP101" s="5" t="e">
        <f t="shared" si="206"/>
        <v>#DIV/0!</v>
      </c>
      <c r="BQ101" s="5">
        <f t="shared" si="171"/>
        <v>3.9E-2</v>
      </c>
    </row>
    <row r="102" spans="1:69">
      <c r="A102" s="139"/>
      <c r="B102" s="139"/>
      <c r="K102" s="143" t="e">
        <f t="shared" si="123"/>
        <v>#DIV/0!</v>
      </c>
      <c r="L102" s="95" t="e">
        <f t="shared" si="124"/>
        <v>#DIV/0!</v>
      </c>
      <c r="M102" s="10" t="e">
        <f t="shared" si="125"/>
        <v>#DIV/0!</v>
      </c>
      <c r="N102" s="96" t="e">
        <f t="shared" si="126"/>
        <v>#DIV/0!</v>
      </c>
      <c r="O102" s="97">
        <f t="shared" si="127"/>
        <v>0</v>
      </c>
      <c r="Q102" s="142"/>
      <c r="R102" s="108">
        <f t="shared" si="121"/>
        <v>-40080</v>
      </c>
      <c r="S102" s="2"/>
      <c r="T102"/>
      <c r="U102"/>
      <c r="V102"/>
      <c r="W102" s="2"/>
      <c r="X102"/>
      <c r="AC102" s="130" t="e">
        <f t="shared" si="172"/>
        <v>#DIV/0!</v>
      </c>
      <c r="AD102" s="96" t="e">
        <f t="shared" si="173"/>
        <v>#DIV/0!</v>
      </c>
      <c r="AE102" s="96" t="e">
        <f t="shared" si="174"/>
        <v>#DIV/0!</v>
      </c>
      <c r="AF102" s="96" t="e">
        <f t="shared" si="175"/>
        <v>#DIV/0!</v>
      </c>
      <c r="AG102" s="96" t="e">
        <f t="shared" si="176"/>
        <v>#DIV/0!</v>
      </c>
      <c r="AH102" s="96" t="e">
        <f t="shared" si="177"/>
        <v>#DIV/0!</v>
      </c>
      <c r="AI102" s="126" t="e">
        <f t="shared" si="178"/>
        <v>#DIV/0!</v>
      </c>
      <c r="AJ102" s="131">
        <f t="shared" si="139"/>
        <v>4.1000000000000002E-2</v>
      </c>
      <c r="AK102" s="130" t="e">
        <f t="shared" si="179"/>
        <v>#DIV/0!</v>
      </c>
      <c r="AL102" s="96" t="e">
        <f t="shared" si="180"/>
        <v>#DIV/0!</v>
      </c>
      <c r="AM102" s="96" t="e">
        <f t="shared" si="181"/>
        <v>#DIV/0!</v>
      </c>
      <c r="AN102" s="96" t="e">
        <f t="shared" si="182"/>
        <v>#DIV/0!</v>
      </c>
      <c r="AO102" s="4" t="e">
        <f t="shared" si="183"/>
        <v>#DIV/0!</v>
      </c>
      <c r="AP102" s="6" t="e">
        <f t="shared" si="184"/>
        <v>#DIV/0!</v>
      </c>
      <c r="AQ102" s="5">
        <f t="shared" si="146"/>
        <v>0.36599999999999999</v>
      </c>
      <c r="AR102" s="4"/>
      <c r="AS102" s="132" t="e">
        <f t="shared" si="185"/>
        <v>#DIV/0!</v>
      </c>
      <c r="AT102" s="133" t="e">
        <f t="shared" si="186"/>
        <v>#DIV/0!</v>
      </c>
      <c r="AU102" s="133" t="e">
        <f t="shared" si="187"/>
        <v>#DIV/0!</v>
      </c>
      <c r="AV102" s="133" t="e">
        <f t="shared" si="188"/>
        <v>#DIV/0!</v>
      </c>
      <c r="AW102" s="133" t="e">
        <f t="shared" si="189"/>
        <v>#DIV/0!</v>
      </c>
      <c r="AX102" s="5" t="e">
        <f t="shared" si="190"/>
        <v>#DIV/0!</v>
      </c>
      <c r="AY102" s="5" t="e">
        <f t="shared" si="191"/>
        <v>#DIV/0!</v>
      </c>
      <c r="AZ102" s="5">
        <f t="shared" si="154"/>
        <v>0.85199999999999998</v>
      </c>
      <c r="BA102" s="134" t="e">
        <f t="shared" si="192"/>
        <v>#DIV/0!</v>
      </c>
      <c r="BB102" s="133" t="e">
        <f t="shared" si="193"/>
        <v>#DIV/0!</v>
      </c>
      <c r="BC102" s="106" t="e">
        <f t="shared" si="194"/>
        <v>#DIV/0!</v>
      </c>
      <c r="BD102" s="106" t="e">
        <f t="shared" si="195"/>
        <v>#DIV/0!</v>
      </c>
      <c r="BE102" s="133" t="e">
        <f t="shared" si="196"/>
        <v>#DIV/0!</v>
      </c>
      <c r="BF102" s="135" t="e">
        <f t="shared" si="197"/>
        <v>#DIV/0!</v>
      </c>
      <c r="BG102" s="133" t="e">
        <f t="shared" si="198"/>
        <v>#DIV/0!</v>
      </c>
      <c r="BH102" s="135" t="e">
        <f t="shared" si="199"/>
        <v>#DIV/0!</v>
      </c>
      <c r="BI102" s="106">
        <f t="shared" si="163"/>
        <v>0.10390000000000001</v>
      </c>
      <c r="BJ102" s="130" t="e">
        <f t="shared" si="200"/>
        <v>#DIV/0!</v>
      </c>
      <c r="BK102" s="96" t="e">
        <f t="shared" si="201"/>
        <v>#DIV/0!</v>
      </c>
      <c r="BL102" s="96" t="e">
        <f t="shared" si="202"/>
        <v>#DIV/0!</v>
      </c>
      <c r="BM102" s="135" t="e">
        <f t="shared" si="203"/>
        <v>#DIV/0!</v>
      </c>
      <c r="BN102" s="96" t="e">
        <f t="shared" si="204"/>
        <v>#DIV/0!</v>
      </c>
      <c r="BO102" s="5" t="e">
        <f t="shared" si="205"/>
        <v>#DIV/0!</v>
      </c>
      <c r="BP102" s="5" t="e">
        <f t="shared" si="206"/>
        <v>#DIV/0!</v>
      </c>
      <c r="BQ102" s="5">
        <f t="shared" si="171"/>
        <v>3.9E-2</v>
      </c>
    </row>
    <row r="103" spans="1:69">
      <c r="A103" s="139"/>
      <c r="B103" s="139"/>
      <c r="K103" s="143" t="e">
        <f t="shared" si="123"/>
        <v>#DIV/0!</v>
      </c>
      <c r="L103" s="95" t="e">
        <f t="shared" si="124"/>
        <v>#DIV/0!</v>
      </c>
      <c r="M103" s="10" t="e">
        <f t="shared" si="125"/>
        <v>#DIV/0!</v>
      </c>
      <c r="N103" s="96" t="e">
        <f t="shared" si="126"/>
        <v>#DIV/0!</v>
      </c>
      <c r="O103" s="97">
        <f t="shared" si="127"/>
        <v>0</v>
      </c>
      <c r="Q103" s="142"/>
      <c r="R103" s="108">
        <f t="shared" si="121"/>
        <v>-40080</v>
      </c>
      <c r="S103" s="2"/>
      <c r="T103"/>
      <c r="U103"/>
      <c r="V103"/>
      <c r="W103" s="2"/>
      <c r="X103"/>
      <c r="AC103" s="130" t="e">
        <f t="shared" si="172"/>
        <v>#DIV/0!</v>
      </c>
      <c r="AD103" s="96" t="e">
        <f t="shared" si="173"/>
        <v>#DIV/0!</v>
      </c>
      <c r="AE103" s="96" t="e">
        <f t="shared" si="174"/>
        <v>#DIV/0!</v>
      </c>
      <c r="AF103" s="96" t="e">
        <f t="shared" si="175"/>
        <v>#DIV/0!</v>
      </c>
      <c r="AG103" s="96" t="e">
        <f t="shared" si="176"/>
        <v>#DIV/0!</v>
      </c>
      <c r="AH103" s="96" t="e">
        <f t="shared" si="177"/>
        <v>#DIV/0!</v>
      </c>
      <c r="AI103" s="126" t="e">
        <f t="shared" si="178"/>
        <v>#DIV/0!</v>
      </c>
      <c r="AJ103" s="131">
        <f t="shared" si="139"/>
        <v>4.1000000000000002E-2</v>
      </c>
      <c r="AK103" s="130" t="e">
        <f t="shared" si="179"/>
        <v>#DIV/0!</v>
      </c>
      <c r="AL103" s="96" t="e">
        <f t="shared" si="180"/>
        <v>#DIV/0!</v>
      </c>
      <c r="AM103" s="96" t="e">
        <f t="shared" si="181"/>
        <v>#DIV/0!</v>
      </c>
      <c r="AN103" s="96" t="e">
        <f t="shared" si="182"/>
        <v>#DIV/0!</v>
      </c>
      <c r="AO103" s="4" t="e">
        <f t="shared" si="183"/>
        <v>#DIV/0!</v>
      </c>
      <c r="AP103" s="6" t="e">
        <f t="shared" si="184"/>
        <v>#DIV/0!</v>
      </c>
      <c r="AQ103" s="5">
        <f t="shared" si="146"/>
        <v>0.36599999999999999</v>
      </c>
      <c r="AR103" s="4"/>
      <c r="AS103" s="132" t="e">
        <f t="shared" si="185"/>
        <v>#DIV/0!</v>
      </c>
      <c r="AT103" s="133" t="e">
        <f t="shared" si="186"/>
        <v>#DIV/0!</v>
      </c>
      <c r="AU103" s="133" t="e">
        <f t="shared" si="187"/>
        <v>#DIV/0!</v>
      </c>
      <c r="AV103" s="133" t="e">
        <f t="shared" si="188"/>
        <v>#DIV/0!</v>
      </c>
      <c r="AW103" s="133" t="e">
        <f t="shared" si="189"/>
        <v>#DIV/0!</v>
      </c>
      <c r="AX103" s="5" t="e">
        <f t="shared" si="190"/>
        <v>#DIV/0!</v>
      </c>
      <c r="AY103" s="5" t="e">
        <f t="shared" si="191"/>
        <v>#DIV/0!</v>
      </c>
      <c r="AZ103" s="5">
        <f t="shared" si="154"/>
        <v>0.85199999999999998</v>
      </c>
      <c r="BA103" s="134" t="e">
        <f t="shared" si="192"/>
        <v>#DIV/0!</v>
      </c>
      <c r="BB103" s="133" t="e">
        <f t="shared" si="193"/>
        <v>#DIV/0!</v>
      </c>
      <c r="BC103" s="106" t="e">
        <f t="shared" si="194"/>
        <v>#DIV/0!</v>
      </c>
      <c r="BD103" s="106" t="e">
        <f t="shared" si="195"/>
        <v>#DIV/0!</v>
      </c>
      <c r="BE103" s="133" t="e">
        <f t="shared" si="196"/>
        <v>#DIV/0!</v>
      </c>
      <c r="BF103" s="135" t="e">
        <f t="shared" si="197"/>
        <v>#DIV/0!</v>
      </c>
      <c r="BG103" s="133" t="e">
        <f t="shared" si="198"/>
        <v>#DIV/0!</v>
      </c>
      <c r="BH103" s="135" t="e">
        <f t="shared" si="199"/>
        <v>#DIV/0!</v>
      </c>
      <c r="BI103" s="106">
        <f t="shared" si="163"/>
        <v>0.10390000000000001</v>
      </c>
      <c r="BJ103" s="130" t="e">
        <f t="shared" si="200"/>
        <v>#DIV/0!</v>
      </c>
      <c r="BK103" s="96" t="e">
        <f t="shared" si="201"/>
        <v>#DIV/0!</v>
      </c>
      <c r="BL103" s="96" t="e">
        <f t="shared" si="202"/>
        <v>#DIV/0!</v>
      </c>
      <c r="BM103" s="135" t="e">
        <f t="shared" si="203"/>
        <v>#DIV/0!</v>
      </c>
      <c r="BN103" s="96" t="e">
        <f t="shared" si="204"/>
        <v>#DIV/0!</v>
      </c>
      <c r="BO103" s="5" t="e">
        <f t="shared" si="205"/>
        <v>#DIV/0!</v>
      </c>
      <c r="BP103" s="5" t="e">
        <f t="shared" si="206"/>
        <v>#DIV/0!</v>
      </c>
      <c r="BQ103" s="5">
        <f t="shared" si="171"/>
        <v>3.9E-2</v>
      </c>
    </row>
    <row r="104" spans="1:69">
      <c r="A104" s="139"/>
      <c r="B104" s="139"/>
      <c r="K104" s="143" t="e">
        <f t="shared" si="123"/>
        <v>#DIV/0!</v>
      </c>
      <c r="L104" s="95" t="e">
        <f t="shared" si="124"/>
        <v>#DIV/0!</v>
      </c>
      <c r="M104" s="10" t="e">
        <f t="shared" si="125"/>
        <v>#DIV/0!</v>
      </c>
      <c r="N104" s="96" t="e">
        <f t="shared" si="126"/>
        <v>#DIV/0!</v>
      </c>
      <c r="O104" s="97">
        <f t="shared" si="127"/>
        <v>0</v>
      </c>
      <c r="Q104" s="142"/>
      <c r="R104" s="108">
        <f t="shared" si="121"/>
        <v>-40080</v>
      </c>
      <c r="S104" s="2"/>
      <c r="T104"/>
      <c r="U104"/>
      <c r="V104"/>
      <c r="W104" s="2"/>
      <c r="X104"/>
      <c r="AC104" s="130" t="e">
        <f t="shared" si="172"/>
        <v>#DIV/0!</v>
      </c>
      <c r="AD104" s="96" t="e">
        <f t="shared" si="173"/>
        <v>#DIV/0!</v>
      </c>
      <c r="AE104" s="96" t="e">
        <f t="shared" si="174"/>
        <v>#DIV/0!</v>
      </c>
      <c r="AF104" s="96" t="e">
        <f t="shared" si="175"/>
        <v>#DIV/0!</v>
      </c>
      <c r="AG104" s="96" t="e">
        <f t="shared" si="176"/>
        <v>#DIV/0!</v>
      </c>
      <c r="AH104" s="96" t="e">
        <f t="shared" si="177"/>
        <v>#DIV/0!</v>
      </c>
      <c r="AI104" s="126" t="e">
        <f t="shared" si="178"/>
        <v>#DIV/0!</v>
      </c>
      <c r="AJ104" s="131">
        <f t="shared" si="139"/>
        <v>4.1000000000000002E-2</v>
      </c>
      <c r="AK104" s="130" t="e">
        <f t="shared" si="179"/>
        <v>#DIV/0!</v>
      </c>
      <c r="AL104" s="96" t="e">
        <f t="shared" si="180"/>
        <v>#DIV/0!</v>
      </c>
      <c r="AM104" s="96" t="e">
        <f t="shared" si="181"/>
        <v>#DIV/0!</v>
      </c>
      <c r="AN104" s="96" t="e">
        <f t="shared" si="182"/>
        <v>#DIV/0!</v>
      </c>
      <c r="AO104" s="4" t="e">
        <f t="shared" si="183"/>
        <v>#DIV/0!</v>
      </c>
      <c r="AP104" s="6" t="e">
        <f t="shared" si="184"/>
        <v>#DIV/0!</v>
      </c>
      <c r="AQ104" s="5">
        <f t="shared" si="146"/>
        <v>0.36599999999999999</v>
      </c>
      <c r="AR104" s="4"/>
      <c r="AS104" s="132" t="e">
        <f t="shared" si="185"/>
        <v>#DIV/0!</v>
      </c>
      <c r="AT104" s="133" t="e">
        <f t="shared" si="186"/>
        <v>#DIV/0!</v>
      </c>
      <c r="AU104" s="133" t="e">
        <f t="shared" si="187"/>
        <v>#DIV/0!</v>
      </c>
      <c r="AV104" s="133" t="e">
        <f t="shared" si="188"/>
        <v>#DIV/0!</v>
      </c>
      <c r="AW104" s="133" t="e">
        <f t="shared" si="189"/>
        <v>#DIV/0!</v>
      </c>
      <c r="AX104" s="5" t="e">
        <f t="shared" si="190"/>
        <v>#DIV/0!</v>
      </c>
      <c r="AY104" s="5" t="e">
        <f t="shared" si="191"/>
        <v>#DIV/0!</v>
      </c>
      <c r="AZ104" s="5">
        <f t="shared" si="154"/>
        <v>0.85199999999999998</v>
      </c>
      <c r="BA104" s="134" t="e">
        <f t="shared" si="192"/>
        <v>#DIV/0!</v>
      </c>
      <c r="BB104" s="133" t="e">
        <f t="shared" si="193"/>
        <v>#DIV/0!</v>
      </c>
      <c r="BC104" s="106" t="e">
        <f t="shared" si="194"/>
        <v>#DIV/0!</v>
      </c>
      <c r="BD104" s="106" t="e">
        <f t="shared" si="195"/>
        <v>#DIV/0!</v>
      </c>
      <c r="BE104" s="133" t="e">
        <f t="shared" si="196"/>
        <v>#DIV/0!</v>
      </c>
      <c r="BF104" s="135" t="e">
        <f t="shared" si="197"/>
        <v>#DIV/0!</v>
      </c>
      <c r="BG104" s="133" t="e">
        <f t="shared" si="198"/>
        <v>#DIV/0!</v>
      </c>
      <c r="BH104" s="135" t="e">
        <f t="shared" si="199"/>
        <v>#DIV/0!</v>
      </c>
      <c r="BI104" s="106">
        <f t="shared" si="163"/>
        <v>0.10390000000000001</v>
      </c>
      <c r="BJ104" s="130" t="e">
        <f t="shared" si="200"/>
        <v>#DIV/0!</v>
      </c>
      <c r="BK104" s="96" t="e">
        <f t="shared" si="201"/>
        <v>#DIV/0!</v>
      </c>
      <c r="BL104" s="96" t="e">
        <f t="shared" si="202"/>
        <v>#DIV/0!</v>
      </c>
      <c r="BM104" s="135" t="e">
        <f t="shared" si="203"/>
        <v>#DIV/0!</v>
      </c>
      <c r="BN104" s="96" t="e">
        <f t="shared" si="204"/>
        <v>#DIV/0!</v>
      </c>
      <c r="BO104" s="5" t="e">
        <f t="shared" si="205"/>
        <v>#DIV/0!</v>
      </c>
      <c r="BP104" s="5" t="e">
        <f t="shared" si="206"/>
        <v>#DIV/0!</v>
      </c>
      <c r="BQ104" s="5">
        <f t="shared" si="171"/>
        <v>3.9E-2</v>
      </c>
    </row>
    <row r="105" spans="1:69">
      <c r="A105" s="139"/>
      <c r="B105" s="139"/>
      <c r="K105" s="143" t="e">
        <f t="shared" si="123"/>
        <v>#DIV/0!</v>
      </c>
      <c r="L105" s="95" t="e">
        <f t="shared" si="124"/>
        <v>#DIV/0!</v>
      </c>
      <c r="M105" s="10" t="e">
        <f t="shared" si="125"/>
        <v>#DIV/0!</v>
      </c>
      <c r="N105" s="96" t="e">
        <f t="shared" si="126"/>
        <v>#DIV/0!</v>
      </c>
      <c r="O105" s="97">
        <f t="shared" si="127"/>
        <v>0</v>
      </c>
      <c r="Q105" s="142"/>
      <c r="R105" s="108">
        <f t="shared" si="121"/>
        <v>-40080</v>
      </c>
      <c r="S105" s="2"/>
      <c r="T105"/>
      <c r="U105"/>
      <c r="V105"/>
      <c r="W105" s="2"/>
      <c r="X105"/>
      <c r="AC105" s="130" t="e">
        <f t="shared" si="172"/>
        <v>#DIV/0!</v>
      </c>
      <c r="AD105" s="96" t="e">
        <f t="shared" si="173"/>
        <v>#DIV/0!</v>
      </c>
      <c r="AE105" s="96" t="e">
        <f t="shared" si="174"/>
        <v>#DIV/0!</v>
      </c>
      <c r="AF105" s="96" t="e">
        <f t="shared" si="175"/>
        <v>#DIV/0!</v>
      </c>
      <c r="AG105" s="96" t="e">
        <f t="shared" si="176"/>
        <v>#DIV/0!</v>
      </c>
      <c r="AH105" s="96" t="e">
        <f t="shared" si="177"/>
        <v>#DIV/0!</v>
      </c>
      <c r="AI105" s="126" t="e">
        <f t="shared" si="178"/>
        <v>#DIV/0!</v>
      </c>
      <c r="AJ105" s="131">
        <f t="shared" si="139"/>
        <v>4.1000000000000002E-2</v>
      </c>
      <c r="AK105" s="130" t="e">
        <f t="shared" si="179"/>
        <v>#DIV/0!</v>
      </c>
      <c r="AL105" s="96" t="e">
        <f t="shared" si="180"/>
        <v>#DIV/0!</v>
      </c>
      <c r="AM105" s="96" t="e">
        <f t="shared" si="181"/>
        <v>#DIV/0!</v>
      </c>
      <c r="AN105" s="96" t="e">
        <f t="shared" si="182"/>
        <v>#DIV/0!</v>
      </c>
      <c r="AO105" s="4" t="e">
        <f t="shared" si="183"/>
        <v>#DIV/0!</v>
      </c>
      <c r="AP105" s="6" t="e">
        <f t="shared" si="184"/>
        <v>#DIV/0!</v>
      </c>
      <c r="AQ105" s="5">
        <f t="shared" si="146"/>
        <v>0.36599999999999999</v>
      </c>
      <c r="AR105" s="4"/>
      <c r="AS105" s="132" t="e">
        <f t="shared" si="185"/>
        <v>#DIV/0!</v>
      </c>
      <c r="AT105" s="133" t="e">
        <f t="shared" si="186"/>
        <v>#DIV/0!</v>
      </c>
      <c r="AU105" s="133" t="e">
        <f t="shared" si="187"/>
        <v>#DIV/0!</v>
      </c>
      <c r="AV105" s="133" t="e">
        <f t="shared" si="188"/>
        <v>#DIV/0!</v>
      </c>
      <c r="AW105" s="133" t="e">
        <f t="shared" si="189"/>
        <v>#DIV/0!</v>
      </c>
      <c r="AX105" s="5" t="e">
        <f t="shared" si="190"/>
        <v>#DIV/0!</v>
      </c>
      <c r="AY105" s="5" t="e">
        <f t="shared" si="191"/>
        <v>#DIV/0!</v>
      </c>
      <c r="AZ105" s="5">
        <f t="shared" si="154"/>
        <v>0.85199999999999998</v>
      </c>
      <c r="BA105" s="134" t="e">
        <f t="shared" si="192"/>
        <v>#DIV/0!</v>
      </c>
      <c r="BB105" s="133" t="e">
        <f t="shared" si="193"/>
        <v>#DIV/0!</v>
      </c>
      <c r="BC105" s="106" t="e">
        <f t="shared" si="194"/>
        <v>#DIV/0!</v>
      </c>
      <c r="BD105" s="106" t="e">
        <f t="shared" si="195"/>
        <v>#DIV/0!</v>
      </c>
      <c r="BE105" s="133" t="e">
        <f t="shared" si="196"/>
        <v>#DIV/0!</v>
      </c>
      <c r="BF105" s="135" t="e">
        <f t="shared" si="197"/>
        <v>#DIV/0!</v>
      </c>
      <c r="BG105" s="133" t="e">
        <f t="shared" si="198"/>
        <v>#DIV/0!</v>
      </c>
      <c r="BH105" s="135" t="e">
        <f t="shared" si="199"/>
        <v>#DIV/0!</v>
      </c>
      <c r="BI105" s="106">
        <f t="shared" si="163"/>
        <v>0.10390000000000001</v>
      </c>
      <c r="BJ105" s="130" t="e">
        <f t="shared" si="200"/>
        <v>#DIV/0!</v>
      </c>
      <c r="BK105" s="96" t="e">
        <f t="shared" si="201"/>
        <v>#DIV/0!</v>
      </c>
      <c r="BL105" s="96" t="e">
        <f t="shared" si="202"/>
        <v>#DIV/0!</v>
      </c>
      <c r="BM105" s="135" t="e">
        <f t="shared" si="203"/>
        <v>#DIV/0!</v>
      </c>
      <c r="BN105" s="96" t="e">
        <f t="shared" si="204"/>
        <v>#DIV/0!</v>
      </c>
      <c r="BO105" s="5" t="e">
        <f t="shared" si="205"/>
        <v>#DIV/0!</v>
      </c>
      <c r="BP105" s="5" t="e">
        <f t="shared" si="206"/>
        <v>#DIV/0!</v>
      </c>
      <c r="BQ105" s="5">
        <f t="shared" si="171"/>
        <v>3.9E-2</v>
      </c>
    </row>
    <row r="106" spans="1:69">
      <c r="A106" s="139"/>
      <c r="B106" s="139"/>
      <c r="K106" s="143" t="e">
        <f t="shared" si="123"/>
        <v>#DIV/0!</v>
      </c>
      <c r="L106" s="95" t="e">
        <f t="shared" si="124"/>
        <v>#DIV/0!</v>
      </c>
      <c r="M106" s="10" t="e">
        <f t="shared" si="125"/>
        <v>#DIV/0!</v>
      </c>
      <c r="N106" s="96" t="e">
        <f t="shared" si="126"/>
        <v>#DIV/0!</v>
      </c>
      <c r="O106" s="97">
        <f t="shared" si="127"/>
        <v>0</v>
      </c>
      <c r="Q106" s="142"/>
      <c r="R106" s="108">
        <f t="shared" si="121"/>
        <v>-40080</v>
      </c>
      <c r="S106" s="2"/>
      <c r="T106"/>
      <c r="U106"/>
      <c r="V106"/>
      <c r="W106" s="2"/>
      <c r="X106"/>
      <c r="AC106" s="130" t="e">
        <f t="shared" si="172"/>
        <v>#DIV/0!</v>
      </c>
      <c r="AD106" s="96" t="e">
        <f t="shared" si="173"/>
        <v>#DIV/0!</v>
      </c>
      <c r="AE106" s="96" t="e">
        <f t="shared" si="174"/>
        <v>#DIV/0!</v>
      </c>
      <c r="AF106" s="96" t="e">
        <f t="shared" si="175"/>
        <v>#DIV/0!</v>
      </c>
      <c r="AG106" s="96" t="e">
        <f t="shared" si="176"/>
        <v>#DIV/0!</v>
      </c>
      <c r="AH106" s="96" t="e">
        <f t="shared" si="177"/>
        <v>#DIV/0!</v>
      </c>
      <c r="AI106" s="126" t="e">
        <f t="shared" si="178"/>
        <v>#DIV/0!</v>
      </c>
      <c r="AJ106" s="131">
        <f t="shared" si="139"/>
        <v>4.1000000000000002E-2</v>
      </c>
      <c r="AK106" s="130" t="e">
        <f t="shared" si="179"/>
        <v>#DIV/0!</v>
      </c>
      <c r="AL106" s="96" t="e">
        <f t="shared" si="180"/>
        <v>#DIV/0!</v>
      </c>
      <c r="AM106" s="96" t="e">
        <f t="shared" si="181"/>
        <v>#DIV/0!</v>
      </c>
      <c r="AN106" s="96" t="e">
        <f t="shared" si="182"/>
        <v>#DIV/0!</v>
      </c>
      <c r="AO106" s="4" t="e">
        <f t="shared" si="183"/>
        <v>#DIV/0!</v>
      </c>
      <c r="AP106" s="6" t="e">
        <f t="shared" si="184"/>
        <v>#DIV/0!</v>
      </c>
      <c r="AQ106" s="5">
        <f t="shared" si="146"/>
        <v>0.36599999999999999</v>
      </c>
      <c r="AR106" s="4"/>
      <c r="AS106" s="132" t="e">
        <f t="shared" si="185"/>
        <v>#DIV/0!</v>
      </c>
      <c r="AT106" s="133" t="e">
        <f t="shared" si="186"/>
        <v>#DIV/0!</v>
      </c>
      <c r="AU106" s="133" t="e">
        <f t="shared" si="187"/>
        <v>#DIV/0!</v>
      </c>
      <c r="AV106" s="133" t="e">
        <f t="shared" si="188"/>
        <v>#DIV/0!</v>
      </c>
      <c r="AW106" s="133" t="e">
        <f t="shared" si="189"/>
        <v>#DIV/0!</v>
      </c>
      <c r="AX106" s="5" t="e">
        <f t="shared" si="190"/>
        <v>#DIV/0!</v>
      </c>
      <c r="AY106" s="5" t="e">
        <f t="shared" si="191"/>
        <v>#DIV/0!</v>
      </c>
      <c r="AZ106" s="5">
        <f t="shared" si="154"/>
        <v>0.85199999999999998</v>
      </c>
      <c r="BA106" s="134" t="e">
        <f t="shared" si="192"/>
        <v>#DIV/0!</v>
      </c>
      <c r="BB106" s="133" t="e">
        <f t="shared" si="193"/>
        <v>#DIV/0!</v>
      </c>
      <c r="BC106" s="106" t="e">
        <f t="shared" si="194"/>
        <v>#DIV/0!</v>
      </c>
      <c r="BD106" s="106" t="e">
        <f t="shared" si="195"/>
        <v>#DIV/0!</v>
      </c>
      <c r="BE106" s="133" t="e">
        <f t="shared" si="196"/>
        <v>#DIV/0!</v>
      </c>
      <c r="BF106" s="135" t="e">
        <f t="shared" si="197"/>
        <v>#DIV/0!</v>
      </c>
      <c r="BG106" s="133" t="e">
        <f t="shared" si="198"/>
        <v>#DIV/0!</v>
      </c>
      <c r="BH106" s="135" t="e">
        <f t="shared" si="199"/>
        <v>#DIV/0!</v>
      </c>
      <c r="BI106" s="106">
        <f t="shared" si="163"/>
        <v>0.10390000000000001</v>
      </c>
      <c r="BJ106" s="130" t="e">
        <f t="shared" si="200"/>
        <v>#DIV/0!</v>
      </c>
      <c r="BK106" s="96" t="e">
        <f t="shared" si="201"/>
        <v>#DIV/0!</v>
      </c>
      <c r="BL106" s="96" t="e">
        <f t="shared" si="202"/>
        <v>#DIV/0!</v>
      </c>
      <c r="BM106" s="135" t="e">
        <f t="shared" si="203"/>
        <v>#DIV/0!</v>
      </c>
      <c r="BN106" s="96" t="e">
        <f t="shared" si="204"/>
        <v>#DIV/0!</v>
      </c>
      <c r="BO106" s="5" t="e">
        <f t="shared" si="205"/>
        <v>#DIV/0!</v>
      </c>
      <c r="BP106" s="5" t="e">
        <f t="shared" si="206"/>
        <v>#DIV/0!</v>
      </c>
      <c r="BQ106" s="5">
        <f t="shared" si="171"/>
        <v>3.9E-2</v>
      </c>
    </row>
    <row r="107" spans="1:69">
      <c r="A107" s="139"/>
      <c r="B107" s="139"/>
      <c r="K107" s="143" t="e">
        <f t="shared" si="123"/>
        <v>#DIV/0!</v>
      </c>
      <c r="L107" s="95" t="e">
        <f t="shared" si="124"/>
        <v>#DIV/0!</v>
      </c>
      <c r="M107" s="10" t="e">
        <f t="shared" si="125"/>
        <v>#DIV/0!</v>
      </c>
      <c r="N107" s="96" t="e">
        <f t="shared" si="126"/>
        <v>#DIV/0!</v>
      </c>
      <c r="O107" s="97">
        <f t="shared" si="127"/>
        <v>0</v>
      </c>
      <c r="Q107" s="142"/>
      <c r="R107" s="108">
        <f t="shared" si="121"/>
        <v>-40080</v>
      </c>
      <c r="S107" s="2"/>
      <c r="T107"/>
      <c r="U107"/>
      <c r="V107"/>
      <c r="W107" s="2"/>
      <c r="X107"/>
      <c r="AC107" s="130" t="e">
        <f t="shared" si="172"/>
        <v>#DIV/0!</v>
      </c>
      <c r="AD107" s="96" t="e">
        <f t="shared" si="173"/>
        <v>#DIV/0!</v>
      </c>
      <c r="AE107" s="96" t="e">
        <f t="shared" si="174"/>
        <v>#DIV/0!</v>
      </c>
      <c r="AF107" s="96" t="e">
        <f t="shared" si="175"/>
        <v>#DIV/0!</v>
      </c>
      <c r="AG107" s="96" t="e">
        <f t="shared" si="176"/>
        <v>#DIV/0!</v>
      </c>
      <c r="AH107" s="96" t="e">
        <f t="shared" si="177"/>
        <v>#DIV/0!</v>
      </c>
      <c r="AI107" s="126" t="e">
        <f t="shared" si="178"/>
        <v>#DIV/0!</v>
      </c>
      <c r="AJ107" s="131">
        <f t="shared" si="139"/>
        <v>4.1000000000000002E-2</v>
      </c>
      <c r="AK107" s="130" t="e">
        <f t="shared" si="179"/>
        <v>#DIV/0!</v>
      </c>
      <c r="AL107" s="96" t="e">
        <f t="shared" si="180"/>
        <v>#DIV/0!</v>
      </c>
      <c r="AM107" s="96" t="e">
        <f t="shared" si="181"/>
        <v>#DIV/0!</v>
      </c>
      <c r="AN107" s="96" t="e">
        <f t="shared" si="182"/>
        <v>#DIV/0!</v>
      </c>
      <c r="AO107" s="4" t="e">
        <f t="shared" si="183"/>
        <v>#DIV/0!</v>
      </c>
      <c r="AP107" s="6" t="e">
        <f t="shared" si="184"/>
        <v>#DIV/0!</v>
      </c>
      <c r="AQ107" s="5">
        <f t="shared" si="146"/>
        <v>0.36599999999999999</v>
      </c>
      <c r="AR107" s="4"/>
      <c r="AS107" s="132" t="e">
        <f t="shared" si="185"/>
        <v>#DIV/0!</v>
      </c>
      <c r="AT107" s="133" t="e">
        <f t="shared" si="186"/>
        <v>#DIV/0!</v>
      </c>
      <c r="AU107" s="133" t="e">
        <f t="shared" si="187"/>
        <v>#DIV/0!</v>
      </c>
      <c r="AV107" s="133" t="e">
        <f t="shared" si="188"/>
        <v>#DIV/0!</v>
      </c>
      <c r="AW107" s="133" t="e">
        <f t="shared" si="189"/>
        <v>#DIV/0!</v>
      </c>
      <c r="AX107" s="5" t="e">
        <f t="shared" si="190"/>
        <v>#DIV/0!</v>
      </c>
      <c r="AY107" s="5" t="e">
        <f t="shared" si="191"/>
        <v>#DIV/0!</v>
      </c>
      <c r="AZ107" s="5">
        <f t="shared" si="154"/>
        <v>0.85199999999999998</v>
      </c>
      <c r="BA107" s="134" t="e">
        <f t="shared" si="192"/>
        <v>#DIV/0!</v>
      </c>
      <c r="BB107" s="133" t="e">
        <f t="shared" si="193"/>
        <v>#DIV/0!</v>
      </c>
      <c r="BC107" s="106" t="e">
        <f t="shared" si="194"/>
        <v>#DIV/0!</v>
      </c>
      <c r="BD107" s="106" t="e">
        <f t="shared" si="195"/>
        <v>#DIV/0!</v>
      </c>
      <c r="BE107" s="133" t="e">
        <f t="shared" si="196"/>
        <v>#DIV/0!</v>
      </c>
      <c r="BF107" s="135" t="e">
        <f t="shared" si="197"/>
        <v>#DIV/0!</v>
      </c>
      <c r="BG107" s="133" t="e">
        <f t="shared" si="198"/>
        <v>#DIV/0!</v>
      </c>
      <c r="BH107" s="135" t="e">
        <f t="shared" si="199"/>
        <v>#DIV/0!</v>
      </c>
      <c r="BI107" s="106">
        <f t="shared" si="163"/>
        <v>0.10390000000000001</v>
      </c>
      <c r="BJ107" s="130" t="e">
        <f t="shared" si="200"/>
        <v>#DIV/0!</v>
      </c>
      <c r="BK107" s="96" t="e">
        <f t="shared" si="201"/>
        <v>#DIV/0!</v>
      </c>
      <c r="BL107" s="96" t="e">
        <f t="shared" si="202"/>
        <v>#DIV/0!</v>
      </c>
      <c r="BM107" s="135" t="e">
        <f t="shared" si="203"/>
        <v>#DIV/0!</v>
      </c>
      <c r="BN107" s="96" t="e">
        <f t="shared" si="204"/>
        <v>#DIV/0!</v>
      </c>
      <c r="BO107" s="5" t="e">
        <f t="shared" si="205"/>
        <v>#DIV/0!</v>
      </c>
      <c r="BP107" s="5" t="e">
        <f t="shared" si="206"/>
        <v>#DIV/0!</v>
      </c>
      <c r="BQ107" s="5">
        <f t="shared" si="171"/>
        <v>3.9E-2</v>
      </c>
    </row>
    <row r="108" spans="1:69">
      <c r="A108" s="139"/>
      <c r="B108" s="139"/>
      <c r="K108" s="143" t="e">
        <f t="shared" si="123"/>
        <v>#DIV/0!</v>
      </c>
      <c r="L108" s="95" t="e">
        <f t="shared" si="124"/>
        <v>#DIV/0!</v>
      </c>
      <c r="M108" s="10" t="e">
        <f t="shared" si="125"/>
        <v>#DIV/0!</v>
      </c>
      <c r="N108" s="96" t="e">
        <f t="shared" si="126"/>
        <v>#DIV/0!</v>
      </c>
      <c r="O108" s="97">
        <f t="shared" si="127"/>
        <v>0</v>
      </c>
      <c r="Q108" s="142"/>
      <c r="R108" s="108">
        <f t="shared" si="121"/>
        <v>-40080</v>
      </c>
      <c r="S108" s="2"/>
      <c r="T108"/>
      <c r="U108"/>
      <c r="V108"/>
      <c r="W108" s="2"/>
      <c r="X108"/>
      <c r="AC108" s="130" t="e">
        <f t="shared" si="172"/>
        <v>#DIV/0!</v>
      </c>
      <c r="AD108" s="96" t="e">
        <f t="shared" si="173"/>
        <v>#DIV/0!</v>
      </c>
      <c r="AE108" s="96" t="e">
        <f t="shared" si="174"/>
        <v>#DIV/0!</v>
      </c>
      <c r="AF108" s="96" t="e">
        <f t="shared" si="175"/>
        <v>#DIV/0!</v>
      </c>
      <c r="AG108" s="96" t="e">
        <f t="shared" si="176"/>
        <v>#DIV/0!</v>
      </c>
      <c r="AH108" s="96" t="e">
        <f t="shared" si="177"/>
        <v>#DIV/0!</v>
      </c>
      <c r="AI108" s="126" t="e">
        <f t="shared" si="178"/>
        <v>#DIV/0!</v>
      </c>
      <c r="AJ108" s="131">
        <f t="shared" si="139"/>
        <v>4.1000000000000002E-2</v>
      </c>
      <c r="AK108" s="130" t="e">
        <f t="shared" si="179"/>
        <v>#DIV/0!</v>
      </c>
      <c r="AL108" s="96" t="e">
        <f t="shared" si="180"/>
        <v>#DIV/0!</v>
      </c>
      <c r="AM108" s="96" t="e">
        <f t="shared" si="181"/>
        <v>#DIV/0!</v>
      </c>
      <c r="AN108" s="96" t="e">
        <f t="shared" si="182"/>
        <v>#DIV/0!</v>
      </c>
      <c r="AO108" s="4" t="e">
        <f t="shared" si="183"/>
        <v>#DIV/0!</v>
      </c>
      <c r="AP108" s="6" t="e">
        <f t="shared" si="184"/>
        <v>#DIV/0!</v>
      </c>
      <c r="AQ108" s="5">
        <f t="shared" si="146"/>
        <v>0.36599999999999999</v>
      </c>
      <c r="AR108" s="4"/>
      <c r="AS108" s="132" t="e">
        <f t="shared" si="185"/>
        <v>#DIV/0!</v>
      </c>
      <c r="AT108" s="133" t="e">
        <f t="shared" si="186"/>
        <v>#DIV/0!</v>
      </c>
      <c r="AU108" s="133" t="e">
        <f t="shared" si="187"/>
        <v>#DIV/0!</v>
      </c>
      <c r="AV108" s="133" t="e">
        <f t="shared" si="188"/>
        <v>#DIV/0!</v>
      </c>
      <c r="AW108" s="133" t="e">
        <f t="shared" si="189"/>
        <v>#DIV/0!</v>
      </c>
      <c r="AX108" s="5" t="e">
        <f t="shared" si="190"/>
        <v>#DIV/0!</v>
      </c>
      <c r="AY108" s="5" t="e">
        <f t="shared" si="191"/>
        <v>#DIV/0!</v>
      </c>
      <c r="AZ108" s="5">
        <f t="shared" si="154"/>
        <v>0.85199999999999998</v>
      </c>
      <c r="BA108" s="134" t="e">
        <f t="shared" si="192"/>
        <v>#DIV/0!</v>
      </c>
      <c r="BB108" s="133" t="e">
        <f t="shared" si="193"/>
        <v>#DIV/0!</v>
      </c>
      <c r="BC108" s="106" t="e">
        <f t="shared" si="194"/>
        <v>#DIV/0!</v>
      </c>
      <c r="BD108" s="106" t="e">
        <f t="shared" si="195"/>
        <v>#DIV/0!</v>
      </c>
      <c r="BE108" s="133" t="e">
        <f t="shared" si="196"/>
        <v>#DIV/0!</v>
      </c>
      <c r="BF108" s="135" t="e">
        <f t="shared" si="197"/>
        <v>#DIV/0!</v>
      </c>
      <c r="BG108" s="133" t="e">
        <f t="shared" si="198"/>
        <v>#DIV/0!</v>
      </c>
      <c r="BH108" s="135" t="e">
        <f t="shared" si="199"/>
        <v>#DIV/0!</v>
      </c>
      <c r="BI108" s="106">
        <f t="shared" si="163"/>
        <v>0.10390000000000001</v>
      </c>
      <c r="BJ108" s="130" t="e">
        <f t="shared" si="200"/>
        <v>#DIV/0!</v>
      </c>
      <c r="BK108" s="96" t="e">
        <f t="shared" si="201"/>
        <v>#DIV/0!</v>
      </c>
      <c r="BL108" s="96" t="e">
        <f t="shared" si="202"/>
        <v>#DIV/0!</v>
      </c>
      <c r="BM108" s="135" t="e">
        <f t="shared" si="203"/>
        <v>#DIV/0!</v>
      </c>
      <c r="BN108" s="96" t="e">
        <f t="shared" si="204"/>
        <v>#DIV/0!</v>
      </c>
      <c r="BO108" s="5" t="e">
        <f t="shared" si="205"/>
        <v>#DIV/0!</v>
      </c>
      <c r="BP108" s="5" t="e">
        <f t="shared" si="206"/>
        <v>#DIV/0!</v>
      </c>
      <c r="BQ108" s="5">
        <f t="shared" si="171"/>
        <v>3.9E-2</v>
      </c>
    </row>
    <row r="109" spans="1:69">
      <c r="A109" s="139"/>
      <c r="B109" s="139"/>
      <c r="K109" s="143"/>
      <c r="L109" s="95" t="e">
        <f t="shared" ref="L109:L122" si="207">STDEV(G109:J109)</f>
        <v>#DIV/0!</v>
      </c>
      <c r="M109" s="10" t="e">
        <f t="shared" si="125"/>
        <v>#DIV/0!</v>
      </c>
      <c r="N109" s="96">
        <f t="shared" ref="N109:N122" si="208">(O109)/(3.14159*(3.17^2)*((K109-2.8)/10))</f>
        <v>0</v>
      </c>
      <c r="O109" s="97">
        <f t="shared" ref="O109:O122" si="209">F109-E109</f>
        <v>0</v>
      </c>
      <c r="Q109" s="142"/>
      <c r="R109" s="108">
        <f t="shared" si="121"/>
        <v>-40080</v>
      </c>
      <c r="S109" s="2"/>
      <c r="T109"/>
      <c r="U109"/>
      <c r="V109"/>
      <c r="W109" s="2"/>
      <c r="X109"/>
      <c r="AC109" s="130" t="e">
        <f t="shared" si="172"/>
        <v>#DIV/0!</v>
      </c>
      <c r="AD109" s="96" t="e">
        <f t="shared" si="173"/>
        <v>#DIV/0!</v>
      </c>
      <c r="AE109" s="96" t="e">
        <f t="shared" si="174"/>
        <v>#DIV/0!</v>
      </c>
      <c r="AF109" s="96" t="e">
        <f t="shared" si="175"/>
        <v>#DIV/0!</v>
      </c>
      <c r="AG109" s="96" t="e">
        <f t="shared" si="176"/>
        <v>#DIV/0!</v>
      </c>
      <c r="AH109" s="96">
        <f t="shared" si="177"/>
        <v>0.15331999999999998</v>
      </c>
      <c r="AI109" s="126">
        <f t="shared" si="178"/>
        <v>0.9244</v>
      </c>
      <c r="AJ109" s="131">
        <f t="shared" si="139"/>
        <v>4.1000000000000002E-2</v>
      </c>
      <c r="AK109" s="130" t="e">
        <f t="shared" si="179"/>
        <v>#DIV/0!</v>
      </c>
      <c r="AL109" s="96" t="e">
        <f t="shared" si="180"/>
        <v>#DIV/0!</v>
      </c>
      <c r="AM109" s="96" t="e">
        <f t="shared" si="181"/>
        <v>#DIV/0!</v>
      </c>
      <c r="AN109" s="96" t="e">
        <f t="shared" si="182"/>
        <v>#DIV/0!</v>
      </c>
      <c r="AO109" s="4">
        <f t="shared" si="183"/>
        <v>3.1519999999999999E-2</v>
      </c>
      <c r="AP109" s="6">
        <f t="shared" si="184"/>
        <v>0.98516000000000004</v>
      </c>
      <c r="AQ109" s="5">
        <f t="shared" si="146"/>
        <v>0.36599999999999999</v>
      </c>
      <c r="AR109" s="4"/>
      <c r="AS109" s="132" t="e">
        <f t="shared" si="185"/>
        <v>#DIV/0!</v>
      </c>
      <c r="AT109" s="133" t="e">
        <f t="shared" si="186"/>
        <v>#DIV/0!</v>
      </c>
      <c r="AU109" s="133" t="e">
        <f t="shared" si="187"/>
        <v>#DIV/0!</v>
      </c>
      <c r="AV109" s="133" t="e">
        <f t="shared" si="188"/>
        <v>#DIV/0!</v>
      </c>
      <c r="AW109" s="133" t="e">
        <f t="shared" si="189"/>
        <v>#DIV/0!</v>
      </c>
      <c r="AX109" s="5">
        <f t="shared" si="190"/>
        <v>8.9999999999999993E-3</v>
      </c>
      <c r="AY109" s="5">
        <f t="shared" si="191"/>
        <v>0.98658239999999997</v>
      </c>
      <c r="AZ109" s="5">
        <f t="shared" si="154"/>
        <v>0.85199999999999998</v>
      </c>
      <c r="BA109" s="134" t="e">
        <f t="shared" si="192"/>
        <v>#DIV/0!</v>
      </c>
      <c r="BB109" s="133" t="e">
        <f t="shared" si="193"/>
        <v>#DIV/0!</v>
      </c>
      <c r="BC109" s="106" t="e">
        <f t="shared" si="194"/>
        <v>#DIV/0!</v>
      </c>
      <c r="BD109" s="106" t="e">
        <f t="shared" si="195"/>
        <v>#DIV/0!</v>
      </c>
      <c r="BE109" s="133" t="e">
        <f t="shared" si="196"/>
        <v>#DIV/0!</v>
      </c>
      <c r="BF109" s="135" t="e">
        <f t="shared" si="197"/>
        <v>#DIV/0!</v>
      </c>
      <c r="BG109" s="133">
        <f t="shared" si="198"/>
        <v>2.0279999999999999E-2</v>
      </c>
      <c r="BH109" s="135">
        <f t="shared" si="199"/>
        <v>0.98404000000000003</v>
      </c>
      <c r="BI109" s="106">
        <f t="shared" si="163"/>
        <v>0.10390000000000001</v>
      </c>
      <c r="BJ109" s="130" t="e">
        <f t="shared" si="200"/>
        <v>#DIV/0!</v>
      </c>
      <c r="BK109" s="96" t="e">
        <f t="shared" si="201"/>
        <v>#DIV/0!</v>
      </c>
      <c r="BL109" s="96" t="e">
        <f t="shared" si="202"/>
        <v>#DIV/0!</v>
      </c>
      <c r="BM109" s="135" t="e">
        <f t="shared" si="203"/>
        <v>#DIV/0!</v>
      </c>
      <c r="BN109" s="96" t="e">
        <f t="shared" si="204"/>
        <v>#DIV/0!</v>
      </c>
      <c r="BO109" s="5">
        <f t="shared" si="205"/>
        <v>0.15439999999999998</v>
      </c>
      <c r="BP109" s="5">
        <f t="shared" si="206"/>
        <v>0.95828000000000002</v>
      </c>
      <c r="BQ109" s="5">
        <f t="shared" si="171"/>
        <v>3.9E-2</v>
      </c>
    </row>
    <row r="110" spans="1:69">
      <c r="A110" s="139"/>
      <c r="B110" s="139"/>
      <c r="K110" s="143"/>
      <c r="L110" s="95" t="e">
        <f t="shared" si="207"/>
        <v>#DIV/0!</v>
      </c>
      <c r="M110" s="10" t="e">
        <f t="shared" si="125"/>
        <v>#DIV/0!</v>
      </c>
      <c r="N110" s="96">
        <f t="shared" si="208"/>
        <v>0</v>
      </c>
      <c r="O110" s="97">
        <f t="shared" si="209"/>
        <v>0</v>
      </c>
      <c r="Q110" s="142"/>
      <c r="R110" s="108">
        <f t="shared" si="121"/>
        <v>-40080</v>
      </c>
      <c r="S110" s="2"/>
      <c r="T110"/>
      <c r="U110"/>
      <c r="V110"/>
      <c r="W110" s="2"/>
      <c r="X110"/>
      <c r="AC110" s="130" t="e">
        <f t="shared" si="172"/>
        <v>#DIV/0!</v>
      </c>
      <c r="AD110" s="96" t="e">
        <f t="shared" si="173"/>
        <v>#DIV/0!</v>
      </c>
      <c r="AE110" s="96" t="e">
        <f t="shared" si="174"/>
        <v>#DIV/0!</v>
      </c>
      <c r="AF110" s="96" t="e">
        <f t="shared" si="175"/>
        <v>#DIV/0!</v>
      </c>
      <c r="AG110" s="96" t="e">
        <f t="shared" si="176"/>
        <v>#DIV/0!</v>
      </c>
      <c r="AH110" s="96">
        <f t="shared" si="177"/>
        <v>0.15331999999999998</v>
      </c>
      <c r="AI110" s="126">
        <f t="shared" si="178"/>
        <v>0.9244</v>
      </c>
      <c r="AJ110" s="131">
        <f t="shared" si="139"/>
        <v>4.1000000000000002E-2</v>
      </c>
      <c r="AK110" s="130" t="e">
        <f t="shared" si="179"/>
        <v>#DIV/0!</v>
      </c>
      <c r="AL110" s="96" t="e">
        <f t="shared" si="180"/>
        <v>#DIV/0!</v>
      </c>
      <c r="AM110" s="96" t="e">
        <f t="shared" si="181"/>
        <v>#DIV/0!</v>
      </c>
      <c r="AN110" s="96" t="e">
        <f t="shared" si="182"/>
        <v>#DIV/0!</v>
      </c>
      <c r="AO110" s="4">
        <f t="shared" si="183"/>
        <v>3.1519999999999999E-2</v>
      </c>
      <c r="AP110" s="6">
        <f t="shared" si="184"/>
        <v>0.98516000000000004</v>
      </c>
      <c r="AQ110" s="5">
        <f t="shared" si="146"/>
        <v>0.36599999999999999</v>
      </c>
      <c r="AR110" s="4"/>
      <c r="AS110" s="132" t="e">
        <f t="shared" si="185"/>
        <v>#DIV/0!</v>
      </c>
      <c r="AT110" s="133" t="e">
        <f t="shared" si="186"/>
        <v>#DIV/0!</v>
      </c>
      <c r="AU110" s="133" t="e">
        <f t="shared" si="187"/>
        <v>#DIV/0!</v>
      </c>
      <c r="AV110" s="133" t="e">
        <f t="shared" si="188"/>
        <v>#DIV/0!</v>
      </c>
      <c r="AW110" s="133" t="e">
        <f t="shared" si="189"/>
        <v>#DIV/0!</v>
      </c>
      <c r="AX110" s="5">
        <f t="shared" si="190"/>
        <v>8.9999999999999993E-3</v>
      </c>
      <c r="AY110" s="5">
        <f t="shared" si="191"/>
        <v>0.98658239999999997</v>
      </c>
      <c r="AZ110" s="5">
        <f t="shared" si="154"/>
        <v>0.85199999999999998</v>
      </c>
      <c r="BA110" s="134" t="e">
        <f t="shared" si="192"/>
        <v>#DIV/0!</v>
      </c>
      <c r="BB110" s="133" t="e">
        <f t="shared" si="193"/>
        <v>#DIV/0!</v>
      </c>
      <c r="BC110" s="106" t="e">
        <f t="shared" si="194"/>
        <v>#DIV/0!</v>
      </c>
      <c r="BD110" s="106" t="e">
        <f t="shared" si="195"/>
        <v>#DIV/0!</v>
      </c>
      <c r="BE110" s="133" t="e">
        <f t="shared" si="196"/>
        <v>#DIV/0!</v>
      </c>
      <c r="BF110" s="135" t="e">
        <f t="shared" si="197"/>
        <v>#DIV/0!</v>
      </c>
      <c r="BG110" s="133">
        <f t="shared" si="198"/>
        <v>2.0279999999999999E-2</v>
      </c>
      <c r="BH110" s="135">
        <f t="shared" si="199"/>
        <v>0.98404000000000003</v>
      </c>
      <c r="BI110" s="106">
        <f t="shared" si="163"/>
        <v>0.10390000000000001</v>
      </c>
      <c r="BJ110" s="130" t="e">
        <f t="shared" si="200"/>
        <v>#DIV/0!</v>
      </c>
      <c r="BK110" s="96" t="e">
        <f t="shared" si="201"/>
        <v>#DIV/0!</v>
      </c>
      <c r="BL110" s="96" t="e">
        <f t="shared" si="202"/>
        <v>#DIV/0!</v>
      </c>
      <c r="BM110" s="135" t="e">
        <f t="shared" si="203"/>
        <v>#DIV/0!</v>
      </c>
      <c r="BN110" s="96" t="e">
        <f t="shared" si="204"/>
        <v>#DIV/0!</v>
      </c>
      <c r="BO110" s="5">
        <f t="shared" si="205"/>
        <v>0.15439999999999998</v>
      </c>
      <c r="BP110" s="5">
        <f t="shared" si="206"/>
        <v>0.95828000000000002</v>
      </c>
      <c r="BQ110" s="5">
        <f t="shared" si="171"/>
        <v>3.9E-2</v>
      </c>
    </row>
    <row r="111" spans="1:69">
      <c r="A111" s="139"/>
      <c r="B111" s="139"/>
      <c r="K111" s="143"/>
      <c r="L111" s="95" t="e">
        <f t="shared" si="207"/>
        <v>#DIV/0!</v>
      </c>
      <c r="M111" s="10" t="e">
        <f t="shared" si="125"/>
        <v>#DIV/0!</v>
      </c>
      <c r="N111" s="96">
        <f t="shared" si="208"/>
        <v>0</v>
      </c>
      <c r="O111" s="97">
        <f t="shared" si="209"/>
        <v>0</v>
      </c>
      <c r="Q111" s="142"/>
      <c r="R111" s="108">
        <f t="shared" si="121"/>
        <v>-40080</v>
      </c>
      <c r="S111" s="2"/>
      <c r="T111"/>
      <c r="U111"/>
      <c r="V111"/>
      <c r="W111" s="2"/>
      <c r="X111"/>
      <c r="AC111" s="130" t="e">
        <f t="shared" si="172"/>
        <v>#DIV/0!</v>
      </c>
      <c r="AD111" s="96" t="e">
        <f t="shared" si="173"/>
        <v>#DIV/0!</v>
      </c>
      <c r="AE111" s="96" t="e">
        <f t="shared" si="174"/>
        <v>#DIV/0!</v>
      </c>
      <c r="AF111" s="96" t="e">
        <f t="shared" si="175"/>
        <v>#DIV/0!</v>
      </c>
      <c r="AG111" s="96" t="e">
        <f t="shared" si="176"/>
        <v>#DIV/0!</v>
      </c>
      <c r="AH111" s="96">
        <f t="shared" si="177"/>
        <v>0.15331999999999998</v>
      </c>
      <c r="AI111" s="126">
        <f t="shared" si="178"/>
        <v>0.9244</v>
      </c>
      <c r="AJ111" s="131">
        <f t="shared" si="139"/>
        <v>4.1000000000000002E-2</v>
      </c>
      <c r="AK111" s="130" t="e">
        <f t="shared" si="179"/>
        <v>#DIV/0!</v>
      </c>
      <c r="AL111" s="96" t="e">
        <f t="shared" si="180"/>
        <v>#DIV/0!</v>
      </c>
      <c r="AM111" s="96" t="e">
        <f t="shared" si="181"/>
        <v>#DIV/0!</v>
      </c>
      <c r="AN111" s="96" t="e">
        <f t="shared" si="182"/>
        <v>#DIV/0!</v>
      </c>
      <c r="AO111" s="4">
        <f t="shared" si="183"/>
        <v>3.1519999999999999E-2</v>
      </c>
      <c r="AP111" s="6">
        <f t="shared" si="184"/>
        <v>0.98516000000000004</v>
      </c>
      <c r="AQ111" s="5">
        <f t="shared" si="146"/>
        <v>0.36599999999999999</v>
      </c>
      <c r="AR111" s="4"/>
      <c r="AS111" s="132" t="e">
        <f t="shared" si="185"/>
        <v>#DIV/0!</v>
      </c>
      <c r="AT111" s="133" t="e">
        <f t="shared" si="186"/>
        <v>#DIV/0!</v>
      </c>
      <c r="AU111" s="133" t="e">
        <f t="shared" si="187"/>
        <v>#DIV/0!</v>
      </c>
      <c r="AV111" s="133" t="e">
        <f t="shared" si="188"/>
        <v>#DIV/0!</v>
      </c>
      <c r="AW111" s="133" t="e">
        <f t="shared" si="189"/>
        <v>#DIV/0!</v>
      </c>
      <c r="AX111" s="5">
        <f t="shared" si="190"/>
        <v>8.9999999999999993E-3</v>
      </c>
      <c r="AY111" s="5">
        <f t="shared" si="191"/>
        <v>0.98658239999999997</v>
      </c>
      <c r="AZ111" s="5">
        <f t="shared" si="154"/>
        <v>0.85199999999999998</v>
      </c>
      <c r="BA111" s="134" t="e">
        <f t="shared" si="192"/>
        <v>#DIV/0!</v>
      </c>
      <c r="BB111" s="133" t="e">
        <f t="shared" si="193"/>
        <v>#DIV/0!</v>
      </c>
      <c r="BC111" s="106" t="e">
        <f t="shared" si="194"/>
        <v>#DIV/0!</v>
      </c>
      <c r="BD111" s="106" t="e">
        <f t="shared" si="195"/>
        <v>#DIV/0!</v>
      </c>
      <c r="BE111" s="133" t="e">
        <f t="shared" si="196"/>
        <v>#DIV/0!</v>
      </c>
      <c r="BF111" s="135" t="e">
        <f t="shared" si="197"/>
        <v>#DIV/0!</v>
      </c>
      <c r="BG111" s="133">
        <f t="shared" si="198"/>
        <v>2.0279999999999999E-2</v>
      </c>
      <c r="BH111" s="135">
        <f t="shared" si="199"/>
        <v>0.98404000000000003</v>
      </c>
      <c r="BI111" s="106">
        <f t="shared" si="163"/>
        <v>0.10390000000000001</v>
      </c>
      <c r="BJ111" s="130" t="e">
        <f t="shared" si="200"/>
        <v>#DIV/0!</v>
      </c>
      <c r="BK111" s="96" t="e">
        <f t="shared" si="201"/>
        <v>#DIV/0!</v>
      </c>
      <c r="BL111" s="96" t="e">
        <f t="shared" si="202"/>
        <v>#DIV/0!</v>
      </c>
      <c r="BM111" s="135" t="e">
        <f t="shared" si="203"/>
        <v>#DIV/0!</v>
      </c>
      <c r="BN111" s="96" t="e">
        <f t="shared" si="204"/>
        <v>#DIV/0!</v>
      </c>
      <c r="BO111" s="5">
        <f t="shared" si="205"/>
        <v>0.15439999999999998</v>
      </c>
      <c r="BP111" s="5">
        <f t="shared" si="206"/>
        <v>0.95828000000000002</v>
      </c>
      <c r="BQ111" s="5">
        <f t="shared" si="171"/>
        <v>3.9E-2</v>
      </c>
    </row>
    <row r="112" spans="1:69">
      <c r="A112" s="139"/>
      <c r="B112" s="139"/>
      <c r="K112" s="143"/>
      <c r="L112" s="95" t="e">
        <f t="shared" si="207"/>
        <v>#DIV/0!</v>
      </c>
      <c r="M112" s="10" t="e">
        <f t="shared" si="125"/>
        <v>#DIV/0!</v>
      </c>
      <c r="N112" s="96">
        <f t="shared" si="208"/>
        <v>0</v>
      </c>
      <c r="O112" s="97">
        <f t="shared" si="209"/>
        <v>0</v>
      </c>
      <c r="Q112" s="142"/>
      <c r="R112" s="108">
        <f t="shared" si="121"/>
        <v>-40080</v>
      </c>
      <c r="S112" s="2"/>
      <c r="T112"/>
      <c r="U112"/>
      <c r="V112"/>
      <c r="W112" s="2"/>
      <c r="X112"/>
      <c r="AC112" s="130" t="e">
        <f t="shared" si="172"/>
        <v>#DIV/0!</v>
      </c>
      <c r="AD112" s="96" t="e">
        <f t="shared" si="173"/>
        <v>#DIV/0!</v>
      </c>
      <c r="AE112" s="96" t="e">
        <f t="shared" si="174"/>
        <v>#DIV/0!</v>
      </c>
      <c r="AF112" s="96" t="e">
        <f t="shared" si="175"/>
        <v>#DIV/0!</v>
      </c>
      <c r="AG112" s="96" t="e">
        <f t="shared" si="176"/>
        <v>#DIV/0!</v>
      </c>
      <c r="AH112" s="96">
        <f t="shared" si="177"/>
        <v>0.15331999999999998</v>
      </c>
      <c r="AI112" s="126">
        <f t="shared" si="178"/>
        <v>0.9244</v>
      </c>
      <c r="AJ112" s="131">
        <f t="shared" si="139"/>
        <v>4.1000000000000002E-2</v>
      </c>
      <c r="AK112" s="130" t="e">
        <f t="shared" si="179"/>
        <v>#DIV/0!</v>
      </c>
      <c r="AL112" s="96" t="e">
        <f t="shared" si="180"/>
        <v>#DIV/0!</v>
      </c>
      <c r="AM112" s="96" t="e">
        <f t="shared" si="181"/>
        <v>#DIV/0!</v>
      </c>
      <c r="AN112" s="96" t="e">
        <f t="shared" si="182"/>
        <v>#DIV/0!</v>
      </c>
      <c r="AO112" s="4">
        <f t="shared" si="183"/>
        <v>3.1519999999999999E-2</v>
      </c>
      <c r="AP112" s="6">
        <f t="shared" si="184"/>
        <v>0.98516000000000004</v>
      </c>
      <c r="AQ112" s="5">
        <f t="shared" si="146"/>
        <v>0.36599999999999999</v>
      </c>
      <c r="AR112" s="4"/>
      <c r="AS112" s="132" t="e">
        <f t="shared" si="185"/>
        <v>#DIV/0!</v>
      </c>
      <c r="AT112" s="133" t="e">
        <f t="shared" si="186"/>
        <v>#DIV/0!</v>
      </c>
      <c r="AU112" s="133" t="e">
        <f t="shared" si="187"/>
        <v>#DIV/0!</v>
      </c>
      <c r="AV112" s="133" t="e">
        <f t="shared" si="188"/>
        <v>#DIV/0!</v>
      </c>
      <c r="AW112" s="133" t="e">
        <f t="shared" si="189"/>
        <v>#DIV/0!</v>
      </c>
      <c r="AX112" s="5">
        <f t="shared" si="190"/>
        <v>8.9999999999999993E-3</v>
      </c>
      <c r="AY112" s="5">
        <f t="shared" si="191"/>
        <v>0.98658239999999997</v>
      </c>
      <c r="AZ112" s="5">
        <f t="shared" si="154"/>
        <v>0.85199999999999998</v>
      </c>
      <c r="BA112" s="134" t="e">
        <f t="shared" si="192"/>
        <v>#DIV/0!</v>
      </c>
      <c r="BB112" s="133" t="e">
        <f t="shared" si="193"/>
        <v>#DIV/0!</v>
      </c>
      <c r="BC112" s="106" t="e">
        <f t="shared" si="194"/>
        <v>#DIV/0!</v>
      </c>
      <c r="BD112" s="106" t="e">
        <f t="shared" si="195"/>
        <v>#DIV/0!</v>
      </c>
      <c r="BE112" s="133" t="e">
        <f t="shared" si="196"/>
        <v>#DIV/0!</v>
      </c>
      <c r="BF112" s="135" t="e">
        <f t="shared" si="197"/>
        <v>#DIV/0!</v>
      </c>
      <c r="BG112" s="133">
        <f t="shared" si="198"/>
        <v>2.0279999999999999E-2</v>
      </c>
      <c r="BH112" s="135">
        <f t="shared" si="199"/>
        <v>0.98404000000000003</v>
      </c>
      <c r="BI112" s="106">
        <f t="shared" si="163"/>
        <v>0.10390000000000001</v>
      </c>
      <c r="BJ112" s="130" t="e">
        <f t="shared" si="200"/>
        <v>#DIV/0!</v>
      </c>
      <c r="BK112" s="96" t="e">
        <f t="shared" si="201"/>
        <v>#DIV/0!</v>
      </c>
      <c r="BL112" s="96" t="e">
        <f t="shared" si="202"/>
        <v>#DIV/0!</v>
      </c>
      <c r="BM112" s="135" t="e">
        <f t="shared" si="203"/>
        <v>#DIV/0!</v>
      </c>
      <c r="BN112" s="96" t="e">
        <f t="shared" si="204"/>
        <v>#DIV/0!</v>
      </c>
      <c r="BO112" s="5">
        <f t="shared" si="205"/>
        <v>0.15439999999999998</v>
      </c>
      <c r="BP112" s="5">
        <f t="shared" si="206"/>
        <v>0.95828000000000002</v>
      </c>
      <c r="BQ112" s="5">
        <f t="shared" si="171"/>
        <v>3.9E-2</v>
      </c>
    </row>
    <row r="113" spans="1:69">
      <c r="A113" s="139"/>
      <c r="B113" s="139"/>
      <c r="K113" s="143"/>
      <c r="L113" s="95" t="e">
        <f t="shared" si="207"/>
        <v>#DIV/0!</v>
      </c>
      <c r="M113" s="10" t="e">
        <f t="shared" si="125"/>
        <v>#DIV/0!</v>
      </c>
      <c r="N113" s="96">
        <f t="shared" si="208"/>
        <v>0</v>
      </c>
      <c r="O113" s="97">
        <f t="shared" si="209"/>
        <v>0</v>
      </c>
      <c r="Q113" s="142"/>
      <c r="R113" s="108">
        <f t="shared" si="121"/>
        <v>-40080</v>
      </c>
      <c r="S113" s="2"/>
      <c r="T113"/>
      <c r="U113"/>
      <c r="V113"/>
      <c r="W113" s="2"/>
      <c r="X113"/>
      <c r="AC113" s="130" t="e">
        <f t="shared" si="172"/>
        <v>#DIV/0!</v>
      </c>
      <c r="AD113" s="96" t="e">
        <f t="shared" si="173"/>
        <v>#DIV/0!</v>
      </c>
      <c r="AE113" s="96" t="e">
        <f t="shared" si="174"/>
        <v>#DIV/0!</v>
      </c>
      <c r="AF113" s="96" t="e">
        <f t="shared" si="175"/>
        <v>#DIV/0!</v>
      </c>
      <c r="AG113" s="96" t="e">
        <f t="shared" si="176"/>
        <v>#DIV/0!</v>
      </c>
      <c r="AH113" s="96">
        <f t="shared" si="177"/>
        <v>0.15331999999999998</v>
      </c>
      <c r="AI113" s="126">
        <f t="shared" si="178"/>
        <v>0.9244</v>
      </c>
      <c r="AJ113" s="131">
        <f t="shared" si="139"/>
        <v>4.1000000000000002E-2</v>
      </c>
      <c r="AK113" s="130" t="e">
        <f t="shared" si="179"/>
        <v>#DIV/0!</v>
      </c>
      <c r="AL113" s="96" t="e">
        <f t="shared" si="180"/>
        <v>#DIV/0!</v>
      </c>
      <c r="AM113" s="96" t="e">
        <f t="shared" si="181"/>
        <v>#DIV/0!</v>
      </c>
      <c r="AN113" s="96" t="e">
        <f t="shared" si="182"/>
        <v>#DIV/0!</v>
      </c>
      <c r="AO113" s="4">
        <f t="shared" si="183"/>
        <v>3.1519999999999999E-2</v>
      </c>
      <c r="AP113" s="6">
        <f t="shared" si="184"/>
        <v>0.98516000000000004</v>
      </c>
      <c r="AQ113" s="5">
        <f t="shared" si="146"/>
        <v>0.36599999999999999</v>
      </c>
      <c r="AR113" s="4"/>
      <c r="AS113" s="132" t="e">
        <f t="shared" si="185"/>
        <v>#DIV/0!</v>
      </c>
      <c r="AT113" s="133" t="e">
        <f t="shared" si="186"/>
        <v>#DIV/0!</v>
      </c>
      <c r="AU113" s="133" t="e">
        <f t="shared" si="187"/>
        <v>#DIV/0!</v>
      </c>
      <c r="AV113" s="133" t="e">
        <f t="shared" si="188"/>
        <v>#DIV/0!</v>
      </c>
      <c r="AW113" s="133" t="e">
        <f t="shared" si="189"/>
        <v>#DIV/0!</v>
      </c>
      <c r="AX113" s="5">
        <f t="shared" si="190"/>
        <v>8.9999999999999993E-3</v>
      </c>
      <c r="AY113" s="5">
        <f t="shared" si="191"/>
        <v>0.98658239999999997</v>
      </c>
      <c r="AZ113" s="5">
        <f t="shared" si="154"/>
        <v>0.85199999999999998</v>
      </c>
      <c r="BA113" s="134" t="e">
        <f t="shared" si="192"/>
        <v>#DIV/0!</v>
      </c>
      <c r="BB113" s="133" t="e">
        <f t="shared" si="193"/>
        <v>#DIV/0!</v>
      </c>
      <c r="BC113" s="106" t="e">
        <f t="shared" si="194"/>
        <v>#DIV/0!</v>
      </c>
      <c r="BD113" s="106" t="e">
        <f t="shared" si="195"/>
        <v>#DIV/0!</v>
      </c>
      <c r="BE113" s="133" t="e">
        <f t="shared" si="196"/>
        <v>#DIV/0!</v>
      </c>
      <c r="BF113" s="135" t="e">
        <f t="shared" si="197"/>
        <v>#DIV/0!</v>
      </c>
      <c r="BG113" s="133">
        <f t="shared" si="198"/>
        <v>2.0279999999999999E-2</v>
      </c>
      <c r="BH113" s="135">
        <f t="shared" si="199"/>
        <v>0.98404000000000003</v>
      </c>
      <c r="BI113" s="106">
        <f t="shared" si="163"/>
        <v>0.10390000000000001</v>
      </c>
      <c r="BJ113" s="130" t="e">
        <f t="shared" si="200"/>
        <v>#DIV/0!</v>
      </c>
      <c r="BK113" s="96" t="e">
        <f t="shared" si="201"/>
        <v>#DIV/0!</v>
      </c>
      <c r="BL113" s="96" t="e">
        <f t="shared" si="202"/>
        <v>#DIV/0!</v>
      </c>
      <c r="BM113" s="135" t="e">
        <f t="shared" si="203"/>
        <v>#DIV/0!</v>
      </c>
      <c r="BN113" s="96" t="e">
        <f t="shared" si="204"/>
        <v>#DIV/0!</v>
      </c>
      <c r="BO113" s="5">
        <f t="shared" si="205"/>
        <v>0.15439999999999998</v>
      </c>
      <c r="BP113" s="5">
        <f t="shared" si="206"/>
        <v>0.95828000000000002</v>
      </c>
      <c r="BQ113" s="5">
        <f t="shared" si="171"/>
        <v>3.9E-2</v>
      </c>
    </row>
    <row r="114" spans="1:69">
      <c r="A114" s="139"/>
      <c r="B114" s="139"/>
      <c r="K114" s="143"/>
      <c r="L114" s="95" t="e">
        <f t="shared" si="207"/>
        <v>#DIV/0!</v>
      </c>
      <c r="M114" s="10" t="e">
        <f t="shared" si="125"/>
        <v>#DIV/0!</v>
      </c>
      <c r="N114" s="96">
        <f t="shared" si="208"/>
        <v>0</v>
      </c>
      <c r="O114" s="97">
        <f t="shared" si="209"/>
        <v>0</v>
      </c>
      <c r="Q114" s="142"/>
      <c r="R114" s="108">
        <f t="shared" si="121"/>
        <v>-40080</v>
      </c>
      <c r="S114" s="2"/>
      <c r="T114"/>
      <c r="U114"/>
      <c r="V114"/>
      <c r="W114" s="2"/>
      <c r="X114"/>
      <c r="AC114" s="130" t="e">
        <f t="shared" si="172"/>
        <v>#DIV/0!</v>
      </c>
      <c r="AD114" s="96" t="e">
        <f t="shared" si="173"/>
        <v>#DIV/0!</v>
      </c>
      <c r="AE114" s="96" t="e">
        <f t="shared" si="174"/>
        <v>#DIV/0!</v>
      </c>
      <c r="AF114" s="96" t="e">
        <f t="shared" si="175"/>
        <v>#DIV/0!</v>
      </c>
      <c r="AG114" s="96" t="e">
        <f t="shared" si="176"/>
        <v>#DIV/0!</v>
      </c>
      <c r="AH114" s="96">
        <f t="shared" si="177"/>
        <v>0.15331999999999998</v>
      </c>
      <c r="AI114" s="126">
        <f t="shared" si="178"/>
        <v>0.9244</v>
      </c>
      <c r="AJ114" s="131">
        <f t="shared" si="139"/>
        <v>4.1000000000000002E-2</v>
      </c>
      <c r="AK114" s="130" t="e">
        <f t="shared" si="179"/>
        <v>#DIV/0!</v>
      </c>
      <c r="AL114" s="96" t="e">
        <f t="shared" si="180"/>
        <v>#DIV/0!</v>
      </c>
      <c r="AM114" s="96" t="e">
        <f t="shared" si="181"/>
        <v>#DIV/0!</v>
      </c>
      <c r="AN114" s="96" t="e">
        <f t="shared" si="182"/>
        <v>#DIV/0!</v>
      </c>
      <c r="AO114" s="4">
        <f t="shared" si="183"/>
        <v>3.1519999999999999E-2</v>
      </c>
      <c r="AP114" s="6">
        <f t="shared" si="184"/>
        <v>0.98516000000000004</v>
      </c>
      <c r="AQ114" s="5">
        <f t="shared" si="146"/>
        <v>0.36599999999999999</v>
      </c>
      <c r="AR114" s="4"/>
      <c r="AS114" s="132" t="e">
        <f t="shared" si="185"/>
        <v>#DIV/0!</v>
      </c>
      <c r="AT114" s="133" t="e">
        <f t="shared" si="186"/>
        <v>#DIV/0!</v>
      </c>
      <c r="AU114" s="133" t="e">
        <f t="shared" si="187"/>
        <v>#DIV/0!</v>
      </c>
      <c r="AV114" s="133" t="e">
        <f t="shared" si="188"/>
        <v>#DIV/0!</v>
      </c>
      <c r="AW114" s="133" t="e">
        <f t="shared" si="189"/>
        <v>#DIV/0!</v>
      </c>
      <c r="AX114" s="5">
        <f t="shared" si="190"/>
        <v>8.9999999999999993E-3</v>
      </c>
      <c r="AY114" s="5">
        <f t="shared" si="191"/>
        <v>0.98658239999999997</v>
      </c>
      <c r="AZ114" s="5">
        <f t="shared" si="154"/>
        <v>0.85199999999999998</v>
      </c>
      <c r="BA114" s="134" t="e">
        <f t="shared" si="192"/>
        <v>#DIV/0!</v>
      </c>
      <c r="BB114" s="133" t="e">
        <f t="shared" si="193"/>
        <v>#DIV/0!</v>
      </c>
      <c r="BC114" s="106" t="e">
        <f t="shared" si="194"/>
        <v>#DIV/0!</v>
      </c>
      <c r="BD114" s="106" t="e">
        <f t="shared" si="195"/>
        <v>#DIV/0!</v>
      </c>
      <c r="BE114" s="133" t="e">
        <f t="shared" si="196"/>
        <v>#DIV/0!</v>
      </c>
      <c r="BF114" s="135" t="e">
        <f t="shared" si="197"/>
        <v>#DIV/0!</v>
      </c>
      <c r="BG114" s="133">
        <f t="shared" si="198"/>
        <v>2.0279999999999999E-2</v>
      </c>
      <c r="BH114" s="135">
        <f t="shared" si="199"/>
        <v>0.98404000000000003</v>
      </c>
      <c r="BI114" s="106">
        <f t="shared" si="163"/>
        <v>0.10390000000000001</v>
      </c>
      <c r="BJ114" s="130" t="e">
        <f t="shared" si="200"/>
        <v>#DIV/0!</v>
      </c>
      <c r="BK114" s="96" t="e">
        <f t="shared" si="201"/>
        <v>#DIV/0!</v>
      </c>
      <c r="BL114" s="96" t="e">
        <f t="shared" si="202"/>
        <v>#DIV/0!</v>
      </c>
      <c r="BM114" s="135" t="e">
        <f t="shared" si="203"/>
        <v>#DIV/0!</v>
      </c>
      <c r="BN114" s="96" t="e">
        <f t="shared" si="204"/>
        <v>#DIV/0!</v>
      </c>
      <c r="BO114" s="5">
        <f t="shared" si="205"/>
        <v>0.15439999999999998</v>
      </c>
      <c r="BP114" s="5">
        <f t="shared" si="206"/>
        <v>0.95828000000000002</v>
      </c>
      <c r="BQ114" s="5">
        <f t="shared" si="171"/>
        <v>3.9E-2</v>
      </c>
    </row>
    <row r="115" spans="1:69">
      <c r="A115" s="139"/>
      <c r="B115" s="139"/>
      <c r="K115" s="143"/>
      <c r="L115" s="95" t="e">
        <f t="shared" si="207"/>
        <v>#DIV/0!</v>
      </c>
      <c r="M115" s="10" t="e">
        <f t="shared" si="125"/>
        <v>#DIV/0!</v>
      </c>
      <c r="N115" s="96">
        <f t="shared" si="208"/>
        <v>0</v>
      </c>
      <c r="O115" s="97">
        <f t="shared" si="209"/>
        <v>0</v>
      </c>
      <c r="Q115" s="142"/>
      <c r="R115" s="108">
        <f t="shared" si="121"/>
        <v>-40080</v>
      </c>
      <c r="S115" s="2"/>
      <c r="T115"/>
      <c r="U115"/>
      <c r="V115"/>
      <c r="W115" s="2"/>
      <c r="X115"/>
      <c r="AC115" s="130" t="e">
        <f t="shared" si="172"/>
        <v>#DIV/0!</v>
      </c>
      <c r="AD115" s="96" t="e">
        <f t="shared" si="173"/>
        <v>#DIV/0!</v>
      </c>
      <c r="AE115" s="96" t="e">
        <f t="shared" si="174"/>
        <v>#DIV/0!</v>
      </c>
      <c r="AF115" s="96" t="e">
        <f t="shared" si="175"/>
        <v>#DIV/0!</v>
      </c>
      <c r="AG115" s="96" t="e">
        <f t="shared" si="176"/>
        <v>#DIV/0!</v>
      </c>
      <c r="AH115" s="96">
        <f t="shared" si="177"/>
        <v>0.15331999999999998</v>
      </c>
      <c r="AI115" s="126">
        <f t="shared" si="178"/>
        <v>0.9244</v>
      </c>
      <c r="AJ115" s="131">
        <f t="shared" si="139"/>
        <v>4.1000000000000002E-2</v>
      </c>
      <c r="AK115" s="130" t="e">
        <f t="shared" si="179"/>
        <v>#DIV/0!</v>
      </c>
      <c r="AL115" s="96" t="e">
        <f t="shared" si="180"/>
        <v>#DIV/0!</v>
      </c>
      <c r="AM115" s="96" t="e">
        <f t="shared" si="181"/>
        <v>#DIV/0!</v>
      </c>
      <c r="AN115" s="96" t="e">
        <f t="shared" si="182"/>
        <v>#DIV/0!</v>
      </c>
      <c r="AO115" s="4">
        <f t="shared" si="183"/>
        <v>3.1519999999999999E-2</v>
      </c>
      <c r="AP115" s="6">
        <f t="shared" si="184"/>
        <v>0.98516000000000004</v>
      </c>
      <c r="AQ115" s="5">
        <f t="shared" si="146"/>
        <v>0.36599999999999999</v>
      </c>
      <c r="AR115" s="4"/>
      <c r="AS115" s="132" t="e">
        <f t="shared" si="185"/>
        <v>#DIV/0!</v>
      </c>
      <c r="AT115" s="133" t="e">
        <f t="shared" si="186"/>
        <v>#DIV/0!</v>
      </c>
      <c r="AU115" s="133" t="e">
        <f t="shared" si="187"/>
        <v>#DIV/0!</v>
      </c>
      <c r="AV115" s="133" t="e">
        <f t="shared" si="188"/>
        <v>#DIV/0!</v>
      </c>
      <c r="AW115" s="133" t="e">
        <f t="shared" si="189"/>
        <v>#DIV/0!</v>
      </c>
      <c r="AX115" s="5">
        <f t="shared" si="190"/>
        <v>8.9999999999999993E-3</v>
      </c>
      <c r="AY115" s="5">
        <f t="shared" si="191"/>
        <v>0.98658239999999997</v>
      </c>
      <c r="AZ115" s="5">
        <f t="shared" si="154"/>
        <v>0.85199999999999998</v>
      </c>
      <c r="BA115" s="134" t="e">
        <f t="shared" si="192"/>
        <v>#DIV/0!</v>
      </c>
      <c r="BB115" s="133" t="e">
        <f t="shared" si="193"/>
        <v>#DIV/0!</v>
      </c>
      <c r="BC115" s="106" t="e">
        <f t="shared" si="194"/>
        <v>#DIV/0!</v>
      </c>
      <c r="BD115" s="106" t="e">
        <f t="shared" si="195"/>
        <v>#DIV/0!</v>
      </c>
      <c r="BE115" s="133" t="e">
        <f t="shared" si="196"/>
        <v>#DIV/0!</v>
      </c>
      <c r="BF115" s="135" t="e">
        <f t="shared" si="197"/>
        <v>#DIV/0!</v>
      </c>
      <c r="BG115" s="133">
        <f t="shared" si="198"/>
        <v>2.0279999999999999E-2</v>
      </c>
      <c r="BH115" s="135">
        <f t="shared" si="199"/>
        <v>0.98404000000000003</v>
      </c>
      <c r="BI115" s="106">
        <f t="shared" si="163"/>
        <v>0.10390000000000001</v>
      </c>
      <c r="BJ115" s="130" t="e">
        <f t="shared" si="200"/>
        <v>#DIV/0!</v>
      </c>
      <c r="BK115" s="96" t="e">
        <f t="shared" si="201"/>
        <v>#DIV/0!</v>
      </c>
      <c r="BL115" s="96" t="e">
        <f t="shared" si="202"/>
        <v>#DIV/0!</v>
      </c>
      <c r="BM115" s="135" t="e">
        <f t="shared" si="203"/>
        <v>#DIV/0!</v>
      </c>
      <c r="BN115" s="96" t="e">
        <f t="shared" si="204"/>
        <v>#DIV/0!</v>
      </c>
      <c r="BO115" s="5">
        <f t="shared" si="205"/>
        <v>0.15439999999999998</v>
      </c>
      <c r="BP115" s="5">
        <f t="shared" si="206"/>
        <v>0.95828000000000002</v>
      </c>
      <c r="BQ115" s="5">
        <f t="shared" si="171"/>
        <v>3.9E-2</v>
      </c>
    </row>
    <row r="116" spans="1:69">
      <c r="A116" s="139"/>
      <c r="B116" s="139"/>
      <c r="K116" s="143"/>
      <c r="L116" s="95" t="e">
        <f t="shared" si="207"/>
        <v>#DIV/0!</v>
      </c>
      <c r="M116" s="10" t="e">
        <f t="shared" si="125"/>
        <v>#DIV/0!</v>
      </c>
      <c r="N116" s="96">
        <f t="shared" si="208"/>
        <v>0</v>
      </c>
      <c r="O116" s="97">
        <f t="shared" si="209"/>
        <v>0</v>
      </c>
      <c r="Q116" s="142"/>
      <c r="R116" s="108">
        <f t="shared" si="121"/>
        <v>-40080</v>
      </c>
      <c r="S116" s="2"/>
      <c r="T116"/>
      <c r="U116"/>
      <c r="V116"/>
      <c r="W116" s="2"/>
      <c r="X116"/>
      <c r="AC116" s="130" t="e">
        <f t="shared" si="172"/>
        <v>#DIV/0!</v>
      </c>
      <c r="AD116" s="96" t="e">
        <f t="shared" si="173"/>
        <v>#DIV/0!</v>
      </c>
      <c r="AE116" s="96" t="e">
        <f t="shared" si="174"/>
        <v>#DIV/0!</v>
      </c>
      <c r="AF116" s="96" t="e">
        <f t="shared" si="175"/>
        <v>#DIV/0!</v>
      </c>
      <c r="AG116" s="96" t="e">
        <f t="shared" si="176"/>
        <v>#DIV/0!</v>
      </c>
      <c r="AH116" s="96">
        <f t="shared" si="177"/>
        <v>0.15331999999999998</v>
      </c>
      <c r="AI116" s="126">
        <f t="shared" si="178"/>
        <v>0.9244</v>
      </c>
      <c r="AJ116" s="131">
        <f t="shared" si="139"/>
        <v>4.1000000000000002E-2</v>
      </c>
      <c r="AK116" s="130" t="e">
        <f t="shared" si="179"/>
        <v>#DIV/0!</v>
      </c>
      <c r="AL116" s="96" t="e">
        <f t="shared" si="180"/>
        <v>#DIV/0!</v>
      </c>
      <c r="AM116" s="96" t="e">
        <f t="shared" si="181"/>
        <v>#DIV/0!</v>
      </c>
      <c r="AN116" s="96" t="e">
        <f t="shared" si="182"/>
        <v>#DIV/0!</v>
      </c>
      <c r="AO116" s="4">
        <f t="shared" si="183"/>
        <v>3.1519999999999999E-2</v>
      </c>
      <c r="AP116" s="6">
        <f t="shared" si="184"/>
        <v>0.98516000000000004</v>
      </c>
      <c r="AQ116" s="5">
        <f t="shared" si="146"/>
        <v>0.36599999999999999</v>
      </c>
      <c r="AR116" s="4"/>
      <c r="AS116" s="132" t="e">
        <f t="shared" si="185"/>
        <v>#DIV/0!</v>
      </c>
      <c r="AT116" s="133" t="e">
        <f t="shared" si="186"/>
        <v>#DIV/0!</v>
      </c>
      <c r="AU116" s="133" t="e">
        <f t="shared" si="187"/>
        <v>#DIV/0!</v>
      </c>
      <c r="AV116" s="133" t="e">
        <f t="shared" si="188"/>
        <v>#DIV/0!</v>
      </c>
      <c r="AW116" s="133" t="e">
        <f t="shared" si="189"/>
        <v>#DIV/0!</v>
      </c>
      <c r="AX116" s="5">
        <f t="shared" si="190"/>
        <v>8.9999999999999993E-3</v>
      </c>
      <c r="AY116" s="5">
        <f t="shared" si="191"/>
        <v>0.98658239999999997</v>
      </c>
      <c r="AZ116" s="5">
        <f t="shared" si="154"/>
        <v>0.85199999999999998</v>
      </c>
      <c r="BA116" s="134" t="e">
        <f t="shared" si="192"/>
        <v>#DIV/0!</v>
      </c>
      <c r="BB116" s="133" t="e">
        <f t="shared" si="193"/>
        <v>#DIV/0!</v>
      </c>
      <c r="BC116" s="106" t="e">
        <f t="shared" si="194"/>
        <v>#DIV/0!</v>
      </c>
      <c r="BD116" s="106" t="e">
        <f t="shared" si="195"/>
        <v>#DIV/0!</v>
      </c>
      <c r="BE116" s="133" t="e">
        <f t="shared" si="196"/>
        <v>#DIV/0!</v>
      </c>
      <c r="BF116" s="135" t="e">
        <f t="shared" si="197"/>
        <v>#DIV/0!</v>
      </c>
      <c r="BG116" s="133">
        <f t="shared" si="198"/>
        <v>2.0279999999999999E-2</v>
      </c>
      <c r="BH116" s="135">
        <f t="shared" si="199"/>
        <v>0.98404000000000003</v>
      </c>
      <c r="BI116" s="106">
        <f t="shared" si="163"/>
        <v>0.10390000000000001</v>
      </c>
      <c r="BJ116" s="130" t="e">
        <f t="shared" si="200"/>
        <v>#DIV/0!</v>
      </c>
      <c r="BK116" s="96" t="e">
        <f t="shared" si="201"/>
        <v>#DIV/0!</v>
      </c>
      <c r="BL116" s="96" t="e">
        <f t="shared" si="202"/>
        <v>#DIV/0!</v>
      </c>
      <c r="BM116" s="135" t="e">
        <f t="shared" si="203"/>
        <v>#DIV/0!</v>
      </c>
      <c r="BN116" s="96" t="e">
        <f t="shared" si="204"/>
        <v>#DIV/0!</v>
      </c>
      <c r="BO116" s="5">
        <f t="shared" si="205"/>
        <v>0.15439999999999998</v>
      </c>
      <c r="BP116" s="5">
        <f t="shared" si="206"/>
        <v>0.95828000000000002</v>
      </c>
      <c r="BQ116" s="5">
        <f t="shared" si="171"/>
        <v>3.9E-2</v>
      </c>
    </row>
    <row r="117" spans="1:69">
      <c r="A117" s="139"/>
      <c r="B117" s="139"/>
      <c r="K117" s="143"/>
      <c r="L117" s="95" t="e">
        <f t="shared" si="207"/>
        <v>#DIV/0!</v>
      </c>
      <c r="M117" s="10" t="e">
        <f t="shared" si="125"/>
        <v>#DIV/0!</v>
      </c>
      <c r="N117" s="96">
        <f t="shared" si="208"/>
        <v>0</v>
      </c>
      <c r="O117" s="97">
        <f t="shared" si="209"/>
        <v>0</v>
      </c>
      <c r="Q117" s="142"/>
      <c r="R117" s="108">
        <f t="shared" si="121"/>
        <v>-40080</v>
      </c>
      <c r="S117" s="2"/>
      <c r="T117"/>
      <c r="U117"/>
      <c r="V117"/>
      <c r="W117" s="2"/>
      <c r="X117"/>
      <c r="AC117" s="130" t="e">
        <f t="shared" si="172"/>
        <v>#DIV/0!</v>
      </c>
      <c r="AD117" s="96" t="e">
        <f t="shared" si="173"/>
        <v>#DIV/0!</v>
      </c>
      <c r="AE117" s="96" t="e">
        <f t="shared" si="174"/>
        <v>#DIV/0!</v>
      </c>
      <c r="AF117" s="96" t="e">
        <f t="shared" si="175"/>
        <v>#DIV/0!</v>
      </c>
      <c r="AG117" s="96" t="e">
        <f t="shared" si="176"/>
        <v>#DIV/0!</v>
      </c>
      <c r="AH117" s="96">
        <f t="shared" si="177"/>
        <v>0.15331999999999998</v>
      </c>
      <c r="AI117" s="126">
        <f t="shared" si="178"/>
        <v>0.9244</v>
      </c>
      <c r="AJ117" s="131">
        <f t="shared" si="139"/>
        <v>4.1000000000000002E-2</v>
      </c>
      <c r="AK117" s="130" t="e">
        <f t="shared" si="179"/>
        <v>#DIV/0!</v>
      </c>
      <c r="AL117" s="96" t="e">
        <f t="shared" si="180"/>
        <v>#DIV/0!</v>
      </c>
      <c r="AM117" s="96" t="e">
        <f t="shared" si="181"/>
        <v>#DIV/0!</v>
      </c>
      <c r="AN117" s="96" t="e">
        <f t="shared" si="182"/>
        <v>#DIV/0!</v>
      </c>
      <c r="AO117" s="4">
        <f t="shared" si="183"/>
        <v>3.1519999999999999E-2</v>
      </c>
      <c r="AP117" s="6">
        <f t="shared" si="184"/>
        <v>0.98516000000000004</v>
      </c>
      <c r="AQ117" s="5">
        <f t="shared" si="146"/>
        <v>0.36599999999999999</v>
      </c>
      <c r="AR117" s="4"/>
      <c r="AS117" s="132" t="e">
        <f t="shared" si="185"/>
        <v>#DIV/0!</v>
      </c>
      <c r="AT117" s="133" t="e">
        <f t="shared" si="186"/>
        <v>#DIV/0!</v>
      </c>
      <c r="AU117" s="133" t="e">
        <f t="shared" si="187"/>
        <v>#DIV/0!</v>
      </c>
      <c r="AV117" s="133" t="e">
        <f t="shared" si="188"/>
        <v>#DIV/0!</v>
      </c>
      <c r="AW117" s="133" t="e">
        <f t="shared" si="189"/>
        <v>#DIV/0!</v>
      </c>
      <c r="AX117" s="5">
        <f t="shared" si="190"/>
        <v>8.9999999999999993E-3</v>
      </c>
      <c r="AY117" s="5">
        <f t="shared" si="191"/>
        <v>0.98658239999999997</v>
      </c>
      <c r="AZ117" s="5">
        <f t="shared" si="154"/>
        <v>0.85199999999999998</v>
      </c>
      <c r="BA117" s="134" t="e">
        <f t="shared" si="192"/>
        <v>#DIV/0!</v>
      </c>
      <c r="BB117" s="133" t="e">
        <f t="shared" si="193"/>
        <v>#DIV/0!</v>
      </c>
      <c r="BC117" s="106" t="e">
        <f t="shared" si="194"/>
        <v>#DIV/0!</v>
      </c>
      <c r="BD117" s="106" t="e">
        <f t="shared" si="195"/>
        <v>#DIV/0!</v>
      </c>
      <c r="BE117" s="133" t="e">
        <f t="shared" si="196"/>
        <v>#DIV/0!</v>
      </c>
      <c r="BF117" s="135" t="e">
        <f t="shared" si="197"/>
        <v>#DIV/0!</v>
      </c>
      <c r="BG117" s="133">
        <f t="shared" si="198"/>
        <v>2.0279999999999999E-2</v>
      </c>
      <c r="BH117" s="135">
        <f t="shared" si="199"/>
        <v>0.98404000000000003</v>
      </c>
      <c r="BI117" s="106">
        <f t="shared" si="163"/>
        <v>0.10390000000000001</v>
      </c>
      <c r="BJ117" s="130" t="e">
        <f t="shared" si="200"/>
        <v>#DIV/0!</v>
      </c>
      <c r="BK117" s="96" t="e">
        <f t="shared" si="201"/>
        <v>#DIV/0!</v>
      </c>
      <c r="BL117" s="96" t="e">
        <f t="shared" si="202"/>
        <v>#DIV/0!</v>
      </c>
      <c r="BM117" s="135" t="e">
        <f t="shared" si="203"/>
        <v>#DIV/0!</v>
      </c>
      <c r="BN117" s="96" t="e">
        <f t="shared" si="204"/>
        <v>#DIV/0!</v>
      </c>
      <c r="BO117" s="5">
        <f t="shared" si="205"/>
        <v>0.15439999999999998</v>
      </c>
      <c r="BP117" s="5">
        <f t="shared" si="206"/>
        <v>0.95828000000000002</v>
      </c>
      <c r="BQ117" s="5">
        <f t="shared" si="171"/>
        <v>3.9E-2</v>
      </c>
    </row>
    <row r="118" spans="1:69">
      <c r="A118" s="139"/>
      <c r="B118" s="139"/>
      <c r="K118" s="143"/>
      <c r="L118" s="95" t="e">
        <f t="shared" si="207"/>
        <v>#DIV/0!</v>
      </c>
      <c r="M118" s="10" t="e">
        <f t="shared" si="125"/>
        <v>#DIV/0!</v>
      </c>
      <c r="N118" s="96">
        <f t="shared" si="208"/>
        <v>0</v>
      </c>
      <c r="O118" s="97">
        <f t="shared" si="209"/>
        <v>0</v>
      </c>
      <c r="Q118" s="142"/>
      <c r="R118" s="108">
        <f t="shared" si="121"/>
        <v>-40080</v>
      </c>
      <c r="S118" s="2"/>
      <c r="T118"/>
      <c r="U118"/>
      <c r="V118"/>
      <c r="W118" s="2"/>
      <c r="X118"/>
      <c r="AC118" s="130" t="e">
        <f t="shared" si="172"/>
        <v>#DIV/0!</v>
      </c>
      <c r="AD118" s="96" t="e">
        <f t="shared" si="173"/>
        <v>#DIV/0!</v>
      </c>
      <c r="AE118" s="96" t="e">
        <f t="shared" si="174"/>
        <v>#DIV/0!</v>
      </c>
      <c r="AF118" s="96" t="e">
        <f t="shared" si="175"/>
        <v>#DIV/0!</v>
      </c>
      <c r="AG118" s="96" t="e">
        <f t="shared" si="176"/>
        <v>#DIV/0!</v>
      </c>
      <c r="AH118" s="96">
        <f t="shared" si="177"/>
        <v>0.15331999999999998</v>
      </c>
      <c r="AI118" s="126">
        <f t="shared" si="178"/>
        <v>0.9244</v>
      </c>
      <c r="AJ118" s="131">
        <f t="shared" si="139"/>
        <v>4.1000000000000002E-2</v>
      </c>
      <c r="AK118" s="130" t="e">
        <f t="shared" si="179"/>
        <v>#DIV/0!</v>
      </c>
      <c r="AL118" s="96" t="e">
        <f t="shared" si="180"/>
        <v>#DIV/0!</v>
      </c>
      <c r="AM118" s="96" t="e">
        <f t="shared" si="181"/>
        <v>#DIV/0!</v>
      </c>
      <c r="AN118" s="96" t="e">
        <f t="shared" si="182"/>
        <v>#DIV/0!</v>
      </c>
      <c r="AO118" s="4">
        <f t="shared" si="183"/>
        <v>3.1519999999999999E-2</v>
      </c>
      <c r="AP118" s="6">
        <f t="shared" si="184"/>
        <v>0.98516000000000004</v>
      </c>
      <c r="AQ118" s="5">
        <f t="shared" si="146"/>
        <v>0.36599999999999999</v>
      </c>
      <c r="AR118" s="4"/>
      <c r="AS118" s="132" t="e">
        <f t="shared" si="185"/>
        <v>#DIV/0!</v>
      </c>
      <c r="AT118" s="133" t="e">
        <f t="shared" si="186"/>
        <v>#DIV/0!</v>
      </c>
      <c r="AU118" s="133" t="e">
        <f t="shared" si="187"/>
        <v>#DIV/0!</v>
      </c>
      <c r="AV118" s="133" t="e">
        <f t="shared" si="188"/>
        <v>#DIV/0!</v>
      </c>
      <c r="AW118" s="133" t="e">
        <f t="shared" si="189"/>
        <v>#DIV/0!</v>
      </c>
      <c r="AX118" s="5">
        <f t="shared" si="190"/>
        <v>8.9999999999999993E-3</v>
      </c>
      <c r="AY118" s="5">
        <f t="shared" si="191"/>
        <v>0.98658239999999997</v>
      </c>
      <c r="AZ118" s="5">
        <f t="shared" si="154"/>
        <v>0.85199999999999998</v>
      </c>
      <c r="BA118" s="134" t="e">
        <f t="shared" si="192"/>
        <v>#DIV/0!</v>
      </c>
      <c r="BB118" s="133" t="e">
        <f t="shared" si="193"/>
        <v>#DIV/0!</v>
      </c>
      <c r="BC118" s="106" t="e">
        <f t="shared" si="194"/>
        <v>#DIV/0!</v>
      </c>
      <c r="BD118" s="106" t="e">
        <f t="shared" si="195"/>
        <v>#DIV/0!</v>
      </c>
      <c r="BE118" s="133" t="e">
        <f t="shared" si="196"/>
        <v>#DIV/0!</v>
      </c>
      <c r="BF118" s="135" t="e">
        <f t="shared" si="197"/>
        <v>#DIV/0!</v>
      </c>
      <c r="BG118" s="133">
        <f t="shared" si="198"/>
        <v>2.0279999999999999E-2</v>
      </c>
      <c r="BH118" s="135">
        <f t="shared" si="199"/>
        <v>0.98404000000000003</v>
      </c>
      <c r="BI118" s="106">
        <f t="shared" si="163"/>
        <v>0.10390000000000001</v>
      </c>
      <c r="BJ118" s="130" t="e">
        <f t="shared" si="200"/>
        <v>#DIV/0!</v>
      </c>
      <c r="BK118" s="96" t="e">
        <f t="shared" si="201"/>
        <v>#DIV/0!</v>
      </c>
      <c r="BL118" s="96" t="e">
        <f t="shared" si="202"/>
        <v>#DIV/0!</v>
      </c>
      <c r="BM118" s="135" t="e">
        <f t="shared" si="203"/>
        <v>#DIV/0!</v>
      </c>
      <c r="BN118" s="96" t="e">
        <f t="shared" si="204"/>
        <v>#DIV/0!</v>
      </c>
      <c r="BO118" s="5">
        <f t="shared" si="205"/>
        <v>0.15439999999999998</v>
      </c>
      <c r="BP118" s="5">
        <f t="shared" si="206"/>
        <v>0.95828000000000002</v>
      </c>
      <c r="BQ118" s="5">
        <f t="shared" si="171"/>
        <v>3.9E-2</v>
      </c>
    </row>
    <row r="119" spans="1:69">
      <c r="A119" s="139"/>
      <c r="B119" s="139"/>
      <c r="K119" s="143"/>
      <c r="L119" s="95" t="e">
        <f t="shared" si="207"/>
        <v>#DIV/0!</v>
      </c>
      <c r="M119" s="10" t="e">
        <f t="shared" si="125"/>
        <v>#DIV/0!</v>
      </c>
      <c r="N119" s="96">
        <f t="shared" si="208"/>
        <v>0</v>
      </c>
      <c r="O119" s="97">
        <f t="shared" si="209"/>
        <v>0</v>
      </c>
      <c r="Q119" s="142"/>
      <c r="R119" s="108">
        <f t="shared" si="121"/>
        <v>-40080</v>
      </c>
      <c r="S119" s="2"/>
      <c r="T119"/>
      <c r="U119"/>
      <c r="V119"/>
      <c r="W119" s="2"/>
      <c r="X119"/>
      <c r="AC119" s="130" t="e">
        <f t="shared" si="172"/>
        <v>#DIV/0!</v>
      </c>
      <c r="AD119" s="96" t="e">
        <f t="shared" si="173"/>
        <v>#DIV/0!</v>
      </c>
      <c r="AE119" s="96" t="e">
        <f t="shared" si="174"/>
        <v>#DIV/0!</v>
      </c>
      <c r="AF119" s="96" t="e">
        <f t="shared" si="175"/>
        <v>#DIV/0!</v>
      </c>
      <c r="AG119" s="96" t="e">
        <f t="shared" si="176"/>
        <v>#DIV/0!</v>
      </c>
      <c r="AH119" s="96">
        <f t="shared" si="177"/>
        <v>0.15331999999999998</v>
      </c>
      <c r="AI119" s="126">
        <f t="shared" si="178"/>
        <v>0.9244</v>
      </c>
      <c r="AJ119" s="131">
        <f t="shared" si="139"/>
        <v>4.1000000000000002E-2</v>
      </c>
      <c r="AK119" s="130" t="e">
        <f t="shared" si="179"/>
        <v>#DIV/0!</v>
      </c>
      <c r="AL119" s="96" t="e">
        <f t="shared" si="180"/>
        <v>#DIV/0!</v>
      </c>
      <c r="AM119" s="96" t="e">
        <f t="shared" si="181"/>
        <v>#DIV/0!</v>
      </c>
      <c r="AN119" s="96" t="e">
        <f t="shared" si="182"/>
        <v>#DIV/0!</v>
      </c>
      <c r="AO119" s="4">
        <f t="shared" si="183"/>
        <v>3.1519999999999999E-2</v>
      </c>
      <c r="AP119" s="6">
        <f t="shared" si="184"/>
        <v>0.98516000000000004</v>
      </c>
      <c r="AQ119" s="5">
        <f t="shared" si="146"/>
        <v>0.36599999999999999</v>
      </c>
      <c r="AR119" s="4"/>
      <c r="AS119" s="132" t="e">
        <f t="shared" si="185"/>
        <v>#DIV/0!</v>
      </c>
      <c r="AT119" s="133" t="e">
        <f t="shared" si="186"/>
        <v>#DIV/0!</v>
      </c>
      <c r="AU119" s="133" t="e">
        <f t="shared" si="187"/>
        <v>#DIV/0!</v>
      </c>
      <c r="AV119" s="133" t="e">
        <f t="shared" si="188"/>
        <v>#DIV/0!</v>
      </c>
      <c r="AW119" s="133" t="e">
        <f t="shared" si="189"/>
        <v>#DIV/0!</v>
      </c>
      <c r="AX119" s="5">
        <f t="shared" si="190"/>
        <v>8.9999999999999993E-3</v>
      </c>
      <c r="AY119" s="5">
        <f t="shared" si="191"/>
        <v>0.98658239999999997</v>
      </c>
      <c r="AZ119" s="5">
        <f t="shared" si="154"/>
        <v>0.85199999999999998</v>
      </c>
      <c r="BA119" s="134" t="e">
        <f t="shared" si="192"/>
        <v>#DIV/0!</v>
      </c>
      <c r="BB119" s="133" t="e">
        <f t="shared" si="193"/>
        <v>#DIV/0!</v>
      </c>
      <c r="BC119" s="106" t="e">
        <f t="shared" si="194"/>
        <v>#DIV/0!</v>
      </c>
      <c r="BD119" s="106" t="e">
        <f t="shared" si="195"/>
        <v>#DIV/0!</v>
      </c>
      <c r="BE119" s="133" t="e">
        <f t="shared" si="196"/>
        <v>#DIV/0!</v>
      </c>
      <c r="BF119" s="135" t="e">
        <f t="shared" si="197"/>
        <v>#DIV/0!</v>
      </c>
      <c r="BG119" s="133">
        <f t="shared" si="198"/>
        <v>2.0279999999999999E-2</v>
      </c>
      <c r="BH119" s="135">
        <f t="shared" si="199"/>
        <v>0.98404000000000003</v>
      </c>
      <c r="BI119" s="106">
        <f t="shared" si="163"/>
        <v>0.10390000000000001</v>
      </c>
      <c r="BJ119" s="130" t="e">
        <f t="shared" si="200"/>
        <v>#DIV/0!</v>
      </c>
      <c r="BK119" s="96" t="e">
        <f t="shared" si="201"/>
        <v>#DIV/0!</v>
      </c>
      <c r="BL119" s="96" t="e">
        <f t="shared" si="202"/>
        <v>#DIV/0!</v>
      </c>
      <c r="BM119" s="135" t="e">
        <f t="shared" si="203"/>
        <v>#DIV/0!</v>
      </c>
      <c r="BN119" s="96" t="e">
        <f t="shared" si="204"/>
        <v>#DIV/0!</v>
      </c>
      <c r="BO119" s="5">
        <f t="shared" si="205"/>
        <v>0.15439999999999998</v>
      </c>
      <c r="BP119" s="5">
        <f t="shared" si="206"/>
        <v>0.95828000000000002</v>
      </c>
      <c r="BQ119" s="5">
        <f t="shared" si="171"/>
        <v>3.9E-2</v>
      </c>
    </row>
    <row r="120" spans="1:69">
      <c r="A120" s="139"/>
      <c r="B120" s="139"/>
      <c r="K120" s="143"/>
      <c r="L120" s="95" t="e">
        <f t="shared" si="207"/>
        <v>#DIV/0!</v>
      </c>
      <c r="M120" s="10" t="e">
        <f t="shared" si="125"/>
        <v>#DIV/0!</v>
      </c>
      <c r="N120" s="96">
        <f t="shared" si="208"/>
        <v>0</v>
      </c>
      <c r="O120" s="97">
        <f t="shared" si="209"/>
        <v>0</v>
      </c>
      <c r="Q120" s="142"/>
      <c r="R120" s="108">
        <f t="shared" si="121"/>
        <v>-40080</v>
      </c>
      <c r="S120" s="2"/>
      <c r="T120"/>
      <c r="U120"/>
      <c r="V120"/>
      <c r="W120" s="2"/>
      <c r="X120"/>
      <c r="AC120" s="130" t="e">
        <f t="shared" si="172"/>
        <v>#DIV/0!</v>
      </c>
      <c r="AD120" s="96" t="e">
        <f t="shared" si="173"/>
        <v>#DIV/0!</v>
      </c>
      <c r="AE120" s="96" t="e">
        <f t="shared" si="174"/>
        <v>#DIV/0!</v>
      </c>
      <c r="AF120" s="96" t="e">
        <f t="shared" si="175"/>
        <v>#DIV/0!</v>
      </c>
      <c r="AG120" s="96" t="e">
        <f t="shared" si="176"/>
        <v>#DIV/0!</v>
      </c>
      <c r="AH120" s="96">
        <f t="shared" si="177"/>
        <v>0.15331999999999998</v>
      </c>
      <c r="AI120" s="126">
        <f t="shared" si="178"/>
        <v>0.9244</v>
      </c>
      <c r="AJ120" s="131">
        <f t="shared" si="139"/>
        <v>4.1000000000000002E-2</v>
      </c>
      <c r="AK120" s="130" t="e">
        <f t="shared" si="179"/>
        <v>#DIV/0!</v>
      </c>
      <c r="AL120" s="96" t="e">
        <f t="shared" si="180"/>
        <v>#DIV/0!</v>
      </c>
      <c r="AM120" s="96" t="e">
        <f t="shared" si="181"/>
        <v>#DIV/0!</v>
      </c>
      <c r="AN120" s="96" t="e">
        <f t="shared" si="182"/>
        <v>#DIV/0!</v>
      </c>
      <c r="AO120" s="4">
        <f t="shared" si="183"/>
        <v>3.1519999999999999E-2</v>
      </c>
      <c r="AP120" s="6">
        <f t="shared" si="184"/>
        <v>0.98516000000000004</v>
      </c>
      <c r="AQ120" s="5">
        <f t="shared" si="146"/>
        <v>0.36599999999999999</v>
      </c>
      <c r="AR120" s="4"/>
      <c r="AS120" s="132" t="e">
        <f t="shared" si="185"/>
        <v>#DIV/0!</v>
      </c>
      <c r="AT120" s="133" t="e">
        <f t="shared" si="186"/>
        <v>#DIV/0!</v>
      </c>
      <c r="AU120" s="133" t="e">
        <f t="shared" si="187"/>
        <v>#DIV/0!</v>
      </c>
      <c r="AV120" s="133" t="e">
        <f t="shared" si="188"/>
        <v>#DIV/0!</v>
      </c>
      <c r="AW120" s="133" t="e">
        <f t="shared" si="189"/>
        <v>#DIV/0!</v>
      </c>
      <c r="AX120" s="5">
        <f t="shared" si="190"/>
        <v>8.9999999999999993E-3</v>
      </c>
      <c r="AY120" s="5">
        <f t="shared" si="191"/>
        <v>0.98658239999999997</v>
      </c>
      <c r="AZ120" s="5">
        <f t="shared" si="154"/>
        <v>0.85199999999999998</v>
      </c>
      <c r="BA120" s="134" t="e">
        <f t="shared" si="192"/>
        <v>#DIV/0!</v>
      </c>
      <c r="BB120" s="133" t="e">
        <f t="shared" si="193"/>
        <v>#DIV/0!</v>
      </c>
      <c r="BC120" s="106" t="e">
        <f t="shared" si="194"/>
        <v>#DIV/0!</v>
      </c>
      <c r="BD120" s="106" t="e">
        <f t="shared" si="195"/>
        <v>#DIV/0!</v>
      </c>
      <c r="BE120" s="133" t="e">
        <f t="shared" si="196"/>
        <v>#DIV/0!</v>
      </c>
      <c r="BF120" s="135" t="e">
        <f t="shared" si="197"/>
        <v>#DIV/0!</v>
      </c>
      <c r="BG120" s="133">
        <f t="shared" si="198"/>
        <v>2.0279999999999999E-2</v>
      </c>
      <c r="BH120" s="135">
        <f t="shared" si="199"/>
        <v>0.98404000000000003</v>
      </c>
      <c r="BI120" s="106">
        <f t="shared" si="163"/>
        <v>0.10390000000000001</v>
      </c>
      <c r="BJ120" s="130" t="e">
        <f t="shared" si="200"/>
        <v>#DIV/0!</v>
      </c>
      <c r="BK120" s="96" t="e">
        <f t="shared" si="201"/>
        <v>#DIV/0!</v>
      </c>
      <c r="BL120" s="96" t="e">
        <f t="shared" si="202"/>
        <v>#DIV/0!</v>
      </c>
      <c r="BM120" s="135" t="e">
        <f t="shared" si="203"/>
        <v>#DIV/0!</v>
      </c>
      <c r="BN120" s="96" t="e">
        <f t="shared" si="204"/>
        <v>#DIV/0!</v>
      </c>
      <c r="BO120" s="5">
        <f t="shared" si="205"/>
        <v>0.15439999999999998</v>
      </c>
      <c r="BP120" s="5">
        <f t="shared" si="206"/>
        <v>0.95828000000000002</v>
      </c>
      <c r="BQ120" s="5">
        <f t="shared" si="171"/>
        <v>3.9E-2</v>
      </c>
    </row>
    <row r="121" spans="1:69">
      <c r="A121" s="139"/>
      <c r="B121" s="139"/>
      <c r="K121" s="143"/>
      <c r="L121" s="95" t="e">
        <f t="shared" si="207"/>
        <v>#DIV/0!</v>
      </c>
      <c r="M121" s="10" t="e">
        <f t="shared" si="125"/>
        <v>#DIV/0!</v>
      </c>
      <c r="N121" s="96">
        <f t="shared" si="208"/>
        <v>0</v>
      </c>
      <c r="O121" s="97">
        <f t="shared" si="209"/>
        <v>0</v>
      </c>
      <c r="Q121" s="142"/>
      <c r="R121" s="108">
        <f t="shared" si="121"/>
        <v>-40080</v>
      </c>
      <c r="S121" s="2"/>
      <c r="T121"/>
      <c r="U121"/>
      <c r="V121"/>
      <c r="W121" s="2"/>
      <c r="X121"/>
      <c r="AC121" s="130" t="e">
        <f t="shared" si="172"/>
        <v>#DIV/0!</v>
      </c>
      <c r="AD121" s="96" t="e">
        <f t="shared" si="173"/>
        <v>#DIV/0!</v>
      </c>
      <c r="AE121" s="96" t="e">
        <f t="shared" si="174"/>
        <v>#DIV/0!</v>
      </c>
      <c r="AF121" s="96" t="e">
        <f t="shared" si="175"/>
        <v>#DIV/0!</v>
      </c>
      <c r="AG121" s="96" t="e">
        <f t="shared" si="176"/>
        <v>#DIV/0!</v>
      </c>
      <c r="AH121" s="96">
        <f t="shared" si="177"/>
        <v>0.15331999999999998</v>
      </c>
      <c r="AI121" s="126">
        <f t="shared" si="178"/>
        <v>0.9244</v>
      </c>
      <c r="AJ121" s="131">
        <f t="shared" si="139"/>
        <v>4.1000000000000002E-2</v>
      </c>
      <c r="AK121" s="130" t="e">
        <f t="shared" si="179"/>
        <v>#DIV/0!</v>
      </c>
      <c r="AL121" s="96" t="e">
        <f t="shared" si="180"/>
        <v>#DIV/0!</v>
      </c>
      <c r="AM121" s="96" t="e">
        <f t="shared" si="181"/>
        <v>#DIV/0!</v>
      </c>
      <c r="AN121" s="96" t="e">
        <f t="shared" si="182"/>
        <v>#DIV/0!</v>
      </c>
      <c r="AO121" s="4">
        <f t="shared" si="183"/>
        <v>3.1519999999999999E-2</v>
      </c>
      <c r="AP121" s="6">
        <f t="shared" si="184"/>
        <v>0.98516000000000004</v>
      </c>
      <c r="AQ121" s="5">
        <f t="shared" si="146"/>
        <v>0.36599999999999999</v>
      </c>
      <c r="AR121" s="4"/>
      <c r="AS121" s="132" t="e">
        <f t="shared" si="185"/>
        <v>#DIV/0!</v>
      </c>
      <c r="AT121" s="133" t="e">
        <f t="shared" si="186"/>
        <v>#DIV/0!</v>
      </c>
      <c r="AU121" s="133" t="e">
        <f t="shared" si="187"/>
        <v>#DIV/0!</v>
      </c>
      <c r="AV121" s="133" t="e">
        <f t="shared" si="188"/>
        <v>#DIV/0!</v>
      </c>
      <c r="AW121" s="133" t="e">
        <f t="shared" si="189"/>
        <v>#DIV/0!</v>
      </c>
      <c r="AX121" s="5">
        <f t="shared" si="190"/>
        <v>8.9999999999999993E-3</v>
      </c>
      <c r="AY121" s="5">
        <f t="shared" si="191"/>
        <v>0.98658239999999997</v>
      </c>
      <c r="AZ121" s="5">
        <f t="shared" si="154"/>
        <v>0.85199999999999998</v>
      </c>
      <c r="BA121" s="134" t="e">
        <f t="shared" si="192"/>
        <v>#DIV/0!</v>
      </c>
      <c r="BB121" s="133" t="e">
        <f t="shared" si="193"/>
        <v>#DIV/0!</v>
      </c>
      <c r="BC121" s="106" t="e">
        <f t="shared" si="194"/>
        <v>#DIV/0!</v>
      </c>
      <c r="BD121" s="106" t="e">
        <f t="shared" si="195"/>
        <v>#DIV/0!</v>
      </c>
      <c r="BE121" s="133" t="e">
        <f t="shared" si="196"/>
        <v>#DIV/0!</v>
      </c>
      <c r="BF121" s="135" t="e">
        <f t="shared" si="197"/>
        <v>#DIV/0!</v>
      </c>
      <c r="BG121" s="133">
        <f t="shared" si="198"/>
        <v>2.0279999999999999E-2</v>
      </c>
      <c r="BH121" s="135">
        <f t="shared" si="199"/>
        <v>0.98404000000000003</v>
      </c>
      <c r="BI121" s="106">
        <f t="shared" si="163"/>
        <v>0.10390000000000001</v>
      </c>
      <c r="BJ121" s="130" t="e">
        <f t="shared" si="200"/>
        <v>#DIV/0!</v>
      </c>
      <c r="BK121" s="96" t="e">
        <f t="shared" si="201"/>
        <v>#DIV/0!</v>
      </c>
      <c r="BL121" s="96" t="e">
        <f t="shared" si="202"/>
        <v>#DIV/0!</v>
      </c>
      <c r="BM121" s="135" t="e">
        <f t="shared" si="203"/>
        <v>#DIV/0!</v>
      </c>
      <c r="BN121" s="96" t="e">
        <f t="shared" si="204"/>
        <v>#DIV/0!</v>
      </c>
      <c r="BO121" s="5">
        <f t="shared" si="205"/>
        <v>0.15439999999999998</v>
      </c>
      <c r="BP121" s="5">
        <f t="shared" si="206"/>
        <v>0.95828000000000002</v>
      </c>
      <c r="BQ121" s="5">
        <f t="shared" si="171"/>
        <v>3.9E-2</v>
      </c>
    </row>
    <row r="122" spans="1:69">
      <c r="A122" s="139"/>
      <c r="B122" s="139"/>
      <c r="K122" s="143"/>
      <c r="L122" s="95" t="e">
        <f t="shared" si="207"/>
        <v>#DIV/0!</v>
      </c>
      <c r="M122" s="10" t="e">
        <f t="shared" si="125"/>
        <v>#DIV/0!</v>
      </c>
      <c r="N122" s="96">
        <f t="shared" si="208"/>
        <v>0</v>
      </c>
      <c r="O122" s="97">
        <f t="shared" si="209"/>
        <v>0</v>
      </c>
      <c r="Q122" s="142"/>
      <c r="R122" s="108">
        <f t="shared" si="121"/>
        <v>-40080</v>
      </c>
      <c r="S122" s="2"/>
      <c r="T122"/>
      <c r="U122"/>
      <c r="V122"/>
      <c r="W122" s="2"/>
      <c r="X122"/>
      <c r="AC122" s="130" t="e">
        <f t="shared" si="172"/>
        <v>#DIV/0!</v>
      </c>
      <c r="AD122" s="96" t="e">
        <f t="shared" si="173"/>
        <v>#DIV/0!</v>
      </c>
      <c r="AE122" s="96" t="e">
        <f t="shared" si="174"/>
        <v>#DIV/0!</v>
      </c>
      <c r="AF122" s="96" t="e">
        <f t="shared" si="175"/>
        <v>#DIV/0!</v>
      </c>
      <c r="AG122" s="96" t="e">
        <f t="shared" si="176"/>
        <v>#DIV/0!</v>
      </c>
      <c r="AH122" s="96">
        <f t="shared" si="177"/>
        <v>0.15331999999999998</v>
      </c>
      <c r="AI122" s="126">
        <f t="shared" si="178"/>
        <v>0.9244</v>
      </c>
      <c r="AJ122" s="131">
        <f t="shared" si="139"/>
        <v>4.1000000000000002E-2</v>
      </c>
      <c r="AK122" s="130" t="e">
        <f t="shared" si="179"/>
        <v>#DIV/0!</v>
      </c>
      <c r="AL122" s="96" t="e">
        <f t="shared" si="180"/>
        <v>#DIV/0!</v>
      </c>
      <c r="AM122" s="96" t="e">
        <f t="shared" si="181"/>
        <v>#DIV/0!</v>
      </c>
      <c r="AN122" s="96" t="e">
        <f t="shared" si="182"/>
        <v>#DIV/0!</v>
      </c>
      <c r="AO122" s="4">
        <f t="shared" si="183"/>
        <v>3.1519999999999999E-2</v>
      </c>
      <c r="AP122" s="6">
        <f t="shared" si="184"/>
        <v>0.98516000000000004</v>
      </c>
      <c r="AQ122" s="5">
        <f t="shared" si="146"/>
        <v>0.36599999999999999</v>
      </c>
      <c r="AR122" s="4"/>
      <c r="AS122" s="132" t="e">
        <f t="shared" si="185"/>
        <v>#DIV/0!</v>
      </c>
      <c r="AT122" s="133" t="e">
        <f t="shared" si="186"/>
        <v>#DIV/0!</v>
      </c>
      <c r="AU122" s="133" t="e">
        <f t="shared" si="187"/>
        <v>#DIV/0!</v>
      </c>
      <c r="AV122" s="133" t="e">
        <f t="shared" si="188"/>
        <v>#DIV/0!</v>
      </c>
      <c r="AW122" s="133" t="e">
        <f t="shared" si="189"/>
        <v>#DIV/0!</v>
      </c>
      <c r="AX122" s="5">
        <f t="shared" si="190"/>
        <v>8.9999999999999993E-3</v>
      </c>
      <c r="AY122" s="5">
        <f t="shared" si="191"/>
        <v>0.98658239999999997</v>
      </c>
      <c r="AZ122" s="5">
        <f t="shared" si="154"/>
        <v>0.85199999999999998</v>
      </c>
      <c r="BA122" s="134" t="e">
        <f t="shared" si="192"/>
        <v>#DIV/0!</v>
      </c>
      <c r="BB122" s="133" t="e">
        <f t="shared" si="193"/>
        <v>#DIV/0!</v>
      </c>
      <c r="BC122" s="106" t="e">
        <f t="shared" si="194"/>
        <v>#DIV/0!</v>
      </c>
      <c r="BD122" s="106" t="e">
        <f t="shared" si="195"/>
        <v>#DIV/0!</v>
      </c>
      <c r="BE122" s="133" t="e">
        <f t="shared" si="196"/>
        <v>#DIV/0!</v>
      </c>
      <c r="BF122" s="135" t="e">
        <f t="shared" si="197"/>
        <v>#DIV/0!</v>
      </c>
      <c r="BG122" s="133">
        <f t="shared" si="198"/>
        <v>2.0279999999999999E-2</v>
      </c>
      <c r="BH122" s="135">
        <f t="shared" si="199"/>
        <v>0.98404000000000003</v>
      </c>
      <c r="BI122" s="106">
        <f t="shared" si="163"/>
        <v>0.10390000000000001</v>
      </c>
      <c r="BJ122" s="130" t="e">
        <f t="shared" si="200"/>
        <v>#DIV/0!</v>
      </c>
      <c r="BK122" s="96" t="e">
        <f t="shared" si="201"/>
        <v>#DIV/0!</v>
      </c>
      <c r="BL122" s="96" t="e">
        <f t="shared" si="202"/>
        <v>#DIV/0!</v>
      </c>
      <c r="BM122" s="135" t="e">
        <f t="shared" si="203"/>
        <v>#DIV/0!</v>
      </c>
      <c r="BN122" s="96" t="e">
        <f t="shared" si="204"/>
        <v>#DIV/0!</v>
      </c>
      <c r="BO122" s="5">
        <f t="shared" si="205"/>
        <v>0.15439999999999998</v>
      </c>
      <c r="BP122" s="5">
        <f t="shared" si="206"/>
        <v>0.95828000000000002</v>
      </c>
      <c r="BQ122" s="5">
        <f t="shared" si="171"/>
        <v>3.9E-2</v>
      </c>
    </row>
  </sheetData>
  <mergeCells count="1">
    <mergeCell ref="C7:L7"/>
  </mergeCells>
  <phoneticPr fontId="0"/>
  <printOptions horizontalCentered="1" verticalCentered="1" gridLines="1"/>
  <pageMargins left="0" right="0" top="0" bottom="0" header="0" footer="0.5"/>
  <pageSetup orientation="landscape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F89"/>
  <sheetViews>
    <sheetView tabSelected="1" workbookViewId="0">
      <selection activeCell="I3" sqref="I3"/>
    </sheetView>
  </sheetViews>
  <sheetFormatPr baseColWidth="10" defaultRowHeight="14"/>
  <cols>
    <col min="1" max="1" width="10.42578125" style="8" customWidth="1"/>
    <col min="2" max="2" width="6.7109375" style="2" customWidth="1"/>
    <col min="3" max="3" width="2.85546875" style="2" customWidth="1"/>
    <col min="4" max="4" width="7.42578125" style="2" bestFit="1" customWidth="1"/>
    <col min="5" max="5" width="6.85546875" style="2" customWidth="1"/>
    <col min="6" max="6" width="8.42578125" style="10" customWidth="1"/>
    <col min="7" max="7" width="6.85546875" style="2" customWidth="1"/>
    <col min="8" max="8" width="3.85546875" style="2" customWidth="1"/>
    <col min="9" max="9" width="8.85546875" style="2" customWidth="1"/>
    <col min="10" max="10" width="7.85546875" style="2" customWidth="1"/>
    <col min="11" max="11" width="3.85546875" style="2" customWidth="1"/>
    <col min="12" max="12" width="8.28515625" style="2" customWidth="1"/>
    <col min="13" max="13" width="7.140625" style="2" bestFit="1" customWidth="1"/>
    <col min="14" max="14" width="7" style="2" customWidth="1"/>
    <col min="15" max="15" width="4.28515625" customWidth="1"/>
    <col min="16" max="16" width="8.85546875" style="10" customWidth="1"/>
    <col min="17" max="17" width="8.28515625" style="10" customWidth="1"/>
    <col min="18" max="18" width="3.5703125" style="10" customWidth="1"/>
    <col min="19" max="19" width="9.7109375" style="2" customWidth="1"/>
    <col min="20" max="20" width="7.28515625" style="2" customWidth="1"/>
    <col min="21" max="21" width="5.140625" customWidth="1"/>
    <col min="22" max="22" width="8.5703125" style="2" customWidth="1"/>
    <col min="23" max="23" width="8.85546875" style="2" customWidth="1"/>
    <col min="24" max="16384" width="10.7109375" style="2"/>
  </cols>
  <sheetData>
    <row r="3" spans="1:32">
      <c r="I3" s="10"/>
    </row>
    <row r="5" spans="1:32">
      <c r="D5" s="74"/>
      <c r="E5" s="74"/>
      <c r="F5" s="75"/>
      <c r="G5" s="74"/>
      <c r="H5" s="74"/>
      <c r="I5" s="74"/>
      <c r="J5" s="74"/>
      <c r="K5" s="74"/>
      <c r="L5" s="74"/>
      <c r="M5" s="74"/>
      <c r="N5" s="74"/>
      <c r="O5" s="76"/>
      <c r="P5" s="75"/>
      <c r="Q5" s="75"/>
      <c r="R5" s="75"/>
      <c r="S5" s="9"/>
      <c r="T5" s="9"/>
    </row>
    <row r="6" spans="1:32">
      <c r="D6" s="82" t="s">
        <v>13</v>
      </c>
      <c r="E6" s="86"/>
      <c r="F6" s="87"/>
      <c r="G6" s="86"/>
      <c r="H6" s="88"/>
      <c r="I6" s="89" t="s">
        <v>16</v>
      </c>
      <c r="J6" s="89"/>
      <c r="K6" s="90"/>
      <c r="L6" s="91" t="s">
        <v>15</v>
      </c>
      <c r="M6" s="91"/>
      <c r="N6" s="91"/>
      <c r="O6" s="90"/>
      <c r="P6" s="85" t="s">
        <v>150</v>
      </c>
      <c r="Q6" s="85"/>
      <c r="R6" s="77"/>
      <c r="S6" s="84" t="s">
        <v>152</v>
      </c>
      <c r="T6" s="83"/>
      <c r="V6" s="2" t="s">
        <v>142</v>
      </c>
      <c r="W6" s="2" t="s">
        <v>142</v>
      </c>
    </row>
    <row r="7" spans="1:32">
      <c r="D7" s="82" t="s">
        <v>12</v>
      </c>
      <c r="E7" s="86"/>
      <c r="F7" s="87"/>
      <c r="G7" s="86"/>
      <c r="H7" s="88"/>
      <c r="I7" s="89" t="s">
        <v>149</v>
      </c>
      <c r="J7" s="89"/>
      <c r="K7" s="90"/>
      <c r="L7" s="91" t="s">
        <v>14</v>
      </c>
      <c r="M7" s="91"/>
      <c r="N7" s="91"/>
      <c r="O7" s="90"/>
      <c r="P7" s="85" t="s">
        <v>151</v>
      </c>
      <c r="Q7" s="85"/>
      <c r="R7" s="77"/>
      <c r="S7" s="84" t="s">
        <v>153</v>
      </c>
      <c r="T7" s="83"/>
      <c r="V7" s="2" t="s">
        <v>143</v>
      </c>
      <c r="W7" s="2" t="s">
        <v>143</v>
      </c>
      <c r="X7" s="2" t="s">
        <v>144</v>
      </c>
      <c r="Y7" s="2" t="s">
        <v>144</v>
      </c>
      <c r="Z7" s="2" t="s">
        <v>144</v>
      </c>
      <c r="AA7" s="2" t="s">
        <v>144</v>
      </c>
    </row>
    <row r="8" spans="1:32" s="1" customFormat="1" ht="60">
      <c r="A8" s="1" t="s">
        <v>154</v>
      </c>
      <c r="B8" s="1" t="s">
        <v>19</v>
      </c>
      <c r="D8" s="1" t="s">
        <v>2</v>
      </c>
      <c r="E8" s="1" t="s">
        <v>158</v>
      </c>
      <c r="F8" s="45" t="s">
        <v>138</v>
      </c>
      <c r="G8" s="79" t="s">
        <v>139</v>
      </c>
      <c r="H8" s="79"/>
      <c r="I8" s="44" t="s">
        <v>1</v>
      </c>
      <c r="J8" s="79" t="s">
        <v>158</v>
      </c>
      <c r="K8" s="79"/>
      <c r="L8" s="44" t="s">
        <v>132</v>
      </c>
      <c r="M8" s="79" t="s">
        <v>158</v>
      </c>
      <c r="N8" s="79" t="str">
        <f>'data&amp;corrections'!BL8</f>
        <v>Th-234 dpm</v>
      </c>
      <c r="O8" s="79"/>
      <c r="P8" s="45" t="s">
        <v>133</v>
      </c>
      <c r="Q8" s="78" t="s">
        <v>141</v>
      </c>
      <c r="R8" s="78"/>
      <c r="S8" s="44" t="s">
        <v>134</v>
      </c>
      <c r="T8" s="79" t="s">
        <v>158</v>
      </c>
      <c r="V8" s="1" t="s">
        <v>145</v>
      </c>
      <c r="W8" s="1" t="s">
        <v>146</v>
      </c>
      <c r="X8" s="1" t="s">
        <v>147</v>
      </c>
      <c r="Y8" s="1" t="s">
        <v>148</v>
      </c>
      <c r="Z8" s="1" t="s">
        <v>55</v>
      </c>
      <c r="AA8" s="1" t="s">
        <v>148</v>
      </c>
      <c r="AB8" s="1" t="s">
        <v>80</v>
      </c>
    </row>
    <row r="9" spans="1:32">
      <c r="A9" s="93" t="str">
        <f>'data&amp;corrections'!A9</f>
        <v>0-2</v>
      </c>
      <c r="B9" s="2">
        <f>'data&amp;corrections'!B9</f>
        <v>-1</v>
      </c>
      <c r="D9" s="10">
        <f>'data&amp;corrections'!AF9</f>
        <v>17.957451472263465</v>
      </c>
      <c r="E9" s="10">
        <f>'data&amp;corrections'!AG9</f>
        <v>0.44991906032119944</v>
      </c>
      <c r="F9" s="92">
        <f t="shared" ref="F9:F29" si="0">IF(D9&gt;I9,D9-I9,0)</f>
        <v>16.787146342237641</v>
      </c>
      <c r="G9" s="80">
        <f t="shared" ref="G9:G29" si="1">E9+J9</f>
        <v>0.55937314507940228</v>
      </c>
      <c r="H9" s="80"/>
      <c r="I9" s="80">
        <f>'data&amp;corrections'!AM9</f>
        <v>1.1703051300258245</v>
      </c>
      <c r="J9" s="80">
        <f>'data&amp;corrections'!AN9</f>
        <v>0.1094540847582028</v>
      </c>
      <c r="K9" s="80"/>
      <c r="L9" s="80">
        <f>'data&amp;corrections'!BM9</f>
        <v>-1.6747717682098414E+23</v>
      </c>
      <c r="M9" s="80">
        <f>'data&amp;corrections'!BN9</f>
        <v>0.11171157790374842</v>
      </c>
      <c r="N9" s="80">
        <f>'data&amp;corrections'!BL9</f>
        <v>-0.38301112424142308</v>
      </c>
      <c r="O9" s="16"/>
      <c r="P9" s="80">
        <f>IF('data&amp;corrections'!BE9&gt;0,'data&amp;corrections'!BE9,0)</f>
        <v>0</v>
      </c>
      <c r="Q9" s="80">
        <f>IF('data&amp;corrections'!BF9&gt;0,'data&amp;corrections'!BF9,0)</f>
        <v>5352503468.5490417</v>
      </c>
      <c r="R9" s="80"/>
      <c r="S9" s="81">
        <f>'data&amp;corrections'!AV9</f>
        <v>0.52460405636580176</v>
      </c>
      <c r="T9" s="80">
        <f>'data&amp;corrections'!AW9</f>
        <v>8.3500386417795947E-2</v>
      </c>
      <c r="V9" s="10">
        <f>(1-'data&amp;corrections'!M9)*2.5</f>
        <v>0.40449186210431864</v>
      </c>
      <c r="W9" s="10">
        <f>(1-'data&amp;corrections'!M9)*0.24</f>
        <v>3.8831218762014591E-2</v>
      </c>
      <c r="X9" s="10">
        <f t="shared" ref="X9:X29" si="2">V9*F9</f>
        <v>6.7902640833894052</v>
      </c>
      <c r="Y9" s="10">
        <f t="shared" ref="Y9:Y29" si="3">V9*1.1058*G9</f>
        <v>0.25020039250412129</v>
      </c>
      <c r="Z9" s="10">
        <f t="shared" ref="Z9:Z29" si="4">V9*P9</f>
        <v>0</v>
      </c>
      <c r="AA9" s="10">
        <f t="shared" ref="AA9:AA29" si="5">IF(Z9=0,0,V9*1.1058*Q9)</f>
        <v>0</v>
      </c>
      <c r="AB9" s="10">
        <f t="shared" ref="AB9:AB29" si="6">LN(F9)</f>
        <v>2.8206134948955142</v>
      </c>
      <c r="AD9" s="10">
        <f>'data&amp;corrections'!CA9</f>
        <v>0</v>
      </c>
      <c r="AF9" s="10">
        <f t="shared" ref="AF9:AF29" si="7">F9-AD9</f>
        <v>16.787146342237641</v>
      </c>
    </row>
    <row r="10" spans="1:32">
      <c r="A10" s="93" t="str">
        <f>'data&amp;corrections'!A10</f>
        <v>2-4</v>
      </c>
      <c r="B10" s="2">
        <f>'data&amp;corrections'!B10</f>
        <v>-3</v>
      </c>
      <c r="D10" s="10">
        <f>'data&amp;corrections'!AF10</f>
        <v>13.145076932382757</v>
      </c>
      <c r="E10" s="10">
        <f>'data&amp;corrections'!AG10</f>
        <v>0.34129898372068618</v>
      </c>
      <c r="F10" s="92">
        <f t="shared" si="0"/>
        <v>11.880702888312618</v>
      </c>
      <c r="G10" s="80">
        <f t="shared" si="1"/>
        <v>0.4345139094938128</v>
      </c>
      <c r="H10" s="80"/>
      <c r="I10" s="80">
        <f>'data&amp;corrections'!AM10</f>
        <v>1.2643740440701399</v>
      </c>
      <c r="J10" s="80">
        <f>'data&amp;corrections'!AN10</f>
        <v>9.3214925773126608E-2</v>
      </c>
      <c r="K10" s="80"/>
      <c r="L10" s="80">
        <f>'data&amp;corrections'!BM10</f>
        <v>-1.6002429132409248E+23</v>
      </c>
      <c r="M10" s="80">
        <f>'data&amp;corrections'!BN10</f>
        <v>8.2833384801480475E-2</v>
      </c>
      <c r="N10" s="80">
        <f>'data&amp;corrections'!BL10</f>
        <v>-0.28400017646221876</v>
      </c>
      <c r="O10" s="16"/>
      <c r="P10" s="80">
        <f>IF('data&amp;corrections'!BE10&gt;0,'data&amp;corrections'!BE10,0)</f>
        <v>0</v>
      </c>
      <c r="Q10" s="80">
        <f>IF('data&amp;corrections'!BF10&gt;0,'data&amp;corrections'!BF10,0)</f>
        <v>3821177863.128387</v>
      </c>
      <c r="R10" s="80"/>
      <c r="S10" s="81">
        <f>'data&amp;corrections'!AV10</f>
        <v>0.6257009810394969</v>
      </c>
      <c r="T10" s="80">
        <f>'data&amp;corrections'!AW10</f>
        <v>6.5889001271007427E-2</v>
      </c>
      <c r="V10" s="10">
        <f>(1-'data&amp;corrections'!M10)*2.5</f>
        <v>0.38942027173460042</v>
      </c>
      <c r="W10" s="10">
        <f>(1-'data&amp;corrections'!M10)*0.24</f>
        <v>3.7384346086521636E-2</v>
      </c>
      <c r="X10" s="10">
        <f t="shared" si="2"/>
        <v>4.6265865471647514</v>
      </c>
      <c r="Y10" s="10">
        <f t="shared" si="3"/>
        <v>0.1871107866216023</v>
      </c>
      <c r="Z10" s="10">
        <f t="shared" si="4"/>
        <v>0</v>
      </c>
      <c r="AA10" s="10">
        <f t="shared" si="5"/>
        <v>0</v>
      </c>
      <c r="AB10" s="10">
        <f t="shared" si="6"/>
        <v>2.4749154778671594</v>
      </c>
      <c r="AD10" s="10">
        <f>'data&amp;corrections'!CA10</f>
        <v>0</v>
      </c>
      <c r="AF10" s="10">
        <f t="shared" si="7"/>
        <v>11.880702888312618</v>
      </c>
    </row>
    <row r="11" spans="1:32">
      <c r="A11" s="93" t="str">
        <f>'data&amp;corrections'!A11</f>
        <v>4-6</v>
      </c>
      <c r="B11" s="2">
        <f>'data&amp;corrections'!B11</f>
        <v>-5</v>
      </c>
      <c r="D11" s="10">
        <f>'data&amp;corrections'!AF11</f>
        <v>10.397438753796347</v>
      </c>
      <c r="E11" s="10">
        <f>'data&amp;corrections'!AG11</f>
        <v>0.29584997452365241</v>
      </c>
      <c r="F11" s="92">
        <f t="shared" si="0"/>
        <v>9.3036627970524375</v>
      </c>
      <c r="G11" s="80">
        <f t="shared" si="1"/>
        <v>0.38054081503397563</v>
      </c>
      <c r="H11" s="80"/>
      <c r="I11" s="80">
        <f>'data&amp;corrections'!AM11</f>
        <v>1.0937759567439094</v>
      </c>
      <c r="J11" s="80">
        <f>'data&amp;corrections'!AN11</f>
        <v>8.4690840510323204E-2</v>
      </c>
      <c r="K11" s="80"/>
      <c r="L11" s="80">
        <f>'data&amp;corrections'!BM11</f>
        <v>-1.6298545946834053E+23</v>
      </c>
      <c r="M11" s="80">
        <f>'data&amp;corrections'!BN11</f>
        <v>7.8949158055731286E-2</v>
      </c>
      <c r="N11" s="80">
        <f>'data&amp;corrections'!BL11</f>
        <v>-0.27068282761965012</v>
      </c>
      <c r="O11" s="16"/>
      <c r="P11" s="80">
        <f>IF('data&amp;corrections'!BE11&gt;0,'data&amp;corrections'!BE11,0)</f>
        <v>0</v>
      </c>
      <c r="Q11" s="80">
        <f>IF('data&amp;corrections'!BF11&gt;0,'data&amp;corrections'!BF11,0)</f>
        <v>3791405826.0387697</v>
      </c>
      <c r="R11" s="80"/>
      <c r="S11" s="81">
        <f>'data&amp;corrections'!AV11</f>
        <v>0.75456757975712241</v>
      </c>
      <c r="T11" s="80">
        <f>'data&amp;corrections'!AW11</f>
        <v>7.1812998149201265E-2</v>
      </c>
      <c r="V11" s="10">
        <f>(1-'data&amp;corrections'!M11)*2.5</f>
        <v>0.4502713323353294</v>
      </c>
      <c r="W11" s="10">
        <f>(1-'data&amp;corrections'!M11)*0.24</f>
        <v>4.3226047904191621E-2</v>
      </c>
      <c r="X11" s="10">
        <f t="shared" si="2"/>
        <v>4.1891726432274385</v>
      </c>
      <c r="Y11" s="10">
        <f t="shared" si="3"/>
        <v>0.18947509216745365</v>
      </c>
      <c r="Z11" s="10">
        <f t="shared" si="4"/>
        <v>0</v>
      </c>
      <c r="AA11" s="10">
        <f t="shared" si="5"/>
        <v>0</v>
      </c>
      <c r="AB11" s="10">
        <f t="shared" si="6"/>
        <v>2.2304081717664173</v>
      </c>
      <c r="AD11" s="10">
        <f>'data&amp;corrections'!CA11</f>
        <v>0</v>
      </c>
      <c r="AF11" s="10">
        <f t="shared" si="7"/>
        <v>9.3036627970524375</v>
      </c>
    </row>
    <row r="12" spans="1:32">
      <c r="A12" s="93" t="str">
        <f>'data&amp;corrections'!A12</f>
        <v>6-8</v>
      </c>
      <c r="B12" s="2">
        <f>'data&amp;corrections'!B12</f>
        <v>-7</v>
      </c>
      <c r="D12" s="10">
        <f>'data&amp;corrections'!AF12</f>
        <v>9.3749586184963789</v>
      </c>
      <c r="E12" s="10">
        <f>'data&amp;corrections'!AG12</f>
        <v>0.27744597864540615</v>
      </c>
      <c r="F12" s="92">
        <f t="shared" si="0"/>
        <v>8.2662592364164755</v>
      </c>
      <c r="G12" s="80">
        <f t="shared" si="1"/>
        <v>0.35906205362356014</v>
      </c>
      <c r="H12" s="80"/>
      <c r="I12" s="80">
        <f>'data&amp;corrections'!AM12</f>
        <v>1.108699382079904</v>
      </c>
      <c r="J12" s="80">
        <f>'data&amp;corrections'!AN12</f>
        <v>8.1616074978154013E-2</v>
      </c>
      <c r="K12" s="80"/>
      <c r="L12" s="80">
        <f>'data&amp;corrections'!BM12</f>
        <v>-1.653932141551655E+23</v>
      </c>
      <c r="M12" s="80">
        <f>'data&amp;corrections'!BN12</f>
        <v>7.3761411468752647E-2</v>
      </c>
      <c r="N12" s="80">
        <f>'data&amp;corrections'!BL12</f>
        <v>-0.25289626789286623</v>
      </c>
      <c r="O12" s="16"/>
      <c r="P12" s="80">
        <f>IF('data&amp;corrections'!BE12&gt;0,'data&amp;corrections'!BE12,0)</f>
        <v>0</v>
      </c>
      <c r="Q12" s="80">
        <f>IF('data&amp;corrections'!BF12&gt;0,'data&amp;corrections'!BF12,0)</f>
        <v>3527775161.7274423</v>
      </c>
      <c r="R12" s="80"/>
      <c r="S12" s="81">
        <f>'data&amp;corrections'!AV12</f>
        <v>1.3574677383051816</v>
      </c>
      <c r="T12" s="80">
        <f>'data&amp;corrections'!AW12</f>
        <v>8.3753278029987874E-2</v>
      </c>
      <c r="V12" s="10">
        <f>(1-'data&amp;corrections'!M12)*2.5</f>
        <v>0.4336791123840128</v>
      </c>
      <c r="W12" s="10">
        <f>(1-'data&amp;corrections'!M12)*0.24</f>
        <v>4.1633194788865228E-2</v>
      </c>
      <c r="X12" s="10">
        <f t="shared" si="2"/>
        <v>3.5849039683852446</v>
      </c>
      <c r="Y12" s="10">
        <f t="shared" si="3"/>
        <v>0.17219264671056722</v>
      </c>
      <c r="Z12" s="10">
        <f t="shared" si="4"/>
        <v>0</v>
      </c>
      <c r="AA12" s="10">
        <f t="shared" si="5"/>
        <v>0</v>
      </c>
      <c r="AB12" s="10">
        <f t="shared" si="6"/>
        <v>2.1121820773708744</v>
      </c>
      <c r="AD12" s="10">
        <f>'data&amp;corrections'!CA12</f>
        <v>0</v>
      </c>
      <c r="AF12" s="10">
        <f t="shared" si="7"/>
        <v>8.2662592364164755</v>
      </c>
    </row>
    <row r="13" spans="1:32">
      <c r="A13" s="93" t="str">
        <f>'data&amp;corrections'!A13</f>
        <v>8-10</v>
      </c>
      <c r="B13" s="2">
        <f>'data&amp;corrections'!B13</f>
        <v>-9</v>
      </c>
      <c r="D13" s="10">
        <f>'data&amp;corrections'!AF13</f>
        <v>6.9827349977492945</v>
      </c>
      <c r="E13" s="10">
        <f>'data&amp;corrections'!AG13</f>
        <v>0.2478795798925002</v>
      </c>
      <c r="F13" s="92">
        <f>IF(D13&gt;I13,D13-I13,0)</f>
        <v>5.7978797013695438</v>
      </c>
      <c r="G13" s="80">
        <f>E13+J13</f>
        <v>0.33386083556896456</v>
      </c>
      <c r="H13" s="80"/>
      <c r="I13" s="80">
        <f>'data&amp;corrections'!AM13</f>
        <v>1.1848552963797503</v>
      </c>
      <c r="J13" s="80">
        <f>'data&amp;corrections'!AN13</f>
        <v>8.5981255676464377E-2</v>
      </c>
      <c r="K13" s="80"/>
      <c r="L13" s="80">
        <f>'data&amp;corrections'!BM13</f>
        <v>-1.7244477490481561E+23</v>
      </c>
      <c r="M13" s="80">
        <f>'data&amp;corrections'!BN13</f>
        <v>7.8539284013267638E-2</v>
      </c>
      <c r="N13" s="80">
        <f>'data&amp;corrections'!BL13</f>
        <v>-0.26927754518834618</v>
      </c>
      <c r="O13" s="16"/>
      <c r="P13" s="80">
        <f>IF('data&amp;corrections'!BE13&gt;0,'data&amp;corrections'!BE13,0)</f>
        <v>0</v>
      </c>
      <c r="Q13" s="80">
        <f>IF('data&amp;corrections'!BF13&gt;0,'data&amp;corrections'!BF13,0)</f>
        <v>3888057322.7087026</v>
      </c>
      <c r="R13" s="80"/>
      <c r="S13" s="81">
        <f>'data&amp;corrections'!AV13</f>
        <v>2.8666435913443897</v>
      </c>
      <c r="T13" s="80">
        <f>'data&amp;corrections'!AW13</f>
        <v>0.11460637149853665</v>
      </c>
      <c r="V13" s="10">
        <f>(1-'data&amp;corrections'!M13)*2.5</f>
        <v>0.4427093814142552</v>
      </c>
      <c r="W13" s="10">
        <f>(1-'data&amp;corrections'!M13)*0.24</f>
        <v>4.2500100615768498E-2</v>
      </c>
      <c r="X13" s="10">
        <f>V13*F13</f>
        <v>2.5667757361075774</v>
      </c>
      <c r="Y13" s="10">
        <f>V13*1.1058*G13</f>
        <v>0.16344091567166139</v>
      </c>
      <c r="Z13" s="10">
        <f>V13*P13</f>
        <v>0</v>
      </c>
      <c r="AA13" s="10">
        <f>IF(Z13=0,0,V13*1.1058*Q13)</f>
        <v>0</v>
      </c>
      <c r="AB13" s="10">
        <f>LN(F13)</f>
        <v>1.7574922819864474</v>
      </c>
      <c r="AD13" s="10">
        <f>'data&amp;corrections'!CA13</f>
        <v>0</v>
      </c>
      <c r="AF13" s="10">
        <f>F13-AD13</f>
        <v>5.7978797013695438</v>
      </c>
    </row>
    <row r="14" spans="1:32">
      <c r="A14" s="93" t="str">
        <f>'data&amp;corrections'!A14</f>
        <v>10-12</v>
      </c>
      <c r="B14" s="2">
        <f>'data&amp;corrections'!B14</f>
        <v>-11</v>
      </c>
      <c r="D14" s="10">
        <f>'data&amp;corrections'!AF14</f>
        <v>4.4756080631576562</v>
      </c>
      <c r="E14" s="10">
        <f>'data&amp;corrections'!AG14</f>
        <v>0.19990679980531628</v>
      </c>
      <c r="F14" s="92">
        <f t="shared" si="0"/>
        <v>3.4435315141295795</v>
      </c>
      <c r="G14" s="80">
        <f t="shared" si="1"/>
        <v>0.27578019054104158</v>
      </c>
      <c r="H14" s="80"/>
      <c r="I14" s="80">
        <f>'data&amp;corrections'!AM14</f>
        <v>1.0320765490280768</v>
      </c>
      <c r="J14" s="80">
        <f>'data&amp;corrections'!AN14</f>
        <v>7.5873390735725285E-2</v>
      </c>
      <c r="K14" s="80"/>
      <c r="L14" s="80">
        <f>'data&amp;corrections'!BM14</f>
        <v>-2.1020276939400073E+23</v>
      </c>
      <c r="M14" s="80">
        <f>'data&amp;corrections'!BN14</f>
        <v>6.68462601699054E-2</v>
      </c>
      <c r="N14" s="80">
        <f>'data&amp;corrections'!BL14</f>
        <v>-0.22918717772538993</v>
      </c>
      <c r="O14" s="16"/>
      <c r="P14" s="80">
        <f>IF('data&amp;corrections'!BE14&gt;0,'data&amp;corrections'!BE14,0)</f>
        <v>0</v>
      </c>
      <c r="Q14" s="80">
        <f>IF('data&amp;corrections'!BF14&gt;0,'data&amp;corrections'!BF14,0)</f>
        <v>3631109672.8511477</v>
      </c>
      <c r="R14" s="80"/>
      <c r="S14" s="81">
        <f>'data&amp;corrections'!AV14</f>
        <v>6.2543638094611227</v>
      </c>
      <c r="T14" s="80">
        <f>'data&amp;corrections'!AW14</f>
        <v>0.14996957662449359</v>
      </c>
      <c r="V14" s="10">
        <f>(1-'data&amp;corrections'!M14)*2.5</f>
        <v>0.48027989821882944</v>
      </c>
      <c r="W14" s="10">
        <f>(1-'data&amp;corrections'!M14)*0.24</f>
        <v>4.6106870229007627E-2</v>
      </c>
      <c r="X14" s="10">
        <f t="shared" si="2"/>
        <v>1.6538589651194862</v>
      </c>
      <c r="Y14" s="10">
        <f t="shared" si="3"/>
        <v>0.14646506978289706</v>
      </c>
      <c r="Z14" s="10">
        <f t="shared" si="4"/>
        <v>0</v>
      </c>
      <c r="AA14" s="10">
        <f t="shared" si="5"/>
        <v>0</v>
      </c>
      <c r="AB14" s="10">
        <f t="shared" si="6"/>
        <v>1.2364975477335221</v>
      </c>
      <c r="AD14" s="10">
        <f>'data&amp;corrections'!CA14</f>
        <v>0</v>
      </c>
      <c r="AF14" s="10">
        <f t="shared" si="7"/>
        <v>3.4435315141295795</v>
      </c>
    </row>
    <row r="15" spans="1:32">
      <c r="A15" s="93" t="str">
        <f>'data&amp;corrections'!A15</f>
        <v>12-14</v>
      </c>
      <c r="B15" s="2">
        <f>'data&amp;corrections'!B15</f>
        <v>-13</v>
      </c>
      <c r="D15" s="10">
        <f>'data&amp;corrections'!AF15</f>
        <v>3.1656508005342197</v>
      </c>
      <c r="E15" s="10">
        <f>'data&amp;corrections'!AG15</f>
        <v>0.19984828157664578</v>
      </c>
      <c r="F15" s="92">
        <f t="shared" si="0"/>
        <v>2.2367471680151807</v>
      </c>
      <c r="G15" s="80">
        <f t="shared" si="1"/>
        <v>0.28523630679386158</v>
      </c>
      <c r="H15" s="80"/>
      <c r="I15" s="80">
        <f>'data&amp;corrections'!AM15</f>
        <v>0.92890363251903918</v>
      </c>
      <c r="J15" s="80">
        <f>'data&amp;corrections'!AN15</f>
        <v>8.5388025217215793E-2</v>
      </c>
      <c r="K15" s="80"/>
      <c r="L15" s="80">
        <f>'data&amp;corrections'!BM15</f>
        <v>-2.2794086484479257E+23</v>
      </c>
      <c r="M15" s="80">
        <f>'data&amp;corrections'!BN15</f>
        <v>8.6077447942769669E-2</v>
      </c>
      <c r="N15" s="80">
        <f>'data&amp;corrections'!BL15</f>
        <v>-0.29512267866092456</v>
      </c>
      <c r="O15" s="16"/>
      <c r="P15" s="80">
        <f>IF('data&amp;corrections'!BE15&gt;0,'data&amp;corrections'!BE15,0)</f>
        <v>0</v>
      </c>
      <c r="Q15" s="80">
        <f>IF('data&amp;corrections'!BF15&gt;0,'data&amp;corrections'!BF15,0)</f>
        <v>4832622714.3183928</v>
      </c>
      <c r="R15" s="80"/>
      <c r="S15" s="81">
        <f>'data&amp;corrections'!AV15</f>
        <v>5.8655598354493508</v>
      </c>
      <c r="T15" s="80">
        <f>'data&amp;corrections'!AW15</f>
        <v>0.16440796910827313</v>
      </c>
      <c r="V15" s="10">
        <f>(1-'data&amp;corrections'!M15)*2.5</f>
        <v>0.40067863896675188</v>
      </c>
      <c r="W15" s="10">
        <f>(1-'data&amp;corrections'!M15)*0.24</f>
        <v>3.8465149340808177E-2</v>
      </c>
      <c r="X15" s="10">
        <f t="shared" si="2"/>
        <v>0.89621681099305928</v>
      </c>
      <c r="Y15" s="10">
        <f t="shared" si="3"/>
        <v>0.12637977566117647</v>
      </c>
      <c r="Z15" s="10">
        <f t="shared" si="4"/>
        <v>0</v>
      </c>
      <c r="AA15" s="10">
        <f t="shared" si="5"/>
        <v>0</v>
      </c>
      <c r="AB15" s="10">
        <f t="shared" si="6"/>
        <v>0.80502265332883105</v>
      </c>
      <c r="AD15" s="10">
        <f>'data&amp;corrections'!CA15</f>
        <v>0</v>
      </c>
      <c r="AF15" s="10">
        <f t="shared" si="7"/>
        <v>2.2367471680151807</v>
      </c>
    </row>
    <row r="16" spans="1:32">
      <c r="A16" s="93" t="str">
        <f>'data&amp;corrections'!A16</f>
        <v>14-16</v>
      </c>
      <c r="B16" s="2">
        <f>'data&amp;corrections'!B16</f>
        <v>-15</v>
      </c>
      <c r="D16" s="10">
        <f>'data&amp;corrections'!AF16</f>
        <v>2.1155195077766629</v>
      </c>
      <c r="E16" s="10">
        <f>'data&amp;corrections'!AG16</f>
        <v>0.16281511269253102</v>
      </c>
      <c r="F16" s="92">
        <f t="shared" si="0"/>
        <v>1.1846409168585736</v>
      </c>
      <c r="G16" s="80">
        <f t="shared" si="1"/>
        <v>0.23778687470974411</v>
      </c>
      <c r="H16" s="80"/>
      <c r="I16" s="80">
        <f>'data&amp;corrections'!AM16</f>
        <v>0.93087859091808922</v>
      </c>
      <c r="J16" s="80">
        <f>'data&amp;corrections'!AN16</f>
        <v>7.4971762017213089E-2</v>
      </c>
      <c r="K16" s="80"/>
      <c r="L16" s="80">
        <f>'data&amp;corrections'!BM16</f>
        <v>-2.2413284804000707E+23</v>
      </c>
      <c r="M16" s="80">
        <f>'data&amp;corrections'!BN16</f>
        <v>6.9236051833623816E-2</v>
      </c>
      <c r="N16" s="80">
        <f>'data&amp;corrections'!BL16</f>
        <v>-0.23738074914385307</v>
      </c>
      <c r="O16" s="16"/>
      <c r="P16" s="80">
        <f>IF('data&amp;corrections'!BE16&gt;0,'data&amp;corrections'!BE16,0)</f>
        <v>0</v>
      </c>
      <c r="Q16" s="80">
        <f>IF('data&amp;corrections'!BF16&gt;0,'data&amp;corrections'!BF16,0)</f>
        <v>3748647685.3589144</v>
      </c>
      <c r="R16" s="80"/>
      <c r="S16" s="81">
        <f>'data&amp;corrections'!AV16</f>
        <v>0.81648096623984945</v>
      </c>
      <c r="T16" s="80">
        <f>'data&amp;corrections'!AW16</f>
        <v>6.5684815881484018E-2</v>
      </c>
      <c r="V16" s="10">
        <f>(1-'data&amp;corrections'!M16)*2.5</f>
        <v>0.41755912415239654</v>
      </c>
      <c r="W16" s="10">
        <f>(1-'data&amp;corrections'!M16)*0.24</f>
        <v>4.0085675918630069E-2</v>
      </c>
      <c r="X16" s="10">
        <f t="shared" si="2"/>
        <v>0.49465762367855803</v>
      </c>
      <c r="Y16" s="10">
        <f t="shared" si="3"/>
        <v>0.1097949695116147</v>
      </c>
      <c r="Z16" s="10">
        <f t="shared" si="4"/>
        <v>0</v>
      </c>
      <c r="AA16" s="10">
        <f t="shared" si="5"/>
        <v>0</v>
      </c>
      <c r="AB16" s="10">
        <f t="shared" si="6"/>
        <v>0.16943970491808247</v>
      </c>
      <c r="AD16" s="10">
        <f>'data&amp;corrections'!CA16</f>
        <v>0</v>
      </c>
      <c r="AF16" s="10">
        <f t="shared" si="7"/>
        <v>1.1846409168585736</v>
      </c>
    </row>
    <row r="17" spans="1:32">
      <c r="A17" s="93" t="str">
        <f>'data&amp;corrections'!A17</f>
        <v>16-18</v>
      </c>
      <c r="B17" s="2">
        <f>'data&amp;corrections'!B17</f>
        <v>-17</v>
      </c>
      <c r="D17" s="10">
        <f>'data&amp;corrections'!AF17</f>
        <v>2.2271723213464067</v>
      </c>
      <c r="E17" s="10">
        <f>'data&amp;corrections'!AG17</f>
        <v>0.17116632582218022</v>
      </c>
      <c r="F17" s="92">
        <f t="shared" si="0"/>
        <v>1.1812465982606106</v>
      </c>
      <c r="G17" s="80">
        <f t="shared" si="1"/>
        <v>0.25108299916819449</v>
      </c>
      <c r="H17" s="80"/>
      <c r="I17" s="80">
        <f>'data&amp;corrections'!AM17</f>
        <v>1.0459257230857961</v>
      </c>
      <c r="J17" s="80">
        <f>'data&amp;corrections'!AN17</f>
        <v>7.991667334601428E-2</v>
      </c>
      <c r="K17" s="80"/>
      <c r="L17" s="80">
        <f>'data&amp;corrections'!BM17</f>
        <v>-2.3519859276844298E+23</v>
      </c>
      <c r="M17" s="80">
        <f>'data&amp;corrections'!BN17</f>
        <v>7.6316956750144882E-2</v>
      </c>
      <c r="N17" s="80">
        <f>'data&amp;corrections'!BL17</f>
        <v>-0.26165813742906818</v>
      </c>
      <c r="O17" s="16"/>
      <c r="P17" s="80">
        <f>IF('data&amp;corrections'!BE17&gt;0,'data&amp;corrections'!BE17,0)</f>
        <v>0</v>
      </c>
      <c r="Q17" s="80">
        <f>IF('data&amp;corrections'!BF17&gt;0,'data&amp;corrections'!BF17,0)</f>
        <v>4196767130.0810156</v>
      </c>
      <c r="R17" s="80"/>
      <c r="S17" s="81">
        <f>'data&amp;corrections'!AV17</f>
        <v>0.39315515930947925</v>
      </c>
      <c r="T17" s="80">
        <f>'data&amp;corrections'!AW17</f>
        <v>5.5852043857386451E-2</v>
      </c>
      <c r="V17" s="10">
        <f>(1-'data&amp;corrections'!M17)*2.5</f>
        <v>0.40790712268591128</v>
      </c>
      <c r="W17" s="10">
        <f>(1-'data&amp;corrections'!M17)*0.24</f>
        <v>3.9159083777847485E-2</v>
      </c>
      <c r="X17" s="10">
        <f t="shared" si="2"/>
        <v>0.48183890107900623</v>
      </c>
      <c r="Y17" s="10">
        <f t="shared" si="3"/>
        <v>0.11325442567437906</v>
      </c>
      <c r="Z17" s="10">
        <f t="shared" si="4"/>
        <v>0</v>
      </c>
      <c r="AA17" s="10">
        <f t="shared" si="5"/>
        <v>0</v>
      </c>
      <c r="AB17" s="10">
        <f t="shared" si="6"/>
        <v>0.16657032004229164</v>
      </c>
      <c r="AD17" s="10">
        <f>'data&amp;corrections'!CA17</f>
        <v>0</v>
      </c>
      <c r="AF17" s="10">
        <f t="shared" si="7"/>
        <v>1.1812465982606106</v>
      </c>
    </row>
    <row r="18" spans="1:32">
      <c r="A18" s="93" t="str">
        <f>'data&amp;corrections'!A18</f>
        <v>18-20</v>
      </c>
      <c r="B18" s="2">
        <f>'data&amp;corrections'!B18</f>
        <v>-19</v>
      </c>
      <c r="D18" s="10">
        <f>'data&amp;corrections'!AF18</f>
        <v>2.3844731702858137</v>
      </c>
      <c r="E18" s="10">
        <f>'data&amp;corrections'!AG18</f>
        <v>0.21149328050912658</v>
      </c>
      <c r="F18" s="92">
        <f t="shared" si="0"/>
        <v>1.4103137460547015</v>
      </c>
      <c r="G18" s="80">
        <f t="shared" si="1"/>
        <v>0.30872102650704097</v>
      </c>
      <c r="H18" s="80"/>
      <c r="I18" s="80">
        <f>'data&amp;corrections'!AM18</f>
        <v>0.97415942423111224</v>
      </c>
      <c r="J18" s="80">
        <f>'data&amp;corrections'!AN18</f>
        <v>9.7227745997914394E-2</v>
      </c>
      <c r="K18" s="80"/>
      <c r="L18" s="80">
        <f>'data&amp;corrections'!BM18</f>
        <v>-2.5778183075478741E+23</v>
      </c>
      <c r="M18" s="80">
        <f>'data&amp;corrections'!BN18</f>
        <v>0.10021523332709752</v>
      </c>
      <c r="N18" s="80">
        <f>'data&amp;corrections'!BL18</f>
        <v>-0.34359508569290576</v>
      </c>
      <c r="O18" s="16"/>
      <c r="P18" s="80">
        <f>IF('data&amp;corrections'!BE18&gt;0,'data&amp;corrections'!BE18,0)</f>
        <v>0</v>
      </c>
      <c r="Q18" s="80">
        <f>IF('data&amp;corrections'!BF18&gt;0,'data&amp;corrections'!BF18,0)</f>
        <v>5731955252.4777842</v>
      </c>
      <c r="R18" s="80"/>
      <c r="S18" s="81">
        <f>'data&amp;corrections'!AV18</f>
        <v>0.26147504237720581</v>
      </c>
      <c r="T18" s="80">
        <f>'data&amp;corrections'!AW18</f>
        <v>6.1609148832780618E-2</v>
      </c>
      <c r="V18" s="10">
        <f>(1-'data&amp;corrections'!M18)*2.5</f>
        <v>0.3770797698647177</v>
      </c>
      <c r="W18" s="10">
        <f>(1-'data&amp;corrections'!M18)*0.24</f>
        <v>3.6199657907012898E-2</v>
      </c>
      <c r="X18" s="10">
        <f t="shared" si="2"/>
        <v>0.53180078279935472</v>
      </c>
      <c r="Y18" s="10">
        <f t="shared" si="3"/>
        <v>0.12872889122148237</v>
      </c>
      <c r="Z18" s="10">
        <f t="shared" si="4"/>
        <v>0</v>
      </c>
      <c r="AA18" s="10">
        <f t="shared" si="5"/>
        <v>0</v>
      </c>
      <c r="AB18" s="10">
        <f t="shared" si="6"/>
        <v>0.34381219456971357</v>
      </c>
      <c r="AD18" s="10">
        <f>'data&amp;corrections'!CA18</f>
        <v>0</v>
      </c>
      <c r="AF18" s="10">
        <f t="shared" si="7"/>
        <v>1.4103137460547015</v>
      </c>
    </row>
    <row r="19" spans="1:32">
      <c r="A19" s="93" t="str">
        <f>'data&amp;corrections'!A19</f>
        <v>20-22</v>
      </c>
      <c r="B19" s="2">
        <f>'data&amp;corrections'!B19</f>
        <v>-21</v>
      </c>
      <c r="D19" s="10">
        <f>'data&amp;corrections'!AF19</f>
        <v>2.0529836960770385</v>
      </c>
      <c r="E19" s="10">
        <f>'data&amp;corrections'!AG19</f>
        <v>0.12555178356500582</v>
      </c>
      <c r="F19" s="92">
        <f t="shared" si="0"/>
        <v>1.1326087754238223</v>
      </c>
      <c r="G19" s="80">
        <f t="shared" si="1"/>
        <v>0.18488775789999476</v>
      </c>
      <c r="H19" s="80"/>
      <c r="I19" s="80">
        <f>'data&amp;corrections'!AM19</f>
        <v>0.92037492065321613</v>
      </c>
      <c r="J19" s="80">
        <f>'data&amp;corrections'!AN19</f>
        <v>5.9335974334988932E-2</v>
      </c>
      <c r="K19" s="80"/>
      <c r="L19" s="80">
        <f>'data&amp;corrections'!BM19</f>
        <v>-2.7011024983957764E+23</v>
      </c>
      <c r="M19" s="80">
        <f>'data&amp;corrections'!BN19</f>
        <v>8.5012284382186623E-2</v>
      </c>
      <c r="N19" s="80">
        <f>'data&amp;corrections'!BL19</f>
        <v>-0.29147068931035414</v>
      </c>
      <c r="O19" s="16"/>
      <c r="P19" s="80">
        <f>IF('data&amp;corrections'!BE19&gt;0,'data&amp;corrections'!BE19,0)</f>
        <v>0</v>
      </c>
      <c r="Q19" s="80">
        <f>IF('data&amp;corrections'!BF19&gt;0,'data&amp;corrections'!BF19,0)</f>
        <v>5078017539.9104862</v>
      </c>
      <c r="R19" s="80"/>
      <c r="S19" s="81">
        <f>'data&amp;corrections'!AV19</f>
        <v>0.11527572514092954</v>
      </c>
      <c r="T19" s="80">
        <f>'data&amp;corrections'!AW19</f>
        <v>3.6796750798921772E-2</v>
      </c>
      <c r="V19" s="10">
        <f>(1-'data&amp;corrections'!M19)*2.5</f>
        <v>0.40718837791453966</v>
      </c>
      <c r="W19" s="10">
        <f>(1-'data&amp;corrections'!M19)*0.24</f>
        <v>3.9090084279795809E-2</v>
      </c>
      <c r="X19" s="10">
        <f t="shared" si="2"/>
        <v>0.46118513007659934</v>
      </c>
      <c r="Y19" s="10">
        <f t="shared" si="3"/>
        <v>8.3249208907276689E-2</v>
      </c>
      <c r="Z19" s="10">
        <f t="shared" si="4"/>
        <v>0</v>
      </c>
      <c r="AA19" s="10">
        <f t="shared" si="5"/>
        <v>0</v>
      </c>
      <c r="AB19" s="10">
        <f t="shared" si="6"/>
        <v>0.12452362270200545</v>
      </c>
      <c r="AD19" s="10">
        <f>'data&amp;corrections'!CA19</f>
        <v>0</v>
      </c>
      <c r="AF19" s="10">
        <f t="shared" si="7"/>
        <v>1.1326087754238223</v>
      </c>
    </row>
    <row r="20" spans="1:32">
      <c r="A20" s="93" t="str">
        <f>'data&amp;corrections'!A20</f>
        <v>22-24</v>
      </c>
      <c r="B20" s="2">
        <f>'data&amp;corrections'!B20</f>
        <v>-23</v>
      </c>
      <c r="D20" s="10">
        <f>'data&amp;corrections'!AF20</f>
        <v>1.9435349026667925</v>
      </c>
      <c r="E20" s="10">
        <f>'data&amp;corrections'!AG20</f>
        <v>0.188184972222284</v>
      </c>
      <c r="F20" s="92">
        <f>IF(D20&gt;I20,D20-I20,0)</f>
        <v>0.84100783809944391</v>
      </c>
      <c r="G20" s="80">
        <f>E20+J20</f>
        <v>0.28032417733000492</v>
      </c>
      <c r="H20" s="80"/>
      <c r="I20" s="80">
        <f>'data&amp;corrections'!AM20</f>
        <v>1.1025270645673486</v>
      </c>
      <c r="J20" s="80">
        <f>'data&amp;corrections'!AN20</f>
        <v>9.2139205107720903E-2</v>
      </c>
      <c r="K20" s="80"/>
      <c r="L20" s="80">
        <f>'data&amp;corrections'!BM20</f>
        <v>-1.5325902734384631E+23</v>
      </c>
      <c r="M20" s="80">
        <f>'data&amp;corrections'!BN20</f>
        <v>8.8237254827642775E-2</v>
      </c>
      <c r="N20" s="80">
        <f>'data&amp;corrections'!BL20</f>
        <v>-0.30252773083763235</v>
      </c>
      <c r="O20" s="16"/>
      <c r="P20" s="80">
        <f>IF('data&amp;corrections'!BE20&gt;0,'data&amp;corrections'!BE20,0)</f>
        <v>0</v>
      </c>
      <c r="Q20" s="80">
        <f>IF('data&amp;corrections'!BF20&gt;0,'data&amp;corrections'!BF20,0)</f>
        <v>4026405495.0766792</v>
      </c>
      <c r="R20" s="80"/>
      <c r="S20" s="81">
        <f>'data&amp;corrections'!AV20</f>
        <v>-2.8748379462829182E-2</v>
      </c>
      <c r="T20" s="80">
        <f>'data&amp;corrections'!AW20</f>
        <v>2.559310789391081E-2</v>
      </c>
      <c r="V20" s="10">
        <f>(1-'data&amp;corrections'!M20)*2.5</f>
        <v>0.39715450478337549</v>
      </c>
      <c r="W20" s="10">
        <f>(1-'data&amp;corrections'!M20)*0.24</f>
        <v>3.8126832459204049E-2</v>
      </c>
      <c r="X20" s="10">
        <f>V20*F20</f>
        <v>0.33401005145932189</v>
      </c>
      <c r="Y20" s="10">
        <f>V20*1.1058*G20</f>
        <v>0.12311093646592831</v>
      </c>
      <c r="Z20" s="10">
        <f>V20*P20</f>
        <v>0</v>
      </c>
      <c r="AA20" s="10">
        <f>IF(Z20=0,0,V20*1.1058*Q20)</f>
        <v>0</v>
      </c>
      <c r="AB20" s="10">
        <f>LN(F20)</f>
        <v>-0.17315429907706215</v>
      </c>
      <c r="AD20" s="10">
        <f>'data&amp;corrections'!CA20</f>
        <v>0</v>
      </c>
      <c r="AF20" s="10">
        <f>F20-AD20</f>
        <v>0.84100783809944391</v>
      </c>
    </row>
    <row r="21" spans="1:32">
      <c r="A21" s="93" t="str">
        <f>'data&amp;corrections'!A21</f>
        <v>24-26</v>
      </c>
      <c r="B21" s="2">
        <f>'data&amp;corrections'!B21</f>
        <v>-25</v>
      </c>
      <c r="D21" s="10">
        <f>'data&amp;corrections'!AF21</f>
        <v>1.3515325313059989</v>
      </c>
      <c r="E21" s="10">
        <f>'data&amp;corrections'!AG21</f>
        <v>0.15873476907347814</v>
      </c>
      <c r="F21" s="92">
        <f t="shared" ref="F21:F28" si="8">IF(D21&gt;I21,D21-I21,0)</f>
        <v>0.27642875533781486</v>
      </c>
      <c r="G21" s="80">
        <f t="shared" ref="G21:G28" si="9">E21+J21</f>
        <v>0.24214990888092158</v>
      </c>
      <c r="H21" s="80"/>
      <c r="I21" s="80">
        <f>'data&amp;corrections'!AM21</f>
        <v>1.0751037759681841</v>
      </c>
      <c r="J21" s="80">
        <f>'data&amp;corrections'!AN21</f>
        <v>8.3415139807443431E-2</v>
      </c>
      <c r="K21" s="80"/>
      <c r="L21" s="80">
        <f>'data&amp;corrections'!BM21</f>
        <v>-2.758082648263503E+23</v>
      </c>
      <c r="M21" s="80">
        <f>'data&amp;corrections'!BN21</f>
        <v>8.205363658571202E-2</v>
      </c>
      <c r="N21" s="80">
        <f>'data&amp;corrections'!BL21</f>
        <v>-0.28132675400815549</v>
      </c>
      <c r="O21" s="16"/>
      <c r="P21" s="80">
        <f>IF('data&amp;corrections'!BE21&gt;0,'data&amp;corrections'!BE21,0)</f>
        <v>0</v>
      </c>
      <c r="Q21" s="80">
        <f>IF('data&amp;corrections'!BF21&gt;0,'data&amp;corrections'!BF21,0)</f>
        <v>4900994479.9332533</v>
      </c>
      <c r="R21" s="80"/>
      <c r="S21" s="81">
        <f>'data&amp;corrections'!AV21</f>
        <v>-2.6616818928964846E-2</v>
      </c>
      <c r="T21" s="80">
        <f>'data&amp;corrections'!AW21</f>
        <v>2.3664195497875296E-2</v>
      </c>
      <c r="V21" s="10">
        <f>(1-'data&amp;corrections'!M21)*2.5</f>
        <v>0.40488069850722258</v>
      </c>
      <c r="W21" s="10">
        <f>(1-'data&amp;corrections'!M21)*0.24</f>
        <v>3.8868547056693369E-2</v>
      </c>
      <c r="X21" s="10">
        <f t="shared" ref="X21:X28" si="10">V21*F21</f>
        <v>0.11192066754865661</v>
      </c>
      <c r="Y21" s="10">
        <f t="shared" ref="Y21:Y28" si="11">V21*1.1058*G21</f>
        <v>0.10841464925694139</v>
      </c>
      <c r="Z21" s="10">
        <f t="shared" ref="Z21:Z28" si="12">V21*P21</f>
        <v>0</v>
      </c>
      <c r="AA21" s="10">
        <f t="shared" ref="AA21:AA28" si="13">IF(Z21=0,0,V21*1.1058*Q21)</f>
        <v>0</v>
      </c>
      <c r="AB21" s="10">
        <f t="shared" ref="AB21:AB28" si="14">LN(F21)</f>
        <v>-1.2858021572690328</v>
      </c>
      <c r="AD21" s="10">
        <f>'data&amp;corrections'!CA21</f>
        <v>0</v>
      </c>
      <c r="AF21" s="10">
        <f t="shared" ref="AF21:AF28" si="15">F21-AD21</f>
        <v>0.27642875533781486</v>
      </c>
    </row>
    <row r="22" spans="1:32">
      <c r="A22" s="93" t="str">
        <f>'data&amp;corrections'!A22</f>
        <v>26-28</v>
      </c>
      <c r="B22" s="2">
        <f>'data&amp;corrections'!B22</f>
        <v>-27</v>
      </c>
      <c r="D22" s="10">
        <f>'data&amp;corrections'!AF22</f>
        <v>1.2403768701459266</v>
      </c>
      <c r="E22" s="10">
        <f>'data&amp;corrections'!AG22</f>
        <v>0.16223990682416259</v>
      </c>
      <c r="F22" s="92">
        <f t="shared" si="8"/>
        <v>0.29353354754167449</v>
      </c>
      <c r="G22" s="80">
        <f t="shared" si="9"/>
        <v>0.24734275066467221</v>
      </c>
      <c r="H22" s="80"/>
      <c r="I22" s="80">
        <f>'data&amp;corrections'!AM22</f>
        <v>0.94684332260425208</v>
      </c>
      <c r="J22" s="80">
        <f>'data&amp;corrections'!AN22</f>
        <v>8.5102843840509632E-2</v>
      </c>
      <c r="K22" s="80"/>
      <c r="L22" s="80">
        <f>'data&amp;corrections'!BM22</f>
        <v>-2.8329026271206979E+23</v>
      </c>
      <c r="M22" s="80">
        <f>'data&amp;corrections'!BN22</f>
        <v>8.1308736875491172E-2</v>
      </c>
      <c r="N22" s="80">
        <f>'data&amp;corrections'!BL22</f>
        <v>-0.27877281214454114</v>
      </c>
      <c r="O22" s="16"/>
      <c r="P22" s="80">
        <f>IF('data&amp;corrections'!BE22&gt;0,'data&amp;corrections'!BE22,0)</f>
        <v>0</v>
      </c>
      <c r="Q22" s="80">
        <f>IF('data&amp;corrections'!BF22&gt;0,'data&amp;corrections'!BF22,0)</f>
        <v>4884348958.2046785</v>
      </c>
      <c r="R22" s="80"/>
      <c r="S22" s="81">
        <f>'data&amp;corrections'!AV22</f>
        <v>-2.6096324700144138E-2</v>
      </c>
      <c r="T22" s="80">
        <f>'data&amp;corrections'!AW22</f>
        <v>2.3199979724471777E-2</v>
      </c>
      <c r="V22" s="10">
        <f>(1-'data&amp;corrections'!M22)*2.5</f>
        <v>0.39265513138945135</v>
      </c>
      <c r="W22" s="10">
        <f>(1-'data&amp;corrections'!M22)*0.24</f>
        <v>3.7694892613387328E-2</v>
      </c>
      <c r="X22" s="10">
        <f t="shared" si="10"/>
        <v>0.11525745367718795</v>
      </c>
      <c r="Y22" s="10">
        <f t="shared" si="11"/>
        <v>0.10739573860802237</v>
      </c>
      <c r="Z22" s="10">
        <f t="shared" si="12"/>
        <v>0</v>
      </c>
      <c r="AA22" s="10">
        <f t="shared" si="13"/>
        <v>0</v>
      </c>
      <c r="AB22" s="10">
        <f t="shared" si="14"/>
        <v>-1.2257633445707135</v>
      </c>
      <c r="AD22" s="10">
        <f>'data&amp;corrections'!CA22</f>
        <v>0</v>
      </c>
      <c r="AF22" s="10">
        <f t="shared" si="15"/>
        <v>0.29353354754167449</v>
      </c>
    </row>
    <row r="23" spans="1:32">
      <c r="A23" s="93" t="str">
        <f>'data&amp;corrections'!A23</f>
        <v>28-30</v>
      </c>
      <c r="B23" s="2">
        <f>'data&amp;corrections'!B23</f>
        <v>-29</v>
      </c>
      <c r="D23" s="10">
        <f>'data&amp;corrections'!AF23</f>
        <v>1.2280192458641082</v>
      </c>
      <c r="E23" s="10">
        <f>'data&amp;corrections'!AG23</f>
        <v>0.14058510327841642</v>
      </c>
      <c r="F23" s="92">
        <f t="shared" si="8"/>
        <v>0.35047530826541073</v>
      </c>
      <c r="G23" s="80">
        <f t="shared" si="9"/>
        <v>0.21082984841063418</v>
      </c>
      <c r="H23" s="80"/>
      <c r="I23" s="80">
        <f>'data&amp;corrections'!AM23</f>
        <v>0.87754393759869742</v>
      </c>
      <c r="J23" s="80">
        <f>'data&amp;corrections'!AN23</f>
        <v>7.0244745132217762E-2</v>
      </c>
      <c r="K23" s="80"/>
      <c r="L23" s="80">
        <f>'data&amp;corrections'!BM23</f>
        <v>-2.8273310805814746E+23</v>
      </c>
      <c r="M23" s="80">
        <f>'data&amp;corrections'!BN23</f>
        <v>7.0021534422696374E-2</v>
      </c>
      <c r="N23" s="80">
        <f>'data&amp;corrections'!BL23</f>
        <v>-0.24007383230638757</v>
      </c>
      <c r="O23" s="16"/>
      <c r="P23" s="80">
        <f>IF('data&amp;corrections'!BE23&gt;0,'data&amp;corrections'!BE23,0)</f>
        <v>0</v>
      </c>
      <c r="Q23" s="80">
        <f>IF('data&amp;corrections'!BF23&gt;0,'data&amp;corrections'!BF23,0)</f>
        <v>4218808810.7188401</v>
      </c>
      <c r="R23" s="80"/>
      <c r="S23" s="81">
        <f>'data&amp;corrections'!AV23</f>
        <v>-2.2147811911672487E-2</v>
      </c>
      <c r="T23" s="80">
        <f>'data&amp;corrections'!AW23</f>
        <v>1.9688460025274454E-2</v>
      </c>
      <c r="V23" s="10">
        <f>(1-'data&amp;corrections'!M23)*2.5</f>
        <v>0.40048111670855757</v>
      </c>
      <c r="W23" s="10">
        <f>(1-'data&amp;corrections'!M23)*0.24</f>
        <v>3.8446187204021529E-2</v>
      </c>
      <c r="X23" s="10">
        <f t="shared" si="10"/>
        <v>0.14035874283290764</v>
      </c>
      <c r="Y23" s="10">
        <f t="shared" si="11"/>
        <v>9.3366424003821863E-2</v>
      </c>
      <c r="Z23" s="10">
        <f t="shared" si="12"/>
        <v>0</v>
      </c>
      <c r="AA23" s="10">
        <f t="shared" si="13"/>
        <v>0</v>
      </c>
      <c r="AB23" s="10">
        <f t="shared" si="14"/>
        <v>-1.0484650221633027</v>
      </c>
      <c r="AD23" s="10">
        <f>'data&amp;corrections'!CA23</f>
        <v>0</v>
      </c>
      <c r="AF23" s="10">
        <f t="shared" si="15"/>
        <v>0.35047530826541073</v>
      </c>
    </row>
    <row r="24" spans="1:32">
      <c r="A24" s="93" t="str">
        <f>'data&amp;corrections'!A24</f>
        <v>30-32</v>
      </c>
      <c r="B24" s="2">
        <f>'data&amp;corrections'!B24</f>
        <v>-31</v>
      </c>
      <c r="D24" s="10">
        <f>'data&amp;corrections'!AF24</f>
        <v>1.3400791792884554</v>
      </c>
      <c r="E24" s="10">
        <f>'data&amp;corrections'!AG24</f>
        <v>0.13104302525670319</v>
      </c>
      <c r="F24" s="92">
        <f t="shared" si="8"/>
        <v>0.44736026211575608</v>
      </c>
      <c r="G24" s="80">
        <f t="shared" si="9"/>
        <v>0.19808776427837421</v>
      </c>
      <c r="H24" s="80"/>
      <c r="I24" s="80">
        <f>'data&amp;corrections'!AM24</f>
        <v>0.89271891717269936</v>
      </c>
      <c r="J24" s="80">
        <f>'data&amp;corrections'!AN24</f>
        <v>6.7044739021671004E-2</v>
      </c>
      <c r="K24" s="80"/>
      <c r="L24" s="80">
        <f>'data&amp;corrections'!BM24</f>
        <v>-3.1098648501409123E+23</v>
      </c>
      <c r="M24" s="80">
        <f>'data&amp;corrections'!BN24</f>
        <v>8.3926296862560187E-2</v>
      </c>
      <c r="N24" s="80">
        <f>'data&amp;corrections'!BL24</f>
        <v>-0.28774730352877781</v>
      </c>
      <c r="O24" s="16"/>
      <c r="P24" s="80">
        <f>IF('data&amp;corrections'!BE24&gt;0,'data&amp;corrections'!BE24,0)</f>
        <v>0</v>
      </c>
      <c r="Q24" s="80">
        <f>IF('data&amp;corrections'!BF24&gt;0,'data&amp;corrections'!BF24,0)</f>
        <v>5229433807.4892864</v>
      </c>
      <c r="R24" s="80"/>
      <c r="S24" s="81">
        <f>'data&amp;corrections'!AV24</f>
        <v>-2.6845760291852185E-2</v>
      </c>
      <c r="T24" s="80">
        <f>'data&amp;corrections'!AW24</f>
        <v>2.3861731619964015E-2</v>
      </c>
      <c r="V24" s="10">
        <f>(1-'data&amp;corrections'!M24)*2.5</f>
        <v>0.36955221897422258</v>
      </c>
      <c r="W24" s="10">
        <f>(1-'data&amp;corrections'!M24)*0.24</f>
        <v>3.5477013021525367E-2</v>
      </c>
      <c r="X24" s="10">
        <f t="shared" si="10"/>
        <v>0.1653229775457675</v>
      </c>
      <c r="Y24" s="10">
        <f t="shared" si="11"/>
        <v>8.0948732007263671E-2</v>
      </c>
      <c r="Z24" s="10">
        <f t="shared" si="12"/>
        <v>0</v>
      </c>
      <c r="AA24" s="10">
        <f t="shared" si="13"/>
        <v>0</v>
      </c>
      <c r="AB24" s="10">
        <f t="shared" si="14"/>
        <v>-0.80439105346008122</v>
      </c>
      <c r="AD24" s="10">
        <f>'data&amp;corrections'!CA24</f>
        <v>0</v>
      </c>
      <c r="AF24" s="10">
        <f t="shared" si="15"/>
        <v>0.44736026211575608</v>
      </c>
    </row>
    <row r="25" spans="1:32">
      <c r="A25" s="93" t="str">
        <f>'data&amp;corrections'!A25</f>
        <v>32-34</v>
      </c>
      <c r="B25" s="2">
        <f>'data&amp;corrections'!B25</f>
        <v>-33</v>
      </c>
      <c r="D25" s="10">
        <f>'data&amp;corrections'!AF25</f>
        <v>1.2491532054431131</v>
      </c>
      <c r="E25" s="10">
        <f>'data&amp;corrections'!AG25</f>
        <v>0.1522943709247917</v>
      </c>
      <c r="F25" s="92">
        <f t="shared" si="8"/>
        <v>0.19506585069297255</v>
      </c>
      <c r="G25" s="80">
        <f t="shared" si="9"/>
        <v>0.23272837163676452</v>
      </c>
      <c r="H25" s="80"/>
      <c r="I25" s="80">
        <f>'data&amp;corrections'!AM25</f>
        <v>1.0540873547501406</v>
      </c>
      <c r="J25" s="80">
        <f>'data&amp;corrections'!AN25</f>
        <v>8.0434000711972833E-2</v>
      </c>
      <c r="K25" s="80"/>
      <c r="L25" s="80">
        <f>'data&amp;corrections'!BM25</f>
        <v>-3.1186568783617883E+23</v>
      </c>
      <c r="M25" s="80">
        <f>'data&amp;corrections'!BN25</f>
        <v>7.4309375296417984E-2</v>
      </c>
      <c r="N25" s="80">
        <f>'data&amp;corrections'!BL25</f>
        <v>-0.25477500101629019</v>
      </c>
      <c r="O25" s="16"/>
      <c r="P25" s="80">
        <f>IF('data&amp;corrections'!BE25&gt;0,'data&amp;corrections'!BE25,0)</f>
        <v>0</v>
      </c>
      <c r="Q25" s="80">
        <f>IF('data&amp;corrections'!BF25&gt;0,'data&amp;corrections'!BF25,0)</f>
        <v>4675217749.7616882</v>
      </c>
      <c r="R25" s="80"/>
      <c r="S25" s="81">
        <f>'data&amp;corrections'!AV25</f>
        <v>-2.365561443478377E-2</v>
      </c>
      <c r="T25" s="80">
        <f>'data&amp;corrections'!AW25</f>
        <v>2.1024861582880593E-2</v>
      </c>
      <c r="V25" s="10">
        <f>(1-'data&amp;corrections'!M25)*2.5</f>
        <v>0.38925253270233467</v>
      </c>
      <c r="W25" s="10">
        <f>(1-'data&amp;corrections'!M25)*0.24</f>
        <v>3.7368243139424127E-2</v>
      </c>
      <c r="X25" s="10">
        <f t="shared" si="10"/>
        <v>7.5929876425975026E-2</v>
      </c>
      <c r="Y25" s="10">
        <f t="shared" si="11"/>
        <v>0.1001745415273604</v>
      </c>
      <c r="Z25" s="10">
        <f t="shared" si="12"/>
        <v>0</v>
      </c>
      <c r="AA25" s="10">
        <f t="shared" si="13"/>
        <v>0</v>
      </c>
      <c r="AB25" s="10">
        <f t="shared" si="14"/>
        <v>-1.6344180815634064</v>
      </c>
      <c r="AD25" s="10">
        <f>'data&amp;corrections'!CA25</f>
        <v>0</v>
      </c>
      <c r="AF25" s="10">
        <f t="shared" si="15"/>
        <v>0.19506585069297255</v>
      </c>
    </row>
    <row r="26" spans="1:32">
      <c r="A26" s="93" t="str">
        <f>'data&amp;corrections'!A26</f>
        <v>34-36</v>
      </c>
      <c r="B26" s="2">
        <f>'data&amp;corrections'!B26</f>
        <v>-35</v>
      </c>
      <c r="D26" s="10">
        <f>'data&amp;corrections'!AF26</f>
        <v>1.181328906161986</v>
      </c>
      <c r="E26" s="10">
        <f>'data&amp;corrections'!AG26</f>
        <v>0.15113542020312812</v>
      </c>
      <c r="F26" s="92">
        <f t="shared" si="8"/>
        <v>0.19295103288226045</v>
      </c>
      <c r="G26" s="80">
        <f t="shared" si="9"/>
        <v>0.22989435904803035</v>
      </c>
      <c r="H26" s="80"/>
      <c r="I26" s="80">
        <f>'data&amp;corrections'!AM26</f>
        <v>0.98837787327972559</v>
      </c>
      <c r="J26" s="80">
        <f>'data&amp;corrections'!AN26</f>
        <v>7.8758938844902218E-2</v>
      </c>
      <c r="K26" s="80"/>
      <c r="L26" s="80">
        <f>'data&amp;corrections'!BM26</f>
        <v>-3.2035272156032478E+23</v>
      </c>
      <c r="M26" s="80">
        <f>'data&amp;corrections'!BN26</f>
        <v>7.3610568822687905E-2</v>
      </c>
      <c r="N26" s="80">
        <f>'data&amp;corrections'!BL26</f>
        <v>-0.25237909310635853</v>
      </c>
      <c r="O26" s="16"/>
      <c r="P26" s="80">
        <f>IF('data&amp;corrections'!BE26&gt;0,'data&amp;corrections'!BE26,0)</f>
        <v>0</v>
      </c>
      <c r="Q26" s="80">
        <f>IF('data&amp;corrections'!BF26&gt;0,'data&amp;corrections'!BF26,0)</f>
        <v>4718987864.4115105</v>
      </c>
      <c r="R26" s="80"/>
      <c r="S26" s="81">
        <f>'data&amp;corrections'!AV26</f>
        <v>-2.3633007280512174E-2</v>
      </c>
      <c r="T26" s="80">
        <f>'data&amp;corrections'!AW26</f>
        <v>2.1003446490729629E-2</v>
      </c>
      <c r="V26" s="10">
        <f>(1-'data&amp;corrections'!M26)*2.5</f>
        <v>0.42332615574358828</v>
      </c>
      <c r="W26" s="10">
        <f>(1-'data&amp;corrections'!M26)*0.24</f>
        <v>4.0639310951384476E-2</v>
      </c>
      <c r="X26" s="10">
        <f t="shared" si="10"/>
        <v>8.1681218996802016E-2</v>
      </c>
      <c r="Y26" s="10">
        <f t="shared" si="11"/>
        <v>0.10761678247964182</v>
      </c>
      <c r="Z26" s="10">
        <f t="shared" si="12"/>
        <v>0</v>
      </c>
      <c r="AA26" s="10">
        <f t="shared" si="13"/>
        <v>0</v>
      </c>
      <c r="AB26" s="10">
        <f t="shared" si="14"/>
        <v>-1.6453188379044648</v>
      </c>
      <c r="AD26" s="10">
        <f>'data&amp;corrections'!CA26</f>
        <v>0</v>
      </c>
      <c r="AF26" s="10">
        <f t="shared" si="15"/>
        <v>0.19295103288226045</v>
      </c>
    </row>
    <row r="27" spans="1:32">
      <c r="A27" s="93" t="str">
        <f>'data&amp;corrections'!A27</f>
        <v>36-38</v>
      </c>
      <c r="B27" s="2">
        <f>'data&amp;corrections'!B27</f>
        <v>-37</v>
      </c>
      <c r="D27" s="10">
        <f>'data&amp;corrections'!AF27</f>
        <v>1.0498886356523824</v>
      </c>
      <c r="E27" s="10">
        <f>'data&amp;corrections'!AG27</f>
        <v>0.13837762174416618</v>
      </c>
      <c r="F27" s="92">
        <f t="shared" si="8"/>
        <v>0</v>
      </c>
      <c r="G27" s="80">
        <f t="shared" si="9"/>
        <v>0.21130579418990109</v>
      </c>
      <c r="H27" s="80"/>
      <c r="I27" s="80">
        <f>'data&amp;corrections'!AM27</f>
        <v>1.0816890238975065</v>
      </c>
      <c r="J27" s="80">
        <f>'data&amp;corrections'!AN27</f>
        <v>7.2928172445734921E-2</v>
      </c>
      <c r="K27" s="80"/>
      <c r="L27" s="80">
        <f>'data&amp;corrections'!BM27</f>
        <v>-3.1924955932035753E+23</v>
      </c>
      <c r="M27" s="80">
        <f>'data&amp;corrections'!BN27</f>
        <v>6.2032164521554127E-2</v>
      </c>
      <c r="N27" s="80">
        <f>'data&amp;corrections'!BL27</f>
        <v>-0.21268170693104271</v>
      </c>
      <c r="O27" s="16"/>
      <c r="P27" s="80">
        <f>IF('data&amp;corrections'!BE27&gt;0,'data&amp;corrections'!BE27,0)</f>
        <v>0</v>
      </c>
      <c r="Q27" s="80">
        <f>IF('data&amp;corrections'!BF27&gt;0,'data&amp;corrections'!BF27,0)</f>
        <v>3981523796.4147177</v>
      </c>
      <c r="R27" s="80"/>
      <c r="S27" s="81">
        <f>'data&amp;corrections'!AV27</f>
        <v>-1.9576624694222684E-2</v>
      </c>
      <c r="T27" s="80">
        <f>'data&amp;corrections'!AW27</f>
        <v>1.7397308091385302E-2</v>
      </c>
      <c r="V27" s="10">
        <f>(1-'data&amp;corrections'!M27)*2.5</f>
        <v>0.46905344466266541</v>
      </c>
      <c r="W27" s="10">
        <f>(1-'data&amp;corrections'!M27)*0.24</f>
        <v>4.5029130687615875E-2</v>
      </c>
      <c r="X27" s="10">
        <f t="shared" si="10"/>
        <v>0</v>
      </c>
      <c r="Y27" s="10">
        <f t="shared" si="11"/>
        <v>0.10959994122787199</v>
      </c>
      <c r="Z27" s="10">
        <f t="shared" si="12"/>
        <v>0</v>
      </c>
      <c r="AA27" s="10">
        <f t="shared" si="13"/>
        <v>0</v>
      </c>
      <c r="AB27" s="10" t="e">
        <f t="shared" si="14"/>
        <v>#NUM!</v>
      </c>
      <c r="AD27" s="10">
        <f>'data&amp;corrections'!CA27</f>
        <v>0</v>
      </c>
      <c r="AF27" s="10">
        <f t="shared" si="15"/>
        <v>0</v>
      </c>
    </row>
    <row r="28" spans="1:32">
      <c r="A28" s="93" t="str">
        <f>'data&amp;corrections'!A28</f>
        <v>38-40</v>
      </c>
      <c r="B28" s="2">
        <f>'data&amp;corrections'!B28</f>
        <v>-39</v>
      </c>
      <c r="D28" s="10" t="e">
        <f>'data&amp;corrections'!AF28</f>
        <v>#DIV/0!</v>
      </c>
      <c r="E28" s="10" t="e">
        <f>'data&amp;corrections'!AG28</f>
        <v>#DIV/0!</v>
      </c>
      <c r="F28" s="92" t="e">
        <f t="shared" si="8"/>
        <v>#DIV/0!</v>
      </c>
      <c r="G28" s="80" t="e">
        <f t="shared" si="9"/>
        <v>#DIV/0!</v>
      </c>
      <c r="H28" s="80"/>
      <c r="I28" s="80" t="e">
        <f>'data&amp;corrections'!AM28</f>
        <v>#DIV/0!</v>
      </c>
      <c r="J28" s="80" t="e">
        <f>'data&amp;corrections'!AN28</f>
        <v>#DIV/0!</v>
      </c>
      <c r="K28" s="80"/>
      <c r="L28" s="80" t="e">
        <f>'data&amp;corrections'!BM28</f>
        <v>#DIV/0!</v>
      </c>
      <c r="M28" s="80" t="e">
        <f>'data&amp;corrections'!BN28</f>
        <v>#DIV/0!</v>
      </c>
      <c r="N28" s="80" t="e">
        <f>'data&amp;corrections'!BL28</f>
        <v>#DIV/0!</v>
      </c>
      <c r="O28" s="16"/>
      <c r="P28" s="80" t="e">
        <f>IF('data&amp;corrections'!BE28&gt;0,'data&amp;corrections'!BE28,0)</f>
        <v>#DIV/0!</v>
      </c>
      <c r="Q28" s="80" t="e">
        <f>IF('data&amp;corrections'!BF28&gt;0,'data&amp;corrections'!BF28,0)</f>
        <v>#DIV/0!</v>
      </c>
      <c r="R28" s="80"/>
      <c r="S28" s="81" t="e">
        <f>'data&amp;corrections'!AV28</f>
        <v>#DIV/0!</v>
      </c>
      <c r="T28" s="80" t="e">
        <f>'data&amp;corrections'!AW28</f>
        <v>#DIV/0!</v>
      </c>
      <c r="V28" s="10">
        <f>(1-'data&amp;corrections'!M28)*2.5</f>
        <v>0.51850027937457965</v>
      </c>
      <c r="W28" s="10">
        <f>(1-'data&amp;corrections'!M28)*0.24</f>
        <v>4.9776026819959643E-2</v>
      </c>
      <c r="X28" s="10" t="e">
        <f t="shared" si="10"/>
        <v>#DIV/0!</v>
      </c>
      <c r="Y28" s="10" t="e">
        <f t="shared" si="11"/>
        <v>#DIV/0!</v>
      </c>
      <c r="Z28" s="10" t="e">
        <f t="shared" si="12"/>
        <v>#DIV/0!</v>
      </c>
      <c r="AA28" s="10" t="e">
        <f t="shared" si="13"/>
        <v>#DIV/0!</v>
      </c>
      <c r="AB28" s="10" t="e">
        <f t="shared" si="14"/>
        <v>#DIV/0!</v>
      </c>
      <c r="AD28" s="10">
        <f>'data&amp;corrections'!CA28</f>
        <v>0</v>
      </c>
      <c r="AF28" s="10" t="e">
        <f t="shared" si="15"/>
        <v>#DIV/0!</v>
      </c>
    </row>
    <row r="29" spans="1:32" s="47" customFormat="1">
      <c r="A29" s="146" t="str">
        <f>'data&amp;corrections'!A29</f>
        <v>40-42</v>
      </c>
      <c r="B29" s="47">
        <f>'data&amp;corrections'!B29</f>
        <v>-41</v>
      </c>
      <c r="D29" s="80" t="e">
        <f>'data&amp;corrections'!AF29</f>
        <v>#DIV/0!</v>
      </c>
      <c r="E29" s="80" t="e">
        <f>'data&amp;corrections'!AG29</f>
        <v>#DIV/0!</v>
      </c>
      <c r="F29" s="92" t="e">
        <f t="shared" si="0"/>
        <v>#DIV/0!</v>
      </c>
      <c r="G29" s="80" t="e">
        <f t="shared" si="1"/>
        <v>#DIV/0!</v>
      </c>
      <c r="H29" s="80"/>
      <c r="I29" s="80" t="e">
        <f>'data&amp;corrections'!AM29</f>
        <v>#DIV/0!</v>
      </c>
      <c r="J29" s="80" t="e">
        <f>'data&amp;corrections'!AN29</f>
        <v>#DIV/0!</v>
      </c>
      <c r="K29" s="80"/>
      <c r="L29" s="80" t="e">
        <f>'data&amp;corrections'!BM29</f>
        <v>#DIV/0!</v>
      </c>
      <c r="M29" s="80" t="e">
        <f>'data&amp;corrections'!BN29</f>
        <v>#DIV/0!</v>
      </c>
      <c r="N29" s="80" t="e">
        <f>'data&amp;corrections'!BL29</f>
        <v>#DIV/0!</v>
      </c>
      <c r="O29" s="16"/>
      <c r="P29" s="80" t="e">
        <f>IF('data&amp;corrections'!BE29&gt;0,'data&amp;corrections'!BE29,0)</f>
        <v>#DIV/0!</v>
      </c>
      <c r="Q29" s="80" t="e">
        <f>IF('data&amp;corrections'!BF29&gt;0,'data&amp;corrections'!BF29,0)</f>
        <v>#DIV/0!</v>
      </c>
      <c r="R29" s="80"/>
      <c r="S29" s="81" t="e">
        <f>'data&amp;corrections'!AV29</f>
        <v>#DIV/0!</v>
      </c>
      <c r="T29" s="80" t="e">
        <f>'data&amp;corrections'!AW29</f>
        <v>#DIV/0!</v>
      </c>
      <c r="U29" s="16"/>
      <c r="V29" s="80">
        <f>(1-'data&amp;corrections'!M29)*2.5</f>
        <v>0.52366366959786581</v>
      </c>
      <c r="W29" s="80">
        <f>(1-'data&amp;corrections'!M29)*0.24</f>
        <v>5.0271712281395119E-2</v>
      </c>
      <c r="X29" s="80" t="e">
        <f t="shared" si="2"/>
        <v>#DIV/0!</v>
      </c>
      <c r="Y29" s="80" t="e">
        <f t="shared" si="3"/>
        <v>#DIV/0!</v>
      </c>
      <c r="Z29" s="80" t="e">
        <f t="shared" si="4"/>
        <v>#DIV/0!</v>
      </c>
      <c r="AA29" s="80" t="e">
        <f t="shared" si="5"/>
        <v>#DIV/0!</v>
      </c>
      <c r="AB29" s="80" t="e">
        <f t="shared" si="6"/>
        <v>#DIV/0!</v>
      </c>
      <c r="AD29" s="80">
        <f>'data&amp;corrections'!CA29</f>
        <v>0</v>
      </c>
      <c r="AF29" s="80" t="e">
        <f t="shared" si="7"/>
        <v>#DIV/0!</v>
      </c>
    </row>
    <row r="30" spans="1:32">
      <c r="A30" s="146" t="str">
        <f>'data&amp;corrections'!A30</f>
        <v>42-44</v>
      </c>
      <c r="B30" s="47">
        <f>'data&amp;corrections'!B30</f>
        <v>-43</v>
      </c>
      <c r="C30" s="47"/>
      <c r="D30" s="80" t="e">
        <f>'data&amp;corrections'!AF30</f>
        <v>#DIV/0!</v>
      </c>
      <c r="E30" s="80" t="e">
        <f>'data&amp;corrections'!AG30</f>
        <v>#DIV/0!</v>
      </c>
      <c r="F30" s="92" t="e">
        <f t="shared" ref="F30:F75" si="16">IF(D30&gt;I30,D30-I30,0)</f>
        <v>#DIV/0!</v>
      </c>
      <c r="G30" s="80" t="e">
        <f t="shared" ref="G30:G75" si="17">E30+J30</f>
        <v>#DIV/0!</v>
      </c>
      <c r="H30" s="80"/>
      <c r="I30" s="80" t="e">
        <f>'data&amp;corrections'!AM30</f>
        <v>#DIV/0!</v>
      </c>
      <c r="J30" s="80" t="e">
        <f>'data&amp;corrections'!AN30</f>
        <v>#DIV/0!</v>
      </c>
      <c r="K30" s="80"/>
      <c r="L30" s="80" t="e">
        <f>'data&amp;corrections'!BM30</f>
        <v>#DIV/0!</v>
      </c>
      <c r="M30" s="80" t="e">
        <f>'data&amp;corrections'!BN30</f>
        <v>#DIV/0!</v>
      </c>
      <c r="N30" s="80" t="e">
        <f>'data&amp;corrections'!BL30</f>
        <v>#DIV/0!</v>
      </c>
      <c r="O30" s="16"/>
      <c r="P30" s="80" t="e">
        <f>IF('data&amp;corrections'!BE30&gt;0,'data&amp;corrections'!BE30,0)</f>
        <v>#DIV/0!</v>
      </c>
      <c r="Q30" s="80" t="e">
        <f>IF('data&amp;corrections'!BF30&gt;0,'data&amp;corrections'!BF30,0)</f>
        <v>#DIV/0!</v>
      </c>
      <c r="R30" s="80"/>
      <c r="S30" s="81" t="e">
        <f>'data&amp;corrections'!AV30</f>
        <v>#DIV/0!</v>
      </c>
      <c r="T30" s="80" t="e">
        <f>'data&amp;corrections'!AW30</f>
        <v>#DIV/0!</v>
      </c>
      <c r="U30" s="16"/>
      <c r="V30" s="80">
        <f>(1-'data&amp;corrections'!M30)*2.5</f>
        <v>0.5186997219451106</v>
      </c>
      <c r="W30" s="80">
        <f>(1-'data&amp;corrections'!M30)*0.24</f>
        <v>4.9795173306730618E-2</v>
      </c>
      <c r="X30" s="80" t="e">
        <f t="shared" ref="X30:X75" si="18">V30*F30</f>
        <v>#DIV/0!</v>
      </c>
      <c r="Y30" s="80" t="e">
        <f t="shared" ref="Y30:Y75" si="19">V30*1.1058*G30</f>
        <v>#DIV/0!</v>
      </c>
      <c r="Z30" s="80" t="e">
        <f t="shared" ref="Z30:Z75" si="20">V30*P30</f>
        <v>#DIV/0!</v>
      </c>
      <c r="AA30" s="80" t="e">
        <f t="shared" ref="AA30:AA75" si="21">IF(Z30=0,0,V30*1.1058*Q30)</f>
        <v>#DIV/0!</v>
      </c>
      <c r="AB30" s="80" t="e">
        <f t="shared" ref="AB30:AB75" si="22">LN(F30)</f>
        <v>#DIV/0!</v>
      </c>
      <c r="AC30" s="47"/>
      <c r="AD30" s="80">
        <f>'data&amp;corrections'!CA30</f>
        <v>0</v>
      </c>
      <c r="AE30" s="47"/>
      <c r="AF30" s="80" t="e">
        <f t="shared" ref="AF30:AF75" si="23">F30-AD30</f>
        <v>#DIV/0!</v>
      </c>
    </row>
    <row r="31" spans="1:32">
      <c r="A31" s="146" t="str">
        <f>'data&amp;corrections'!A31</f>
        <v>44-46</v>
      </c>
      <c r="B31" s="47">
        <f>'data&amp;corrections'!B31</f>
        <v>-45</v>
      </c>
      <c r="C31" s="47"/>
      <c r="D31" s="80" t="e">
        <f>'data&amp;corrections'!AF31</f>
        <v>#DIV/0!</v>
      </c>
      <c r="E31" s="80" t="e">
        <f>'data&amp;corrections'!AG31</f>
        <v>#DIV/0!</v>
      </c>
      <c r="F31" s="92" t="e">
        <f t="shared" si="16"/>
        <v>#DIV/0!</v>
      </c>
      <c r="G31" s="80" t="e">
        <f t="shared" si="17"/>
        <v>#DIV/0!</v>
      </c>
      <c r="H31" s="80"/>
      <c r="I31" s="80" t="e">
        <f>'data&amp;corrections'!AM31</f>
        <v>#DIV/0!</v>
      </c>
      <c r="J31" s="80" t="e">
        <f>'data&amp;corrections'!AN31</f>
        <v>#DIV/0!</v>
      </c>
      <c r="K31" s="80"/>
      <c r="L31" s="80" t="e">
        <f>'data&amp;corrections'!BM31</f>
        <v>#DIV/0!</v>
      </c>
      <c r="M31" s="80" t="e">
        <f>'data&amp;corrections'!BN31</f>
        <v>#DIV/0!</v>
      </c>
      <c r="N31" s="80" t="e">
        <f>'data&amp;corrections'!BL31</f>
        <v>#DIV/0!</v>
      </c>
      <c r="O31" s="16"/>
      <c r="P31" s="80" t="e">
        <f>IF('data&amp;corrections'!BE31&gt;0,'data&amp;corrections'!BE31,0)</f>
        <v>#DIV/0!</v>
      </c>
      <c r="Q31" s="80" t="e">
        <f>IF('data&amp;corrections'!BF31&gt;0,'data&amp;corrections'!BF31,0)</f>
        <v>#DIV/0!</v>
      </c>
      <c r="R31" s="80"/>
      <c r="S31" s="81" t="e">
        <f>'data&amp;corrections'!AV31</f>
        <v>#DIV/0!</v>
      </c>
      <c r="T31" s="80" t="e">
        <f>'data&amp;corrections'!AW31</f>
        <v>#DIV/0!</v>
      </c>
      <c r="U31" s="16"/>
      <c r="V31" s="80">
        <f>(1-'data&amp;corrections'!M31)*2.5</f>
        <v>0.50190407160689809</v>
      </c>
      <c r="W31" s="80">
        <f>(1-'data&amp;corrections'!M31)*0.24</f>
        <v>4.8182790874262221E-2</v>
      </c>
      <c r="X31" s="80" t="e">
        <f t="shared" si="18"/>
        <v>#DIV/0!</v>
      </c>
      <c r="Y31" s="80" t="e">
        <f t="shared" si="19"/>
        <v>#DIV/0!</v>
      </c>
      <c r="Z31" s="80" t="e">
        <f t="shared" si="20"/>
        <v>#DIV/0!</v>
      </c>
      <c r="AA31" s="80" t="e">
        <f t="shared" si="21"/>
        <v>#DIV/0!</v>
      </c>
      <c r="AB31" s="80" t="e">
        <f t="shared" si="22"/>
        <v>#DIV/0!</v>
      </c>
      <c r="AC31" s="47"/>
      <c r="AD31" s="80">
        <f>'data&amp;corrections'!CA31</f>
        <v>0</v>
      </c>
      <c r="AE31" s="47"/>
      <c r="AF31" s="80" t="e">
        <f t="shared" si="23"/>
        <v>#DIV/0!</v>
      </c>
    </row>
    <row r="32" spans="1:32">
      <c r="A32" s="146" t="str">
        <f>'data&amp;corrections'!A32</f>
        <v>46-48</v>
      </c>
      <c r="B32" s="47">
        <f>'data&amp;corrections'!B32</f>
        <v>-47</v>
      </c>
      <c r="C32" s="47"/>
      <c r="D32" s="80" t="e">
        <f>'data&amp;corrections'!AF32</f>
        <v>#DIV/0!</v>
      </c>
      <c r="E32" s="80" t="e">
        <f>'data&amp;corrections'!AG32</f>
        <v>#DIV/0!</v>
      </c>
      <c r="F32" s="92" t="e">
        <f t="shared" si="16"/>
        <v>#DIV/0!</v>
      </c>
      <c r="G32" s="80" t="e">
        <f t="shared" si="17"/>
        <v>#DIV/0!</v>
      </c>
      <c r="H32" s="80"/>
      <c r="I32" s="80" t="e">
        <f>'data&amp;corrections'!AM32</f>
        <v>#DIV/0!</v>
      </c>
      <c r="J32" s="80" t="e">
        <f>'data&amp;corrections'!AN32</f>
        <v>#DIV/0!</v>
      </c>
      <c r="K32" s="80"/>
      <c r="L32" s="80" t="e">
        <f>'data&amp;corrections'!BM32</f>
        <v>#DIV/0!</v>
      </c>
      <c r="M32" s="80" t="e">
        <f>'data&amp;corrections'!BN32</f>
        <v>#DIV/0!</v>
      </c>
      <c r="N32" s="80" t="e">
        <f>'data&amp;corrections'!BL32</f>
        <v>#DIV/0!</v>
      </c>
      <c r="O32" s="16"/>
      <c r="P32" s="80" t="e">
        <f>IF('data&amp;corrections'!BE32&gt;0,'data&amp;corrections'!BE32,0)</f>
        <v>#DIV/0!</v>
      </c>
      <c r="Q32" s="80" t="e">
        <f>IF('data&amp;corrections'!BF32&gt;0,'data&amp;corrections'!BF32,0)</f>
        <v>#DIV/0!</v>
      </c>
      <c r="R32" s="80"/>
      <c r="S32" s="81" t="e">
        <f>'data&amp;corrections'!AV32</f>
        <v>#DIV/0!</v>
      </c>
      <c r="T32" s="80" t="e">
        <f>'data&amp;corrections'!AW32</f>
        <v>#DIV/0!</v>
      </c>
      <c r="U32" s="16"/>
      <c r="V32" s="80">
        <f>(1-'data&amp;corrections'!M32)*2.5</f>
        <v>0.57630408028022351</v>
      </c>
      <c r="W32" s="80">
        <f>(1-'data&amp;corrections'!M32)*0.24</f>
        <v>5.5325191706901457E-2</v>
      </c>
      <c r="X32" s="80" t="e">
        <f t="shared" si="18"/>
        <v>#DIV/0!</v>
      </c>
      <c r="Y32" s="80" t="e">
        <f t="shared" si="19"/>
        <v>#DIV/0!</v>
      </c>
      <c r="Z32" s="80" t="e">
        <f t="shared" si="20"/>
        <v>#DIV/0!</v>
      </c>
      <c r="AA32" s="80" t="e">
        <f t="shared" si="21"/>
        <v>#DIV/0!</v>
      </c>
      <c r="AB32" s="80" t="e">
        <f t="shared" si="22"/>
        <v>#DIV/0!</v>
      </c>
      <c r="AC32" s="47"/>
      <c r="AD32" s="80">
        <f>'data&amp;corrections'!CA32</f>
        <v>0</v>
      </c>
      <c r="AE32" s="47"/>
      <c r="AF32" s="80" t="e">
        <f t="shared" si="23"/>
        <v>#DIV/0!</v>
      </c>
    </row>
    <row r="33" spans="1:32">
      <c r="A33" s="146" t="str">
        <f>'data&amp;corrections'!A33</f>
        <v>48-50</v>
      </c>
      <c r="B33" s="47">
        <f>'data&amp;corrections'!B33</f>
        <v>-49</v>
      </c>
      <c r="C33" s="47"/>
      <c r="D33" s="80" t="e">
        <f>'data&amp;corrections'!AF33</f>
        <v>#DIV/0!</v>
      </c>
      <c r="E33" s="80" t="e">
        <f>'data&amp;corrections'!AG33</f>
        <v>#DIV/0!</v>
      </c>
      <c r="F33" s="92" t="e">
        <f t="shared" si="16"/>
        <v>#DIV/0!</v>
      </c>
      <c r="G33" s="80" t="e">
        <f t="shared" si="17"/>
        <v>#DIV/0!</v>
      </c>
      <c r="H33" s="80"/>
      <c r="I33" s="80" t="e">
        <f>'data&amp;corrections'!AM33</f>
        <v>#DIV/0!</v>
      </c>
      <c r="J33" s="80" t="e">
        <f>'data&amp;corrections'!AN33</f>
        <v>#DIV/0!</v>
      </c>
      <c r="K33" s="80"/>
      <c r="L33" s="80" t="e">
        <f>'data&amp;corrections'!BM33</f>
        <v>#DIV/0!</v>
      </c>
      <c r="M33" s="80" t="e">
        <f>'data&amp;corrections'!BN33</f>
        <v>#DIV/0!</v>
      </c>
      <c r="N33" s="80" t="e">
        <f>'data&amp;corrections'!BL33</f>
        <v>#DIV/0!</v>
      </c>
      <c r="O33" s="16"/>
      <c r="P33" s="80" t="e">
        <f>IF('data&amp;corrections'!BE33&gt;0,'data&amp;corrections'!BE33,0)</f>
        <v>#DIV/0!</v>
      </c>
      <c r="Q33" s="80" t="e">
        <f>IF('data&amp;corrections'!BF33&gt;0,'data&amp;corrections'!BF33,0)</f>
        <v>#DIV/0!</v>
      </c>
      <c r="R33" s="80"/>
      <c r="S33" s="81" t="e">
        <f>'data&amp;corrections'!AV33</f>
        <v>#DIV/0!</v>
      </c>
      <c r="T33" s="80" t="e">
        <f>'data&amp;corrections'!AW33</f>
        <v>#DIV/0!</v>
      </c>
      <c r="U33" s="16"/>
      <c r="V33" s="80">
        <f>(1-'data&amp;corrections'!M33)*2.5</f>
        <v>1.044993750867935</v>
      </c>
      <c r="W33" s="80">
        <f>(1-'data&amp;corrections'!M33)*0.24</f>
        <v>0.10031940008332176</v>
      </c>
      <c r="X33" s="80" t="e">
        <f t="shared" si="18"/>
        <v>#DIV/0!</v>
      </c>
      <c r="Y33" s="80" t="e">
        <f t="shared" si="19"/>
        <v>#DIV/0!</v>
      </c>
      <c r="Z33" s="80" t="e">
        <f t="shared" si="20"/>
        <v>#DIV/0!</v>
      </c>
      <c r="AA33" s="80" t="e">
        <f t="shared" si="21"/>
        <v>#DIV/0!</v>
      </c>
      <c r="AB33" s="80" t="e">
        <f t="shared" si="22"/>
        <v>#DIV/0!</v>
      </c>
      <c r="AC33" s="47"/>
      <c r="AD33" s="80">
        <f>'data&amp;corrections'!CA33</f>
        <v>0</v>
      </c>
      <c r="AE33" s="47"/>
      <c r="AF33" s="80" t="e">
        <f t="shared" si="23"/>
        <v>#DIV/0!</v>
      </c>
    </row>
    <row r="34" spans="1:32">
      <c r="A34" s="146" t="str">
        <f>'data&amp;corrections'!A34</f>
        <v>50-52</v>
      </c>
      <c r="B34" s="47">
        <f>'data&amp;corrections'!B34</f>
        <v>-51</v>
      </c>
      <c r="C34" s="47"/>
      <c r="D34" s="80" t="e">
        <f>'data&amp;corrections'!AF34</f>
        <v>#DIV/0!</v>
      </c>
      <c r="E34" s="80" t="e">
        <f>'data&amp;corrections'!AG34</f>
        <v>#DIV/0!</v>
      </c>
      <c r="F34" s="92" t="e">
        <f t="shared" si="16"/>
        <v>#DIV/0!</v>
      </c>
      <c r="G34" s="80" t="e">
        <f t="shared" si="17"/>
        <v>#DIV/0!</v>
      </c>
      <c r="H34" s="80"/>
      <c r="I34" s="80" t="e">
        <f>'data&amp;corrections'!AM34</f>
        <v>#DIV/0!</v>
      </c>
      <c r="J34" s="80" t="e">
        <f>'data&amp;corrections'!AN34</f>
        <v>#DIV/0!</v>
      </c>
      <c r="K34" s="80"/>
      <c r="L34" s="80" t="e">
        <f>'data&amp;corrections'!BM34</f>
        <v>#DIV/0!</v>
      </c>
      <c r="M34" s="80" t="e">
        <f>'data&amp;corrections'!BN34</f>
        <v>#DIV/0!</v>
      </c>
      <c r="N34" s="80" t="e">
        <f>'data&amp;corrections'!BL34</f>
        <v>#DIV/0!</v>
      </c>
      <c r="O34" s="16"/>
      <c r="P34" s="80" t="e">
        <f>IF('data&amp;corrections'!BE34&gt;0,'data&amp;corrections'!BE34,0)</f>
        <v>#DIV/0!</v>
      </c>
      <c r="Q34" s="80" t="e">
        <f>IF('data&amp;corrections'!BF34&gt;0,'data&amp;corrections'!BF34,0)</f>
        <v>#DIV/0!</v>
      </c>
      <c r="R34" s="80"/>
      <c r="S34" s="81" t="e">
        <f>'data&amp;corrections'!AV34</f>
        <v>#DIV/0!</v>
      </c>
      <c r="T34" s="80" t="e">
        <f>'data&amp;corrections'!AW34</f>
        <v>#DIV/0!</v>
      </c>
      <c r="U34" s="16"/>
      <c r="V34" s="80">
        <f>(1-'data&amp;corrections'!M34)*2.5</f>
        <v>0.71286981778093428</v>
      </c>
      <c r="W34" s="80">
        <f>(1-'data&amp;corrections'!M34)*0.24</f>
        <v>6.8435502506969684E-2</v>
      </c>
      <c r="X34" s="80" t="e">
        <f t="shared" si="18"/>
        <v>#DIV/0!</v>
      </c>
      <c r="Y34" s="80" t="e">
        <f t="shared" si="19"/>
        <v>#DIV/0!</v>
      </c>
      <c r="Z34" s="80" t="e">
        <f t="shared" si="20"/>
        <v>#DIV/0!</v>
      </c>
      <c r="AA34" s="80" t="e">
        <f t="shared" si="21"/>
        <v>#DIV/0!</v>
      </c>
      <c r="AB34" s="80" t="e">
        <f t="shared" si="22"/>
        <v>#DIV/0!</v>
      </c>
      <c r="AC34" s="47"/>
      <c r="AD34" s="80">
        <f>'data&amp;corrections'!CA34</f>
        <v>0</v>
      </c>
      <c r="AE34" s="47"/>
      <c r="AF34" s="80" t="e">
        <f t="shared" si="23"/>
        <v>#DIV/0!</v>
      </c>
    </row>
    <row r="35" spans="1:32">
      <c r="A35" s="146" t="str">
        <f>'data&amp;corrections'!A35</f>
        <v>52-54</v>
      </c>
      <c r="B35" s="47">
        <f>'data&amp;corrections'!B35</f>
        <v>-53</v>
      </c>
      <c r="C35" s="47"/>
      <c r="D35" s="80" t="e">
        <f>'data&amp;corrections'!AF35</f>
        <v>#DIV/0!</v>
      </c>
      <c r="E35" s="80" t="e">
        <f>'data&amp;corrections'!AG35</f>
        <v>#DIV/0!</v>
      </c>
      <c r="F35" s="92" t="e">
        <f t="shared" si="16"/>
        <v>#DIV/0!</v>
      </c>
      <c r="G35" s="80" t="e">
        <f t="shared" si="17"/>
        <v>#DIV/0!</v>
      </c>
      <c r="H35" s="80"/>
      <c r="I35" s="80" t="e">
        <f>'data&amp;corrections'!AM35</f>
        <v>#DIV/0!</v>
      </c>
      <c r="J35" s="80" t="e">
        <f>'data&amp;corrections'!AN35</f>
        <v>#DIV/0!</v>
      </c>
      <c r="K35" s="80"/>
      <c r="L35" s="80" t="e">
        <f>'data&amp;corrections'!BM35</f>
        <v>#DIV/0!</v>
      </c>
      <c r="M35" s="80" t="e">
        <f>'data&amp;corrections'!BN35</f>
        <v>#DIV/0!</v>
      </c>
      <c r="N35" s="80" t="e">
        <f>'data&amp;corrections'!BL35</f>
        <v>#DIV/0!</v>
      </c>
      <c r="O35" s="16"/>
      <c r="P35" s="80" t="e">
        <f>IF('data&amp;corrections'!BE35&gt;0,'data&amp;corrections'!BE35,0)</f>
        <v>#DIV/0!</v>
      </c>
      <c r="Q35" s="80" t="e">
        <f>IF('data&amp;corrections'!BF35&gt;0,'data&amp;corrections'!BF35,0)</f>
        <v>#DIV/0!</v>
      </c>
      <c r="R35" s="80"/>
      <c r="S35" s="81" t="e">
        <f>'data&amp;corrections'!AV35</f>
        <v>#DIV/0!</v>
      </c>
      <c r="T35" s="80" t="e">
        <f>'data&amp;corrections'!AW35</f>
        <v>#DIV/0!</v>
      </c>
      <c r="U35" s="16"/>
      <c r="V35" s="80">
        <f>(1-'data&amp;corrections'!M35)*2.5</f>
        <v>0.53639235621597725</v>
      </c>
      <c r="W35" s="80">
        <f>(1-'data&amp;corrections'!M35)*0.24</f>
        <v>5.1493666196733817E-2</v>
      </c>
      <c r="X35" s="80" t="e">
        <f t="shared" si="18"/>
        <v>#DIV/0!</v>
      </c>
      <c r="Y35" s="80" t="e">
        <f t="shared" si="19"/>
        <v>#DIV/0!</v>
      </c>
      <c r="Z35" s="80" t="e">
        <f t="shared" si="20"/>
        <v>#DIV/0!</v>
      </c>
      <c r="AA35" s="80" t="e">
        <f t="shared" si="21"/>
        <v>#DIV/0!</v>
      </c>
      <c r="AB35" s="80" t="e">
        <f t="shared" si="22"/>
        <v>#DIV/0!</v>
      </c>
      <c r="AC35" s="47"/>
      <c r="AD35" s="80">
        <f>'data&amp;corrections'!CA35</f>
        <v>0</v>
      </c>
      <c r="AE35" s="47"/>
      <c r="AF35" s="80" t="e">
        <f t="shared" si="23"/>
        <v>#DIV/0!</v>
      </c>
    </row>
    <row r="36" spans="1:32">
      <c r="A36" s="146" t="str">
        <f>'data&amp;corrections'!A36</f>
        <v>54-56</v>
      </c>
      <c r="B36" s="47">
        <f>'data&amp;corrections'!B36</f>
        <v>-55</v>
      </c>
      <c r="C36" s="47"/>
      <c r="D36" s="80" t="e">
        <f>'data&amp;corrections'!AF36</f>
        <v>#DIV/0!</v>
      </c>
      <c r="E36" s="80" t="e">
        <f>'data&amp;corrections'!AG36</f>
        <v>#DIV/0!</v>
      </c>
      <c r="F36" s="92" t="e">
        <f t="shared" si="16"/>
        <v>#DIV/0!</v>
      </c>
      <c r="G36" s="80" t="e">
        <f t="shared" si="17"/>
        <v>#DIV/0!</v>
      </c>
      <c r="H36" s="80"/>
      <c r="I36" s="80" t="e">
        <f>'data&amp;corrections'!AM36</f>
        <v>#DIV/0!</v>
      </c>
      <c r="J36" s="80" t="e">
        <f>'data&amp;corrections'!AN36</f>
        <v>#DIV/0!</v>
      </c>
      <c r="K36" s="80"/>
      <c r="L36" s="80" t="e">
        <f>'data&amp;corrections'!BM36</f>
        <v>#DIV/0!</v>
      </c>
      <c r="M36" s="80" t="e">
        <f>'data&amp;corrections'!BN36</f>
        <v>#DIV/0!</v>
      </c>
      <c r="N36" s="80" t="e">
        <f>'data&amp;corrections'!BL36</f>
        <v>#DIV/0!</v>
      </c>
      <c r="O36" s="16"/>
      <c r="P36" s="80" t="e">
        <f>IF('data&amp;corrections'!BE36&gt;0,'data&amp;corrections'!BE36,0)</f>
        <v>#DIV/0!</v>
      </c>
      <c r="Q36" s="80" t="e">
        <f>IF('data&amp;corrections'!BF36&gt;0,'data&amp;corrections'!BF36,0)</f>
        <v>#DIV/0!</v>
      </c>
      <c r="R36" s="80"/>
      <c r="S36" s="81" t="e">
        <f>'data&amp;corrections'!AV36</f>
        <v>#DIV/0!</v>
      </c>
      <c r="T36" s="80" t="e">
        <f>'data&amp;corrections'!AW36</f>
        <v>#DIV/0!</v>
      </c>
      <c r="U36" s="16"/>
      <c r="V36" s="80">
        <f>(1-'data&amp;corrections'!M36)*2.5</f>
        <v>0.47830686784393617</v>
      </c>
      <c r="W36" s="80">
        <f>(1-'data&amp;corrections'!M36)*0.24</f>
        <v>4.5917459313017869E-2</v>
      </c>
      <c r="X36" s="80" t="e">
        <f t="shared" si="18"/>
        <v>#DIV/0!</v>
      </c>
      <c r="Y36" s="80" t="e">
        <f t="shared" si="19"/>
        <v>#DIV/0!</v>
      </c>
      <c r="Z36" s="80" t="e">
        <f t="shared" si="20"/>
        <v>#DIV/0!</v>
      </c>
      <c r="AA36" s="80" t="e">
        <f t="shared" si="21"/>
        <v>#DIV/0!</v>
      </c>
      <c r="AB36" s="80" t="e">
        <f t="shared" si="22"/>
        <v>#DIV/0!</v>
      </c>
      <c r="AC36" s="47"/>
      <c r="AD36" s="80">
        <f>'data&amp;corrections'!CA36</f>
        <v>0</v>
      </c>
      <c r="AE36" s="47"/>
      <c r="AF36" s="80" t="e">
        <f t="shared" si="23"/>
        <v>#DIV/0!</v>
      </c>
    </row>
    <row r="37" spans="1:32">
      <c r="A37" s="146" t="str">
        <f>'data&amp;corrections'!A37</f>
        <v>56-58</v>
      </c>
      <c r="B37" s="47">
        <f>'data&amp;corrections'!B37</f>
        <v>-57</v>
      </c>
      <c r="C37" s="47"/>
      <c r="D37" s="80" t="e">
        <f>'data&amp;corrections'!AF37</f>
        <v>#DIV/0!</v>
      </c>
      <c r="E37" s="80" t="e">
        <f>'data&amp;corrections'!AG37</f>
        <v>#DIV/0!</v>
      </c>
      <c r="F37" s="92" t="e">
        <f t="shared" si="16"/>
        <v>#DIV/0!</v>
      </c>
      <c r="G37" s="80" t="e">
        <f t="shared" si="17"/>
        <v>#DIV/0!</v>
      </c>
      <c r="H37" s="80"/>
      <c r="I37" s="80" t="e">
        <f>'data&amp;corrections'!AM37</f>
        <v>#DIV/0!</v>
      </c>
      <c r="J37" s="80" t="e">
        <f>'data&amp;corrections'!AN37</f>
        <v>#DIV/0!</v>
      </c>
      <c r="K37" s="80"/>
      <c r="L37" s="80" t="e">
        <f>'data&amp;corrections'!BM37</f>
        <v>#DIV/0!</v>
      </c>
      <c r="M37" s="80" t="e">
        <f>'data&amp;corrections'!BN37</f>
        <v>#DIV/0!</v>
      </c>
      <c r="N37" s="80" t="e">
        <f>'data&amp;corrections'!BL37</f>
        <v>#DIV/0!</v>
      </c>
      <c r="O37" s="16"/>
      <c r="P37" s="80" t="e">
        <f>IF('data&amp;corrections'!BE37&gt;0,'data&amp;corrections'!BE37,0)</f>
        <v>#DIV/0!</v>
      </c>
      <c r="Q37" s="80" t="e">
        <f>IF('data&amp;corrections'!BF37&gt;0,'data&amp;corrections'!BF37,0)</f>
        <v>#DIV/0!</v>
      </c>
      <c r="R37" s="80"/>
      <c r="S37" s="81" t="e">
        <f>'data&amp;corrections'!AV37</f>
        <v>#DIV/0!</v>
      </c>
      <c r="T37" s="80" t="e">
        <f>'data&amp;corrections'!AW37</f>
        <v>#DIV/0!</v>
      </c>
      <c r="U37" s="16"/>
      <c r="V37" s="80">
        <f>(1-'data&amp;corrections'!M37)*2.5</f>
        <v>0.4710521846206106</v>
      </c>
      <c r="W37" s="80">
        <f>(1-'data&amp;corrections'!M37)*0.24</f>
        <v>4.5221009723578613E-2</v>
      </c>
      <c r="X37" s="80" t="e">
        <f t="shared" si="18"/>
        <v>#DIV/0!</v>
      </c>
      <c r="Y37" s="80" t="e">
        <f t="shared" si="19"/>
        <v>#DIV/0!</v>
      </c>
      <c r="Z37" s="80" t="e">
        <f t="shared" si="20"/>
        <v>#DIV/0!</v>
      </c>
      <c r="AA37" s="80" t="e">
        <f t="shared" si="21"/>
        <v>#DIV/0!</v>
      </c>
      <c r="AB37" s="80" t="e">
        <f t="shared" si="22"/>
        <v>#DIV/0!</v>
      </c>
      <c r="AC37" s="47"/>
      <c r="AD37" s="80">
        <f>'data&amp;corrections'!CA37</f>
        <v>0</v>
      </c>
      <c r="AE37" s="47"/>
      <c r="AF37" s="80" t="e">
        <f t="shared" si="23"/>
        <v>#DIV/0!</v>
      </c>
    </row>
    <row r="38" spans="1:32">
      <c r="A38" s="146" t="str">
        <f>'data&amp;corrections'!A38</f>
        <v>58-60</v>
      </c>
      <c r="B38" s="47">
        <f>'data&amp;corrections'!B38</f>
        <v>-59</v>
      </c>
      <c r="C38" s="47"/>
      <c r="D38" s="80" t="e">
        <f>'data&amp;corrections'!AF38</f>
        <v>#DIV/0!</v>
      </c>
      <c r="E38" s="80" t="e">
        <f>'data&amp;corrections'!AG38</f>
        <v>#DIV/0!</v>
      </c>
      <c r="F38" s="92" t="e">
        <f t="shared" si="16"/>
        <v>#DIV/0!</v>
      </c>
      <c r="G38" s="80" t="e">
        <f t="shared" si="17"/>
        <v>#DIV/0!</v>
      </c>
      <c r="H38" s="80"/>
      <c r="I38" s="80" t="e">
        <f>'data&amp;corrections'!AM38</f>
        <v>#DIV/0!</v>
      </c>
      <c r="J38" s="80" t="e">
        <f>'data&amp;corrections'!AN38</f>
        <v>#DIV/0!</v>
      </c>
      <c r="K38" s="80"/>
      <c r="L38" s="80" t="e">
        <f>'data&amp;corrections'!BM38</f>
        <v>#DIV/0!</v>
      </c>
      <c r="M38" s="80" t="e">
        <f>'data&amp;corrections'!BN38</f>
        <v>#DIV/0!</v>
      </c>
      <c r="N38" s="80" t="e">
        <f>'data&amp;corrections'!BL38</f>
        <v>#DIV/0!</v>
      </c>
      <c r="O38" s="16"/>
      <c r="P38" s="80" t="e">
        <f>IF('data&amp;corrections'!BE38&gt;0,'data&amp;corrections'!BE38,0)</f>
        <v>#DIV/0!</v>
      </c>
      <c r="Q38" s="80" t="e">
        <f>IF('data&amp;corrections'!BF38&gt;0,'data&amp;corrections'!BF38,0)</f>
        <v>#DIV/0!</v>
      </c>
      <c r="R38" s="80"/>
      <c r="S38" s="81" t="e">
        <f>'data&amp;corrections'!AV38</f>
        <v>#DIV/0!</v>
      </c>
      <c r="T38" s="80" t="e">
        <f>'data&amp;corrections'!AW38</f>
        <v>#DIV/0!</v>
      </c>
      <c r="U38" s="16"/>
      <c r="V38" s="80">
        <f>(1-'data&amp;corrections'!M38)*2.5</f>
        <v>0.45583311872263721</v>
      </c>
      <c r="W38" s="80">
        <f>(1-'data&amp;corrections'!M38)*0.24</f>
        <v>4.3759979397373173E-2</v>
      </c>
      <c r="X38" s="80" t="e">
        <f t="shared" si="18"/>
        <v>#DIV/0!</v>
      </c>
      <c r="Y38" s="80" t="e">
        <f t="shared" si="19"/>
        <v>#DIV/0!</v>
      </c>
      <c r="Z38" s="80" t="e">
        <f t="shared" si="20"/>
        <v>#DIV/0!</v>
      </c>
      <c r="AA38" s="80" t="e">
        <f t="shared" si="21"/>
        <v>#DIV/0!</v>
      </c>
      <c r="AB38" s="80" t="e">
        <f t="shared" si="22"/>
        <v>#DIV/0!</v>
      </c>
      <c r="AC38" s="47"/>
      <c r="AD38" s="80">
        <f>'data&amp;corrections'!CA38</f>
        <v>0</v>
      </c>
      <c r="AE38" s="47"/>
      <c r="AF38" s="80" t="e">
        <f t="shared" si="23"/>
        <v>#DIV/0!</v>
      </c>
    </row>
    <row r="39" spans="1:32">
      <c r="A39" s="146" t="str">
        <f>'data&amp;corrections'!A39</f>
        <v>60-62</v>
      </c>
      <c r="B39" s="47">
        <f>'data&amp;corrections'!B39</f>
        <v>-61</v>
      </c>
      <c r="C39" s="47"/>
      <c r="D39" s="80" t="e">
        <f>'data&amp;corrections'!AF39</f>
        <v>#DIV/0!</v>
      </c>
      <c r="E39" s="80" t="e">
        <f>'data&amp;corrections'!AG39</f>
        <v>#DIV/0!</v>
      </c>
      <c r="F39" s="92" t="e">
        <f t="shared" si="16"/>
        <v>#DIV/0!</v>
      </c>
      <c r="G39" s="80" t="e">
        <f t="shared" si="17"/>
        <v>#DIV/0!</v>
      </c>
      <c r="H39" s="80"/>
      <c r="I39" s="80" t="e">
        <f>'data&amp;corrections'!AM39</f>
        <v>#DIV/0!</v>
      </c>
      <c r="J39" s="80" t="e">
        <f>'data&amp;corrections'!AN39</f>
        <v>#DIV/0!</v>
      </c>
      <c r="K39" s="80"/>
      <c r="L39" s="80" t="e">
        <f>'data&amp;corrections'!BM39</f>
        <v>#DIV/0!</v>
      </c>
      <c r="M39" s="80" t="e">
        <f>'data&amp;corrections'!BN39</f>
        <v>#DIV/0!</v>
      </c>
      <c r="N39" s="80" t="e">
        <f>'data&amp;corrections'!BL39</f>
        <v>#DIV/0!</v>
      </c>
      <c r="O39" s="16"/>
      <c r="P39" s="80" t="e">
        <f>IF('data&amp;corrections'!BE39&gt;0,'data&amp;corrections'!BE39,0)</f>
        <v>#DIV/0!</v>
      </c>
      <c r="Q39" s="80" t="e">
        <f>IF('data&amp;corrections'!BF39&gt;0,'data&amp;corrections'!BF39,0)</f>
        <v>#DIV/0!</v>
      </c>
      <c r="R39" s="80"/>
      <c r="S39" s="81" t="e">
        <f>'data&amp;corrections'!AV39</f>
        <v>#DIV/0!</v>
      </c>
      <c r="T39" s="80" t="e">
        <f>'data&amp;corrections'!AW39</f>
        <v>#DIV/0!</v>
      </c>
      <c r="U39" s="16"/>
      <c r="V39" s="80">
        <f>(1-'data&amp;corrections'!M39)*2.5</f>
        <v>0.49040121357953659</v>
      </c>
      <c r="W39" s="80">
        <f>(1-'data&amp;corrections'!M39)*0.24</f>
        <v>4.7078516503635509E-2</v>
      </c>
      <c r="X39" s="80" t="e">
        <f t="shared" si="18"/>
        <v>#DIV/0!</v>
      </c>
      <c r="Y39" s="80" t="e">
        <f t="shared" si="19"/>
        <v>#DIV/0!</v>
      </c>
      <c r="Z39" s="80" t="e">
        <f t="shared" si="20"/>
        <v>#DIV/0!</v>
      </c>
      <c r="AA39" s="80" t="e">
        <f t="shared" si="21"/>
        <v>#DIV/0!</v>
      </c>
      <c r="AB39" s="80" t="e">
        <f t="shared" si="22"/>
        <v>#DIV/0!</v>
      </c>
      <c r="AC39" s="47"/>
      <c r="AD39" s="80">
        <f>'data&amp;corrections'!CA39</f>
        <v>0</v>
      </c>
      <c r="AE39" s="47"/>
      <c r="AF39" s="80" t="e">
        <f t="shared" si="23"/>
        <v>#DIV/0!</v>
      </c>
    </row>
    <row r="40" spans="1:32">
      <c r="A40" s="146" t="str">
        <f>'data&amp;corrections'!A40</f>
        <v>62-64</v>
      </c>
      <c r="B40" s="47">
        <f>'data&amp;corrections'!B40</f>
        <v>-63</v>
      </c>
      <c r="C40" s="47"/>
      <c r="D40" s="80" t="e">
        <f>'data&amp;corrections'!AF40</f>
        <v>#DIV/0!</v>
      </c>
      <c r="E40" s="80" t="e">
        <f>'data&amp;corrections'!AG40</f>
        <v>#DIV/0!</v>
      </c>
      <c r="F40" s="92" t="e">
        <f t="shared" si="16"/>
        <v>#DIV/0!</v>
      </c>
      <c r="G40" s="80" t="e">
        <f t="shared" si="17"/>
        <v>#DIV/0!</v>
      </c>
      <c r="H40" s="80"/>
      <c r="I40" s="80" t="e">
        <f>'data&amp;corrections'!AM40</f>
        <v>#DIV/0!</v>
      </c>
      <c r="J40" s="80" t="e">
        <f>'data&amp;corrections'!AN40</f>
        <v>#DIV/0!</v>
      </c>
      <c r="K40" s="80"/>
      <c r="L40" s="80" t="e">
        <f>'data&amp;corrections'!BM40</f>
        <v>#DIV/0!</v>
      </c>
      <c r="M40" s="80" t="e">
        <f>'data&amp;corrections'!BN40</f>
        <v>#DIV/0!</v>
      </c>
      <c r="N40" s="80" t="e">
        <f>'data&amp;corrections'!BL40</f>
        <v>#DIV/0!</v>
      </c>
      <c r="O40" s="16"/>
      <c r="P40" s="80" t="e">
        <f>IF('data&amp;corrections'!BE40&gt;0,'data&amp;corrections'!BE40,0)</f>
        <v>#DIV/0!</v>
      </c>
      <c r="Q40" s="80" t="e">
        <f>IF('data&amp;corrections'!BF40&gt;0,'data&amp;corrections'!BF40,0)</f>
        <v>#DIV/0!</v>
      </c>
      <c r="R40" s="80"/>
      <c r="S40" s="81" t="e">
        <f>'data&amp;corrections'!AV40</f>
        <v>#DIV/0!</v>
      </c>
      <c r="T40" s="80" t="e">
        <f>'data&amp;corrections'!AW40</f>
        <v>#DIV/0!</v>
      </c>
      <c r="U40" s="16"/>
      <c r="V40" s="80">
        <f>(1-'data&amp;corrections'!M40)*2.5</f>
        <v>0.5177203899818541</v>
      </c>
      <c r="W40" s="80">
        <f>(1-'data&amp;corrections'!M40)*0.24</f>
        <v>4.9701157438257995E-2</v>
      </c>
      <c r="X40" s="80" t="e">
        <f t="shared" si="18"/>
        <v>#DIV/0!</v>
      </c>
      <c r="Y40" s="80" t="e">
        <f t="shared" si="19"/>
        <v>#DIV/0!</v>
      </c>
      <c r="Z40" s="80" t="e">
        <f t="shared" si="20"/>
        <v>#DIV/0!</v>
      </c>
      <c r="AA40" s="80" t="e">
        <f t="shared" si="21"/>
        <v>#DIV/0!</v>
      </c>
      <c r="AB40" s="80" t="e">
        <f t="shared" si="22"/>
        <v>#DIV/0!</v>
      </c>
      <c r="AC40" s="47"/>
      <c r="AD40" s="80">
        <f>'data&amp;corrections'!CA40</f>
        <v>0</v>
      </c>
      <c r="AE40" s="47"/>
      <c r="AF40" s="80" t="e">
        <f t="shared" si="23"/>
        <v>#DIV/0!</v>
      </c>
    </row>
    <row r="41" spans="1:32">
      <c r="A41" s="146" t="str">
        <f>'data&amp;corrections'!A41</f>
        <v>64-66</v>
      </c>
      <c r="B41" s="47">
        <f>'data&amp;corrections'!B41</f>
        <v>-65</v>
      </c>
      <c r="C41" s="47"/>
      <c r="D41" s="80" t="e">
        <f>'data&amp;corrections'!AF41</f>
        <v>#DIV/0!</v>
      </c>
      <c r="E41" s="80" t="e">
        <f>'data&amp;corrections'!AG41</f>
        <v>#DIV/0!</v>
      </c>
      <c r="F41" s="92" t="e">
        <f t="shared" si="16"/>
        <v>#DIV/0!</v>
      </c>
      <c r="G41" s="80" t="e">
        <f t="shared" si="17"/>
        <v>#DIV/0!</v>
      </c>
      <c r="H41" s="80"/>
      <c r="I41" s="80" t="e">
        <f>'data&amp;corrections'!AM41</f>
        <v>#DIV/0!</v>
      </c>
      <c r="J41" s="80" t="e">
        <f>'data&amp;corrections'!AN41</f>
        <v>#DIV/0!</v>
      </c>
      <c r="K41" s="80"/>
      <c r="L41" s="80" t="e">
        <f>'data&amp;corrections'!BM41</f>
        <v>#DIV/0!</v>
      </c>
      <c r="M41" s="80" t="e">
        <f>'data&amp;corrections'!BN41</f>
        <v>#DIV/0!</v>
      </c>
      <c r="N41" s="80" t="e">
        <f>'data&amp;corrections'!BL41</f>
        <v>#DIV/0!</v>
      </c>
      <c r="O41" s="16"/>
      <c r="P41" s="80" t="e">
        <f>IF('data&amp;corrections'!BE41&gt;0,'data&amp;corrections'!BE41,0)</f>
        <v>#DIV/0!</v>
      </c>
      <c r="Q41" s="80" t="e">
        <f>IF('data&amp;corrections'!BF41&gt;0,'data&amp;corrections'!BF41,0)</f>
        <v>#DIV/0!</v>
      </c>
      <c r="R41" s="80"/>
      <c r="S41" s="81" t="e">
        <f>'data&amp;corrections'!AV41</f>
        <v>#DIV/0!</v>
      </c>
      <c r="T41" s="80" t="e">
        <f>'data&amp;corrections'!AW41</f>
        <v>#DIV/0!</v>
      </c>
      <c r="U41" s="16"/>
      <c r="V41" s="80">
        <f>(1-'data&amp;corrections'!M41)*2.5</f>
        <v>0.58806925103500218</v>
      </c>
      <c r="W41" s="80">
        <f>(1-'data&amp;corrections'!M41)*0.24</f>
        <v>5.6454648099360211E-2</v>
      </c>
      <c r="X41" s="80" t="e">
        <f t="shared" si="18"/>
        <v>#DIV/0!</v>
      </c>
      <c r="Y41" s="80" t="e">
        <f t="shared" si="19"/>
        <v>#DIV/0!</v>
      </c>
      <c r="Z41" s="80" t="e">
        <f t="shared" si="20"/>
        <v>#DIV/0!</v>
      </c>
      <c r="AA41" s="80" t="e">
        <f t="shared" si="21"/>
        <v>#DIV/0!</v>
      </c>
      <c r="AB41" s="80" t="e">
        <f t="shared" si="22"/>
        <v>#DIV/0!</v>
      </c>
      <c r="AC41" s="47"/>
      <c r="AD41" s="80">
        <f>'data&amp;corrections'!CA41</f>
        <v>0</v>
      </c>
      <c r="AE41" s="47"/>
      <c r="AF41" s="80" t="e">
        <f t="shared" si="23"/>
        <v>#DIV/0!</v>
      </c>
    </row>
    <row r="42" spans="1:32">
      <c r="A42" s="146" t="str">
        <f>'data&amp;corrections'!A42</f>
        <v>66-68</v>
      </c>
      <c r="B42" s="47">
        <f>'data&amp;corrections'!B42</f>
        <v>-67</v>
      </c>
      <c r="C42" s="47"/>
      <c r="D42" s="80" t="e">
        <f>'data&amp;corrections'!AF42</f>
        <v>#DIV/0!</v>
      </c>
      <c r="E42" s="80" t="e">
        <f>'data&amp;corrections'!AG42</f>
        <v>#DIV/0!</v>
      </c>
      <c r="F42" s="92" t="e">
        <f t="shared" si="16"/>
        <v>#DIV/0!</v>
      </c>
      <c r="G42" s="80" t="e">
        <f t="shared" si="17"/>
        <v>#DIV/0!</v>
      </c>
      <c r="H42" s="80"/>
      <c r="I42" s="80" t="e">
        <f>'data&amp;corrections'!AM42</f>
        <v>#DIV/0!</v>
      </c>
      <c r="J42" s="80" t="e">
        <f>'data&amp;corrections'!AN42</f>
        <v>#DIV/0!</v>
      </c>
      <c r="K42" s="80"/>
      <c r="L42" s="80" t="e">
        <f>'data&amp;corrections'!BM42</f>
        <v>#DIV/0!</v>
      </c>
      <c r="M42" s="80" t="e">
        <f>'data&amp;corrections'!BN42</f>
        <v>#DIV/0!</v>
      </c>
      <c r="N42" s="80" t="e">
        <f>'data&amp;corrections'!BL42</f>
        <v>#DIV/0!</v>
      </c>
      <c r="O42" s="16"/>
      <c r="P42" s="80" t="e">
        <f>IF('data&amp;corrections'!BE42&gt;0,'data&amp;corrections'!BE42,0)</f>
        <v>#DIV/0!</v>
      </c>
      <c r="Q42" s="80" t="e">
        <f>IF('data&amp;corrections'!BF42&gt;0,'data&amp;corrections'!BF42,0)</f>
        <v>#DIV/0!</v>
      </c>
      <c r="R42" s="80"/>
      <c r="S42" s="81" t="e">
        <f>'data&amp;corrections'!AV42</f>
        <v>#DIV/0!</v>
      </c>
      <c r="T42" s="80" t="e">
        <f>'data&amp;corrections'!AW42</f>
        <v>#DIV/0!</v>
      </c>
      <c r="U42" s="16"/>
      <c r="V42" s="80">
        <f>(1-'data&amp;corrections'!M42)*2.5</f>
        <v>0.59823014176925648</v>
      </c>
      <c r="W42" s="80">
        <f>(1-'data&amp;corrections'!M42)*0.24</f>
        <v>5.7430093609848618E-2</v>
      </c>
      <c r="X42" s="80" t="e">
        <f t="shared" si="18"/>
        <v>#DIV/0!</v>
      </c>
      <c r="Y42" s="80" t="e">
        <f t="shared" si="19"/>
        <v>#DIV/0!</v>
      </c>
      <c r="Z42" s="80" t="e">
        <f t="shared" si="20"/>
        <v>#DIV/0!</v>
      </c>
      <c r="AA42" s="80" t="e">
        <f t="shared" si="21"/>
        <v>#DIV/0!</v>
      </c>
      <c r="AB42" s="80" t="e">
        <f t="shared" si="22"/>
        <v>#DIV/0!</v>
      </c>
      <c r="AC42" s="47"/>
      <c r="AD42" s="80">
        <f>'data&amp;corrections'!CA42</f>
        <v>0</v>
      </c>
      <c r="AE42" s="47"/>
      <c r="AF42" s="80" t="e">
        <f t="shared" si="23"/>
        <v>#DIV/0!</v>
      </c>
    </row>
    <row r="43" spans="1:32">
      <c r="A43" s="146" t="str">
        <f>'data&amp;corrections'!A43</f>
        <v>68-70</v>
      </c>
      <c r="B43" s="47">
        <f>'data&amp;corrections'!B43</f>
        <v>-69</v>
      </c>
      <c r="C43" s="47"/>
      <c r="D43" s="80" t="e">
        <f>'data&amp;corrections'!AF43</f>
        <v>#DIV/0!</v>
      </c>
      <c r="E43" s="80" t="e">
        <f>'data&amp;corrections'!AG43</f>
        <v>#DIV/0!</v>
      </c>
      <c r="F43" s="92" t="e">
        <f t="shared" si="16"/>
        <v>#DIV/0!</v>
      </c>
      <c r="G43" s="80" t="e">
        <f t="shared" si="17"/>
        <v>#DIV/0!</v>
      </c>
      <c r="H43" s="80"/>
      <c r="I43" s="80" t="e">
        <f>'data&amp;corrections'!AM43</f>
        <v>#DIV/0!</v>
      </c>
      <c r="J43" s="80" t="e">
        <f>'data&amp;corrections'!AN43</f>
        <v>#DIV/0!</v>
      </c>
      <c r="K43" s="80"/>
      <c r="L43" s="80" t="e">
        <f>'data&amp;corrections'!BM43</f>
        <v>#DIV/0!</v>
      </c>
      <c r="M43" s="80" t="e">
        <f>'data&amp;corrections'!BN43</f>
        <v>#DIV/0!</v>
      </c>
      <c r="N43" s="80" t="e">
        <f>'data&amp;corrections'!BL43</f>
        <v>#DIV/0!</v>
      </c>
      <c r="O43" s="16"/>
      <c r="P43" s="80" t="e">
        <f>IF('data&amp;corrections'!BE43&gt;0,'data&amp;corrections'!BE43,0)</f>
        <v>#DIV/0!</v>
      </c>
      <c r="Q43" s="80" t="e">
        <f>IF('data&amp;corrections'!BF43&gt;0,'data&amp;corrections'!BF43,0)</f>
        <v>#DIV/0!</v>
      </c>
      <c r="R43" s="80"/>
      <c r="S43" s="81" t="e">
        <f>'data&amp;corrections'!AV43</f>
        <v>#DIV/0!</v>
      </c>
      <c r="T43" s="80" t="e">
        <f>'data&amp;corrections'!AW43</f>
        <v>#DIV/0!</v>
      </c>
      <c r="U43" s="16"/>
      <c r="V43" s="80">
        <f>(1-'data&amp;corrections'!M43)*2.5</f>
        <v>0.63316560488234808</v>
      </c>
      <c r="W43" s="80">
        <f>(1-'data&amp;corrections'!M43)*0.24</f>
        <v>6.0783898068705412E-2</v>
      </c>
      <c r="X43" s="80" t="e">
        <f t="shared" si="18"/>
        <v>#DIV/0!</v>
      </c>
      <c r="Y43" s="80" t="e">
        <f t="shared" si="19"/>
        <v>#DIV/0!</v>
      </c>
      <c r="Z43" s="80" t="e">
        <f t="shared" si="20"/>
        <v>#DIV/0!</v>
      </c>
      <c r="AA43" s="80" t="e">
        <f t="shared" si="21"/>
        <v>#DIV/0!</v>
      </c>
      <c r="AB43" s="80" t="e">
        <f t="shared" si="22"/>
        <v>#DIV/0!</v>
      </c>
      <c r="AC43" s="47"/>
      <c r="AD43" s="80">
        <f>'data&amp;corrections'!CA43</f>
        <v>0</v>
      </c>
      <c r="AE43" s="47"/>
      <c r="AF43" s="80" t="e">
        <f t="shared" si="23"/>
        <v>#DIV/0!</v>
      </c>
    </row>
    <row r="44" spans="1:32">
      <c r="A44" s="146" t="str">
        <f>'data&amp;corrections'!A44</f>
        <v>70-72</v>
      </c>
      <c r="B44" s="47">
        <f>'data&amp;corrections'!B44</f>
        <v>-71</v>
      </c>
      <c r="C44" s="47"/>
      <c r="D44" s="80" t="e">
        <f>'data&amp;corrections'!AF44</f>
        <v>#DIV/0!</v>
      </c>
      <c r="E44" s="80" t="e">
        <f>'data&amp;corrections'!AG44</f>
        <v>#DIV/0!</v>
      </c>
      <c r="F44" s="92" t="e">
        <f t="shared" si="16"/>
        <v>#DIV/0!</v>
      </c>
      <c r="G44" s="80" t="e">
        <f t="shared" si="17"/>
        <v>#DIV/0!</v>
      </c>
      <c r="H44" s="80"/>
      <c r="I44" s="80" t="e">
        <f>'data&amp;corrections'!AM44</f>
        <v>#DIV/0!</v>
      </c>
      <c r="J44" s="80" t="e">
        <f>'data&amp;corrections'!AN44</f>
        <v>#DIV/0!</v>
      </c>
      <c r="K44" s="80"/>
      <c r="L44" s="80" t="e">
        <f>'data&amp;corrections'!BM44</f>
        <v>#DIV/0!</v>
      </c>
      <c r="M44" s="80" t="e">
        <f>'data&amp;corrections'!BN44</f>
        <v>#DIV/0!</v>
      </c>
      <c r="N44" s="80" t="e">
        <f>'data&amp;corrections'!BL44</f>
        <v>#DIV/0!</v>
      </c>
      <c r="O44" s="16"/>
      <c r="P44" s="80" t="e">
        <f>IF('data&amp;corrections'!BE44&gt;0,'data&amp;corrections'!BE44,0)</f>
        <v>#DIV/0!</v>
      </c>
      <c r="Q44" s="80" t="e">
        <f>IF('data&amp;corrections'!BF44&gt;0,'data&amp;corrections'!BF44,0)</f>
        <v>#DIV/0!</v>
      </c>
      <c r="R44" s="80"/>
      <c r="S44" s="81" t="e">
        <f>'data&amp;corrections'!AV44</f>
        <v>#DIV/0!</v>
      </c>
      <c r="T44" s="80" t="e">
        <f>'data&amp;corrections'!AW44</f>
        <v>#DIV/0!</v>
      </c>
      <c r="U44" s="16"/>
      <c r="V44" s="80">
        <f>(1-'data&amp;corrections'!M44)*2.5</f>
        <v>0.64396457339485424</v>
      </c>
      <c r="W44" s="80">
        <f>(1-'data&amp;corrections'!M44)*0.24</f>
        <v>6.1820599045906012E-2</v>
      </c>
      <c r="X44" s="80" t="e">
        <f t="shared" si="18"/>
        <v>#DIV/0!</v>
      </c>
      <c r="Y44" s="80" t="e">
        <f t="shared" si="19"/>
        <v>#DIV/0!</v>
      </c>
      <c r="Z44" s="80" t="e">
        <f t="shared" si="20"/>
        <v>#DIV/0!</v>
      </c>
      <c r="AA44" s="80" t="e">
        <f t="shared" si="21"/>
        <v>#DIV/0!</v>
      </c>
      <c r="AB44" s="80" t="e">
        <f t="shared" si="22"/>
        <v>#DIV/0!</v>
      </c>
      <c r="AC44" s="47"/>
      <c r="AD44" s="80">
        <f>'data&amp;corrections'!CA44</f>
        <v>0</v>
      </c>
      <c r="AE44" s="47"/>
      <c r="AF44" s="80" t="e">
        <f t="shared" si="23"/>
        <v>#DIV/0!</v>
      </c>
    </row>
    <row r="45" spans="1:32">
      <c r="A45" s="146" t="str">
        <f>'data&amp;corrections'!A45</f>
        <v>72-74</v>
      </c>
      <c r="B45" s="47">
        <f>'data&amp;corrections'!B45</f>
        <v>-73</v>
      </c>
      <c r="C45" s="47"/>
      <c r="D45" s="80" t="e">
        <f>'data&amp;corrections'!AF45</f>
        <v>#DIV/0!</v>
      </c>
      <c r="E45" s="80" t="e">
        <f>'data&amp;corrections'!AG45</f>
        <v>#DIV/0!</v>
      </c>
      <c r="F45" s="92" t="e">
        <f t="shared" si="16"/>
        <v>#DIV/0!</v>
      </c>
      <c r="G45" s="80" t="e">
        <f t="shared" si="17"/>
        <v>#DIV/0!</v>
      </c>
      <c r="H45" s="80"/>
      <c r="I45" s="80" t="e">
        <f>'data&amp;corrections'!AM45</f>
        <v>#DIV/0!</v>
      </c>
      <c r="J45" s="80" t="e">
        <f>'data&amp;corrections'!AN45</f>
        <v>#DIV/0!</v>
      </c>
      <c r="K45" s="80"/>
      <c r="L45" s="80" t="e">
        <f>'data&amp;corrections'!BM45</f>
        <v>#DIV/0!</v>
      </c>
      <c r="M45" s="80" t="e">
        <f>'data&amp;corrections'!BN45</f>
        <v>#DIV/0!</v>
      </c>
      <c r="N45" s="80" t="e">
        <f>'data&amp;corrections'!BL45</f>
        <v>#DIV/0!</v>
      </c>
      <c r="O45" s="16"/>
      <c r="P45" s="80" t="e">
        <f>IF('data&amp;corrections'!BE45&gt;0,'data&amp;corrections'!BE45,0)</f>
        <v>#DIV/0!</v>
      </c>
      <c r="Q45" s="80" t="e">
        <f>IF('data&amp;corrections'!BF45&gt;0,'data&amp;corrections'!BF45,0)</f>
        <v>#DIV/0!</v>
      </c>
      <c r="R45" s="80"/>
      <c r="S45" s="81" t="e">
        <f>'data&amp;corrections'!AV45</f>
        <v>#DIV/0!</v>
      </c>
      <c r="T45" s="80" t="e">
        <f>'data&amp;corrections'!AW45</f>
        <v>#DIV/0!</v>
      </c>
      <c r="U45" s="16"/>
      <c r="V45" s="80">
        <f>(1-'data&amp;corrections'!M45)*2.5</f>
        <v>0.65033178603694819</v>
      </c>
      <c r="W45" s="80">
        <f>(1-'data&amp;corrections'!M45)*0.24</f>
        <v>6.2431851459547022E-2</v>
      </c>
      <c r="X45" s="80" t="e">
        <f t="shared" si="18"/>
        <v>#DIV/0!</v>
      </c>
      <c r="Y45" s="80" t="e">
        <f t="shared" si="19"/>
        <v>#DIV/0!</v>
      </c>
      <c r="Z45" s="80" t="e">
        <f t="shared" si="20"/>
        <v>#DIV/0!</v>
      </c>
      <c r="AA45" s="80" t="e">
        <f t="shared" si="21"/>
        <v>#DIV/0!</v>
      </c>
      <c r="AB45" s="80" t="e">
        <f t="shared" si="22"/>
        <v>#DIV/0!</v>
      </c>
      <c r="AC45" s="47"/>
      <c r="AD45" s="80">
        <f>'data&amp;corrections'!CA45</f>
        <v>0</v>
      </c>
      <c r="AE45" s="47"/>
      <c r="AF45" s="80" t="e">
        <f t="shared" si="23"/>
        <v>#DIV/0!</v>
      </c>
    </row>
    <row r="46" spans="1:32">
      <c r="A46" s="146" t="str">
        <f>'data&amp;corrections'!A46</f>
        <v>74-76</v>
      </c>
      <c r="B46" s="47">
        <f>'data&amp;corrections'!B46</f>
        <v>-75</v>
      </c>
      <c r="C46" s="47"/>
      <c r="D46" s="80" t="e">
        <f>'data&amp;corrections'!AF46</f>
        <v>#DIV/0!</v>
      </c>
      <c r="E46" s="80" t="e">
        <f>'data&amp;corrections'!AG46</f>
        <v>#DIV/0!</v>
      </c>
      <c r="F46" s="92" t="e">
        <f t="shared" si="16"/>
        <v>#DIV/0!</v>
      </c>
      <c r="G46" s="80" t="e">
        <f t="shared" si="17"/>
        <v>#DIV/0!</v>
      </c>
      <c r="H46" s="80"/>
      <c r="I46" s="80" t="e">
        <f>'data&amp;corrections'!AM46</f>
        <v>#DIV/0!</v>
      </c>
      <c r="J46" s="80" t="e">
        <f>'data&amp;corrections'!AN46</f>
        <v>#DIV/0!</v>
      </c>
      <c r="K46" s="80"/>
      <c r="L46" s="80" t="e">
        <f>'data&amp;corrections'!BM46</f>
        <v>#DIV/0!</v>
      </c>
      <c r="M46" s="80" t="e">
        <f>'data&amp;corrections'!BN46</f>
        <v>#DIV/0!</v>
      </c>
      <c r="N46" s="80" t="e">
        <f>'data&amp;corrections'!BL46</f>
        <v>#DIV/0!</v>
      </c>
      <c r="O46" s="16"/>
      <c r="P46" s="80" t="e">
        <f>IF('data&amp;corrections'!BE46&gt;0,'data&amp;corrections'!BE46,0)</f>
        <v>#DIV/0!</v>
      </c>
      <c r="Q46" s="80" t="e">
        <f>IF('data&amp;corrections'!BF46&gt;0,'data&amp;corrections'!BF46,0)</f>
        <v>#DIV/0!</v>
      </c>
      <c r="R46" s="80"/>
      <c r="S46" s="81" t="e">
        <f>'data&amp;corrections'!AV46</f>
        <v>#DIV/0!</v>
      </c>
      <c r="T46" s="80" t="e">
        <f>'data&amp;corrections'!AW46</f>
        <v>#DIV/0!</v>
      </c>
      <c r="U46" s="16"/>
      <c r="V46" s="80">
        <f>(1-'data&amp;corrections'!M46)*2.5</f>
        <v>0.64660663055638612</v>
      </c>
      <c r="W46" s="80">
        <f>(1-'data&amp;corrections'!M46)*0.24</f>
        <v>6.2074236533413069E-2</v>
      </c>
      <c r="X46" s="80" t="e">
        <f t="shared" si="18"/>
        <v>#DIV/0!</v>
      </c>
      <c r="Y46" s="80" t="e">
        <f t="shared" si="19"/>
        <v>#DIV/0!</v>
      </c>
      <c r="Z46" s="80" t="e">
        <f t="shared" si="20"/>
        <v>#DIV/0!</v>
      </c>
      <c r="AA46" s="80" t="e">
        <f t="shared" si="21"/>
        <v>#DIV/0!</v>
      </c>
      <c r="AB46" s="80" t="e">
        <f t="shared" si="22"/>
        <v>#DIV/0!</v>
      </c>
      <c r="AC46" s="47"/>
      <c r="AD46" s="80">
        <f>'data&amp;corrections'!CA46</f>
        <v>0</v>
      </c>
      <c r="AE46" s="47"/>
      <c r="AF46" s="80" t="e">
        <f t="shared" si="23"/>
        <v>#DIV/0!</v>
      </c>
    </row>
    <row r="47" spans="1:32">
      <c r="A47" s="146" t="str">
        <f>'data&amp;corrections'!A47</f>
        <v>76-78</v>
      </c>
      <c r="B47" s="47">
        <f>'data&amp;corrections'!B47</f>
        <v>-77</v>
      </c>
      <c r="C47" s="47"/>
      <c r="D47" s="80" t="e">
        <f>'data&amp;corrections'!AF47</f>
        <v>#DIV/0!</v>
      </c>
      <c r="E47" s="80" t="e">
        <f>'data&amp;corrections'!AG47</f>
        <v>#DIV/0!</v>
      </c>
      <c r="F47" s="92" t="e">
        <f t="shared" si="16"/>
        <v>#DIV/0!</v>
      </c>
      <c r="G47" s="80" t="e">
        <f t="shared" si="17"/>
        <v>#DIV/0!</v>
      </c>
      <c r="H47" s="80"/>
      <c r="I47" s="80" t="e">
        <f>'data&amp;corrections'!AM47</f>
        <v>#DIV/0!</v>
      </c>
      <c r="J47" s="80" t="e">
        <f>'data&amp;corrections'!AN47</f>
        <v>#DIV/0!</v>
      </c>
      <c r="K47" s="80"/>
      <c r="L47" s="80" t="e">
        <f>'data&amp;corrections'!BM47</f>
        <v>#DIV/0!</v>
      </c>
      <c r="M47" s="80" t="e">
        <f>'data&amp;corrections'!BN47</f>
        <v>#DIV/0!</v>
      </c>
      <c r="N47" s="80" t="e">
        <f>'data&amp;corrections'!BL47</f>
        <v>#DIV/0!</v>
      </c>
      <c r="O47" s="16"/>
      <c r="P47" s="80" t="e">
        <f>IF('data&amp;corrections'!BE47&gt;0,'data&amp;corrections'!BE47,0)</f>
        <v>#DIV/0!</v>
      </c>
      <c r="Q47" s="80" t="e">
        <f>IF('data&amp;corrections'!BF47&gt;0,'data&amp;corrections'!BF47,0)</f>
        <v>#DIV/0!</v>
      </c>
      <c r="R47" s="80"/>
      <c r="S47" s="81" t="e">
        <f>'data&amp;corrections'!AV47</f>
        <v>#DIV/0!</v>
      </c>
      <c r="T47" s="80" t="e">
        <f>'data&amp;corrections'!AW47</f>
        <v>#DIV/0!</v>
      </c>
      <c r="U47" s="16"/>
      <c r="V47" s="80">
        <f>(1-'data&amp;corrections'!M47)*2.5</f>
        <v>0.69142993204754832</v>
      </c>
      <c r="W47" s="80">
        <f>(1-'data&amp;corrections'!M47)*0.24</f>
        <v>6.6377273476564636E-2</v>
      </c>
      <c r="X47" s="80" t="e">
        <f t="shared" si="18"/>
        <v>#DIV/0!</v>
      </c>
      <c r="Y47" s="80" t="e">
        <f t="shared" si="19"/>
        <v>#DIV/0!</v>
      </c>
      <c r="Z47" s="80" t="e">
        <f t="shared" si="20"/>
        <v>#DIV/0!</v>
      </c>
      <c r="AA47" s="80" t="e">
        <f t="shared" si="21"/>
        <v>#DIV/0!</v>
      </c>
      <c r="AB47" s="80" t="e">
        <f t="shared" si="22"/>
        <v>#DIV/0!</v>
      </c>
      <c r="AC47" s="47"/>
      <c r="AD47" s="80">
        <f>'data&amp;corrections'!CA47</f>
        <v>0</v>
      </c>
      <c r="AE47" s="47"/>
      <c r="AF47" s="80" t="e">
        <f t="shared" si="23"/>
        <v>#DIV/0!</v>
      </c>
    </row>
    <row r="48" spans="1:32">
      <c r="A48" s="146" t="str">
        <f>'data&amp;corrections'!A48</f>
        <v>78-80</v>
      </c>
      <c r="B48" s="47">
        <f>'data&amp;corrections'!B48</f>
        <v>-79</v>
      </c>
      <c r="C48" s="47"/>
      <c r="D48" s="80" t="e">
        <f>'data&amp;corrections'!AF48</f>
        <v>#DIV/0!</v>
      </c>
      <c r="E48" s="80" t="e">
        <f>'data&amp;corrections'!AG48</f>
        <v>#DIV/0!</v>
      </c>
      <c r="F48" s="92" t="e">
        <f t="shared" si="16"/>
        <v>#DIV/0!</v>
      </c>
      <c r="G48" s="80" t="e">
        <f t="shared" si="17"/>
        <v>#DIV/0!</v>
      </c>
      <c r="H48" s="80"/>
      <c r="I48" s="80" t="e">
        <f>'data&amp;corrections'!AM48</f>
        <v>#DIV/0!</v>
      </c>
      <c r="J48" s="80" t="e">
        <f>'data&amp;corrections'!AN48</f>
        <v>#DIV/0!</v>
      </c>
      <c r="K48" s="80"/>
      <c r="L48" s="80" t="e">
        <f>'data&amp;corrections'!BM48</f>
        <v>#DIV/0!</v>
      </c>
      <c r="M48" s="80" t="e">
        <f>'data&amp;corrections'!BN48</f>
        <v>#DIV/0!</v>
      </c>
      <c r="N48" s="80" t="e">
        <f>'data&amp;corrections'!BL48</f>
        <v>#DIV/0!</v>
      </c>
      <c r="O48" s="16"/>
      <c r="P48" s="80" t="e">
        <f>IF('data&amp;corrections'!BE48&gt;0,'data&amp;corrections'!BE48,0)</f>
        <v>#DIV/0!</v>
      </c>
      <c r="Q48" s="80" t="e">
        <f>IF('data&amp;corrections'!BF48&gt;0,'data&amp;corrections'!BF48,0)</f>
        <v>#DIV/0!</v>
      </c>
      <c r="R48" s="80"/>
      <c r="S48" s="81" t="e">
        <f>'data&amp;corrections'!AV48</f>
        <v>#DIV/0!</v>
      </c>
      <c r="T48" s="80" t="e">
        <f>'data&amp;corrections'!AW48</f>
        <v>#DIV/0!</v>
      </c>
      <c r="U48" s="16"/>
      <c r="V48" s="80">
        <f>(1-'data&amp;corrections'!M48)*2.5</f>
        <v>0.6898128227194491</v>
      </c>
      <c r="W48" s="80">
        <f>(1-'data&amp;corrections'!M48)*0.24</f>
        <v>6.6222030981067118E-2</v>
      </c>
      <c r="X48" s="80" t="e">
        <f t="shared" si="18"/>
        <v>#DIV/0!</v>
      </c>
      <c r="Y48" s="80" t="e">
        <f t="shared" si="19"/>
        <v>#DIV/0!</v>
      </c>
      <c r="Z48" s="80" t="e">
        <f t="shared" si="20"/>
        <v>#DIV/0!</v>
      </c>
      <c r="AA48" s="80" t="e">
        <f t="shared" si="21"/>
        <v>#DIV/0!</v>
      </c>
      <c r="AB48" s="80" t="e">
        <f t="shared" si="22"/>
        <v>#DIV/0!</v>
      </c>
      <c r="AC48" s="47"/>
      <c r="AD48" s="80">
        <f>'data&amp;corrections'!CA48</f>
        <v>0</v>
      </c>
      <c r="AE48" s="47"/>
      <c r="AF48" s="80" t="e">
        <f t="shared" si="23"/>
        <v>#DIV/0!</v>
      </c>
    </row>
    <row r="49" spans="1:32">
      <c r="A49" s="146" t="str">
        <f>'data&amp;corrections'!A49</f>
        <v>80-81</v>
      </c>
      <c r="B49" s="47">
        <f>'data&amp;corrections'!B49</f>
        <v>-80.5</v>
      </c>
      <c r="C49" s="47"/>
      <c r="D49" s="80" t="e">
        <f>'data&amp;corrections'!AF49</f>
        <v>#DIV/0!</v>
      </c>
      <c r="E49" s="80" t="e">
        <f>'data&amp;corrections'!AG49</f>
        <v>#DIV/0!</v>
      </c>
      <c r="F49" s="92" t="e">
        <f t="shared" si="16"/>
        <v>#DIV/0!</v>
      </c>
      <c r="G49" s="80" t="e">
        <f t="shared" si="17"/>
        <v>#DIV/0!</v>
      </c>
      <c r="H49" s="80"/>
      <c r="I49" s="80" t="e">
        <f>'data&amp;corrections'!AM49</f>
        <v>#DIV/0!</v>
      </c>
      <c r="J49" s="80" t="e">
        <f>'data&amp;corrections'!AN49</f>
        <v>#DIV/0!</v>
      </c>
      <c r="K49" s="80"/>
      <c r="L49" s="80" t="e">
        <f>'data&amp;corrections'!BM49</f>
        <v>#DIV/0!</v>
      </c>
      <c r="M49" s="80" t="e">
        <f>'data&amp;corrections'!BN49</f>
        <v>#DIV/0!</v>
      </c>
      <c r="N49" s="80" t="e">
        <f>'data&amp;corrections'!BL49</f>
        <v>#DIV/0!</v>
      </c>
      <c r="O49" s="16"/>
      <c r="P49" s="80" t="e">
        <f>IF('data&amp;corrections'!BE49&gt;0,'data&amp;corrections'!BE49,0)</f>
        <v>#DIV/0!</v>
      </c>
      <c r="Q49" s="80" t="e">
        <f>IF('data&amp;corrections'!BF49&gt;0,'data&amp;corrections'!BF49,0)</f>
        <v>#DIV/0!</v>
      </c>
      <c r="R49" s="80"/>
      <c r="S49" s="81" t="e">
        <f>'data&amp;corrections'!AV49</f>
        <v>#DIV/0!</v>
      </c>
      <c r="T49" s="80" t="e">
        <f>'data&amp;corrections'!AW49</f>
        <v>#DIV/0!</v>
      </c>
      <c r="U49" s="16"/>
      <c r="V49" s="80">
        <f>(1-'data&amp;corrections'!M49)*2.5</f>
        <v>0.84618658667585467</v>
      </c>
      <c r="W49" s="80">
        <f>(1-'data&amp;corrections'!M49)*0.24</f>
        <v>8.1233912320882048E-2</v>
      </c>
      <c r="X49" s="80" t="e">
        <f t="shared" si="18"/>
        <v>#DIV/0!</v>
      </c>
      <c r="Y49" s="80" t="e">
        <f t="shared" si="19"/>
        <v>#DIV/0!</v>
      </c>
      <c r="Z49" s="80" t="e">
        <f t="shared" si="20"/>
        <v>#DIV/0!</v>
      </c>
      <c r="AA49" s="80" t="e">
        <f t="shared" si="21"/>
        <v>#DIV/0!</v>
      </c>
      <c r="AB49" s="80" t="e">
        <f t="shared" si="22"/>
        <v>#DIV/0!</v>
      </c>
      <c r="AC49" s="47"/>
      <c r="AD49" s="80" t="e">
        <f>'data&amp;corrections'!CA49</f>
        <v>#DIV/0!</v>
      </c>
      <c r="AE49" s="47"/>
      <c r="AF49" s="80" t="e">
        <f t="shared" si="23"/>
        <v>#DIV/0!</v>
      </c>
    </row>
    <row r="50" spans="1:32">
      <c r="A50" s="146" t="str">
        <f>'data&amp;corrections'!A50</f>
        <v>81-82</v>
      </c>
      <c r="B50" s="47">
        <f>'data&amp;corrections'!B50</f>
        <v>-81.5</v>
      </c>
      <c r="C50" s="47"/>
      <c r="D50" s="80" t="e">
        <f>'data&amp;corrections'!AF50</f>
        <v>#DIV/0!</v>
      </c>
      <c r="E50" s="80" t="e">
        <f>'data&amp;corrections'!AG50</f>
        <v>#DIV/0!</v>
      </c>
      <c r="F50" s="92" t="e">
        <f t="shared" si="16"/>
        <v>#DIV/0!</v>
      </c>
      <c r="G50" s="80" t="e">
        <f t="shared" si="17"/>
        <v>#DIV/0!</v>
      </c>
      <c r="H50" s="80"/>
      <c r="I50" s="80" t="e">
        <f>'data&amp;corrections'!AM50</f>
        <v>#DIV/0!</v>
      </c>
      <c r="J50" s="80" t="e">
        <f>'data&amp;corrections'!AN50</f>
        <v>#DIV/0!</v>
      </c>
      <c r="K50" s="80"/>
      <c r="L50" s="80" t="e">
        <f>'data&amp;corrections'!BM50</f>
        <v>#DIV/0!</v>
      </c>
      <c r="M50" s="80" t="e">
        <f>'data&amp;corrections'!BN50</f>
        <v>#DIV/0!</v>
      </c>
      <c r="N50" s="80" t="e">
        <f>'data&amp;corrections'!BL50</f>
        <v>#DIV/0!</v>
      </c>
      <c r="O50" s="16"/>
      <c r="P50" s="80" t="e">
        <f>IF('data&amp;corrections'!BE50&gt;0,'data&amp;corrections'!BE50,0)</f>
        <v>#DIV/0!</v>
      </c>
      <c r="Q50" s="80" t="e">
        <f>IF('data&amp;corrections'!BF50&gt;0,'data&amp;corrections'!BF50,0)</f>
        <v>#DIV/0!</v>
      </c>
      <c r="R50" s="80"/>
      <c r="S50" s="81" t="e">
        <f>'data&amp;corrections'!AV50</f>
        <v>#DIV/0!</v>
      </c>
      <c r="T50" s="80" t="e">
        <f>'data&amp;corrections'!AW50</f>
        <v>#DIV/0!</v>
      </c>
      <c r="U50" s="16"/>
      <c r="V50" s="80">
        <f>(1-'data&amp;corrections'!M50)*2.5</f>
        <v>1.2056610910313525</v>
      </c>
      <c r="W50" s="80">
        <f>(1-'data&amp;corrections'!M50)*0.24</f>
        <v>0.11574346473900984</v>
      </c>
      <c r="X50" s="80" t="e">
        <f t="shared" si="18"/>
        <v>#DIV/0!</v>
      </c>
      <c r="Y50" s="80" t="e">
        <f t="shared" si="19"/>
        <v>#DIV/0!</v>
      </c>
      <c r="Z50" s="80" t="e">
        <f t="shared" si="20"/>
        <v>#DIV/0!</v>
      </c>
      <c r="AA50" s="80" t="e">
        <f t="shared" si="21"/>
        <v>#DIV/0!</v>
      </c>
      <c r="AB50" s="80" t="e">
        <f t="shared" si="22"/>
        <v>#DIV/0!</v>
      </c>
      <c r="AC50" s="47"/>
      <c r="AD50" s="80">
        <f>'data&amp;corrections'!CA50</f>
        <v>0</v>
      </c>
      <c r="AE50" s="47"/>
      <c r="AF50" s="80" t="e">
        <f t="shared" si="23"/>
        <v>#DIV/0!</v>
      </c>
    </row>
    <row r="51" spans="1:32">
      <c r="A51" s="146" t="str">
        <f>'data&amp;corrections'!A51</f>
        <v>82-83</v>
      </c>
      <c r="B51" s="47">
        <f>'data&amp;corrections'!B51</f>
        <v>-82.5</v>
      </c>
      <c r="C51" s="47"/>
      <c r="D51" s="80" t="e">
        <f>'data&amp;corrections'!AF51</f>
        <v>#DIV/0!</v>
      </c>
      <c r="E51" s="80" t="e">
        <f>'data&amp;corrections'!AG51</f>
        <v>#DIV/0!</v>
      </c>
      <c r="F51" s="92" t="e">
        <f t="shared" si="16"/>
        <v>#DIV/0!</v>
      </c>
      <c r="G51" s="80" t="e">
        <f t="shared" si="17"/>
        <v>#DIV/0!</v>
      </c>
      <c r="H51" s="80"/>
      <c r="I51" s="80" t="e">
        <f>'data&amp;corrections'!AM51</f>
        <v>#DIV/0!</v>
      </c>
      <c r="J51" s="80" t="e">
        <f>'data&amp;corrections'!AN51</f>
        <v>#DIV/0!</v>
      </c>
      <c r="K51" s="80"/>
      <c r="L51" s="80" t="e">
        <f>'data&amp;corrections'!BM51</f>
        <v>#DIV/0!</v>
      </c>
      <c r="M51" s="80" t="e">
        <f>'data&amp;corrections'!BN51</f>
        <v>#DIV/0!</v>
      </c>
      <c r="N51" s="80" t="e">
        <f>'data&amp;corrections'!BL51</f>
        <v>#DIV/0!</v>
      </c>
      <c r="O51" s="16"/>
      <c r="P51" s="80" t="e">
        <f>IF('data&amp;corrections'!BE51&gt;0,'data&amp;corrections'!BE51,0)</f>
        <v>#DIV/0!</v>
      </c>
      <c r="Q51" s="80" t="e">
        <f>IF('data&amp;corrections'!BF51&gt;0,'data&amp;corrections'!BF51,0)</f>
        <v>#DIV/0!</v>
      </c>
      <c r="R51" s="80"/>
      <c r="S51" s="81" t="e">
        <f>'data&amp;corrections'!AV51</f>
        <v>#DIV/0!</v>
      </c>
      <c r="T51" s="80" t="e">
        <f>'data&amp;corrections'!AW51</f>
        <v>#DIV/0!</v>
      </c>
      <c r="U51" s="16"/>
      <c r="V51" s="80">
        <f>(1-'data&amp;corrections'!M51)*2.5</f>
        <v>1.2262845330483683</v>
      </c>
      <c r="W51" s="80">
        <f>(1-'data&amp;corrections'!M51)*0.24</f>
        <v>0.11772331517264334</v>
      </c>
      <c r="X51" s="80" t="e">
        <f t="shared" si="18"/>
        <v>#DIV/0!</v>
      </c>
      <c r="Y51" s="80" t="e">
        <f t="shared" si="19"/>
        <v>#DIV/0!</v>
      </c>
      <c r="Z51" s="80" t="e">
        <f t="shared" si="20"/>
        <v>#DIV/0!</v>
      </c>
      <c r="AA51" s="80" t="e">
        <f t="shared" si="21"/>
        <v>#DIV/0!</v>
      </c>
      <c r="AB51" s="80" t="e">
        <f t="shared" si="22"/>
        <v>#DIV/0!</v>
      </c>
      <c r="AC51" s="47"/>
      <c r="AD51" s="80">
        <f>'data&amp;corrections'!CA51</f>
        <v>0</v>
      </c>
      <c r="AE51" s="47"/>
      <c r="AF51" s="80" t="e">
        <f t="shared" si="23"/>
        <v>#DIV/0!</v>
      </c>
    </row>
    <row r="52" spans="1:32">
      <c r="A52" s="146" t="str">
        <f>'data&amp;corrections'!A52</f>
        <v>83-84</v>
      </c>
      <c r="B52" s="47">
        <f>'data&amp;corrections'!B52</f>
        <v>-83.5</v>
      </c>
      <c r="C52" s="47"/>
      <c r="D52" s="80" t="e">
        <f>'data&amp;corrections'!AF52</f>
        <v>#DIV/0!</v>
      </c>
      <c r="E52" s="80" t="e">
        <f>'data&amp;corrections'!AG52</f>
        <v>#DIV/0!</v>
      </c>
      <c r="F52" s="92" t="e">
        <f t="shared" si="16"/>
        <v>#DIV/0!</v>
      </c>
      <c r="G52" s="80" t="e">
        <f t="shared" si="17"/>
        <v>#DIV/0!</v>
      </c>
      <c r="H52" s="80"/>
      <c r="I52" s="80" t="e">
        <f>'data&amp;corrections'!AM52</f>
        <v>#DIV/0!</v>
      </c>
      <c r="J52" s="80" t="e">
        <f>'data&amp;corrections'!AN52</f>
        <v>#DIV/0!</v>
      </c>
      <c r="K52" s="80"/>
      <c r="L52" s="80" t="e">
        <f>'data&amp;corrections'!BM52</f>
        <v>#DIV/0!</v>
      </c>
      <c r="M52" s="80" t="e">
        <f>'data&amp;corrections'!BN52</f>
        <v>#DIV/0!</v>
      </c>
      <c r="N52" s="80" t="e">
        <f>'data&amp;corrections'!BL52</f>
        <v>#DIV/0!</v>
      </c>
      <c r="O52" s="16"/>
      <c r="P52" s="80" t="e">
        <f>IF('data&amp;corrections'!BE52&gt;0,'data&amp;corrections'!BE52,0)</f>
        <v>#DIV/0!</v>
      </c>
      <c r="Q52" s="80" t="e">
        <f>IF('data&amp;corrections'!BF52&gt;0,'data&amp;corrections'!BF52,0)</f>
        <v>#DIV/0!</v>
      </c>
      <c r="R52" s="80"/>
      <c r="S52" s="81" t="e">
        <f>'data&amp;corrections'!AV52</f>
        <v>#DIV/0!</v>
      </c>
      <c r="T52" s="80" t="e">
        <f>'data&amp;corrections'!AW52</f>
        <v>#DIV/0!</v>
      </c>
      <c r="U52" s="16"/>
      <c r="V52" s="80">
        <f>(1-'data&amp;corrections'!M52)*2.5</f>
        <v>1.2426250707185003</v>
      </c>
      <c r="W52" s="80">
        <f>(1-'data&amp;corrections'!M52)*0.24</f>
        <v>0.11929200678897602</v>
      </c>
      <c r="X52" s="80" t="e">
        <f t="shared" si="18"/>
        <v>#DIV/0!</v>
      </c>
      <c r="Y52" s="80" t="e">
        <f t="shared" si="19"/>
        <v>#DIV/0!</v>
      </c>
      <c r="Z52" s="80" t="e">
        <f t="shared" si="20"/>
        <v>#DIV/0!</v>
      </c>
      <c r="AA52" s="80" t="e">
        <f t="shared" si="21"/>
        <v>#DIV/0!</v>
      </c>
      <c r="AB52" s="80" t="e">
        <f t="shared" si="22"/>
        <v>#DIV/0!</v>
      </c>
      <c r="AC52" s="47"/>
      <c r="AD52" s="80">
        <f>'data&amp;corrections'!CA52</f>
        <v>0</v>
      </c>
      <c r="AE52" s="47"/>
      <c r="AF52" s="80" t="e">
        <f t="shared" si="23"/>
        <v>#DIV/0!</v>
      </c>
    </row>
    <row r="53" spans="1:32">
      <c r="A53" s="146" t="str">
        <f>'data&amp;corrections'!A53</f>
        <v>84-85</v>
      </c>
      <c r="B53" s="47">
        <f>'data&amp;corrections'!B53</f>
        <v>-84.5</v>
      </c>
      <c r="C53" s="47"/>
      <c r="D53" s="80" t="e">
        <f>'data&amp;corrections'!AF53</f>
        <v>#DIV/0!</v>
      </c>
      <c r="E53" s="80" t="e">
        <f>'data&amp;corrections'!AG53</f>
        <v>#DIV/0!</v>
      </c>
      <c r="F53" s="92" t="e">
        <f t="shared" si="16"/>
        <v>#DIV/0!</v>
      </c>
      <c r="G53" s="80" t="e">
        <f t="shared" si="17"/>
        <v>#DIV/0!</v>
      </c>
      <c r="H53" s="80"/>
      <c r="I53" s="80" t="e">
        <f>'data&amp;corrections'!AM53</f>
        <v>#DIV/0!</v>
      </c>
      <c r="J53" s="80" t="e">
        <f>'data&amp;corrections'!AN53</f>
        <v>#DIV/0!</v>
      </c>
      <c r="K53" s="80"/>
      <c r="L53" s="80" t="e">
        <f>'data&amp;corrections'!BM53</f>
        <v>#DIV/0!</v>
      </c>
      <c r="M53" s="80" t="e">
        <f>'data&amp;corrections'!BN53</f>
        <v>#DIV/0!</v>
      </c>
      <c r="N53" s="80" t="e">
        <f>'data&amp;corrections'!BL53</f>
        <v>#DIV/0!</v>
      </c>
      <c r="O53" s="16"/>
      <c r="P53" s="80" t="e">
        <f>IF('data&amp;corrections'!BE53&gt;0,'data&amp;corrections'!BE53,0)</f>
        <v>#DIV/0!</v>
      </c>
      <c r="Q53" s="80" t="e">
        <f>IF('data&amp;corrections'!BF53&gt;0,'data&amp;corrections'!BF53,0)</f>
        <v>#DIV/0!</v>
      </c>
      <c r="R53" s="80"/>
      <c r="S53" s="81" t="e">
        <f>'data&amp;corrections'!AV53</f>
        <v>#DIV/0!</v>
      </c>
      <c r="T53" s="80" t="e">
        <f>'data&amp;corrections'!AW53</f>
        <v>#DIV/0!</v>
      </c>
      <c r="U53" s="16"/>
      <c r="V53" s="80">
        <f>(1-'data&amp;corrections'!M53)*2.5</f>
        <v>1.2461178635788506</v>
      </c>
      <c r="W53" s="80">
        <f>(1-'data&amp;corrections'!M53)*0.24</f>
        <v>0.11962731490356965</v>
      </c>
      <c r="X53" s="80" t="e">
        <f t="shared" si="18"/>
        <v>#DIV/0!</v>
      </c>
      <c r="Y53" s="80" t="e">
        <f t="shared" si="19"/>
        <v>#DIV/0!</v>
      </c>
      <c r="Z53" s="80" t="e">
        <f t="shared" si="20"/>
        <v>#DIV/0!</v>
      </c>
      <c r="AA53" s="80" t="e">
        <f t="shared" si="21"/>
        <v>#DIV/0!</v>
      </c>
      <c r="AB53" s="80" t="e">
        <f t="shared" si="22"/>
        <v>#DIV/0!</v>
      </c>
      <c r="AC53" s="47"/>
      <c r="AD53" s="80">
        <f>'data&amp;corrections'!CA53</f>
        <v>0</v>
      </c>
      <c r="AE53" s="47"/>
      <c r="AF53" s="80" t="e">
        <f t="shared" si="23"/>
        <v>#DIV/0!</v>
      </c>
    </row>
    <row r="54" spans="1:32">
      <c r="A54" s="146" t="str">
        <f>'data&amp;corrections'!A54</f>
        <v>85-86</v>
      </c>
      <c r="B54" s="47">
        <f>'data&amp;corrections'!B54</f>
        <v>-85.5</v>
      </c>
      <c r="C54" s="47"/>
      <c r="D54" s="80" t="e">
        <f>'data&amp;corrections'!AF54</f>
        <v>#DIV/0!</v>
      </c>
      <c r="E54" s="80" t="e">
        <f>'data&amp;corrections'!AG54</f>
        <v>#DIV/0!</v>
      </c>
      <c r="F54" s="92" t="e">
        <f t="shared" si="16"/>
        <v>#DIV/0!</v>
      </c>
      <c r="G54" s="80" t="e">
        <f t="shared" si="17"/>
        <v>#DIV/0!</v>
      </c>
      <c r="H54" s="80"/>
      <c r="I54" s="80" t="e">
        <f>'data&amp;corrections'!AM54</f>
        <v>#DIV/0!</v>
      </c>
      <c r="J54" s="80" t="e">
        <f>'data&amp;corrections'!AN54</f>
        <v>#DIV/0!</v>
      </c>
      <c r="K54" s="80"/>
      <c r="L54" s="80" t="e">
        <f>'data&amp;corrections'!BM54</f>
        <v>#DIV/0!</v>
      </c>
      <c r="M54" s="80" t="e">
        <f>'data&amp;corrections'!BN54</f>
        <v>#DIV/0!</v>
      </c>
      <c r="N54" s="80" t="e">
        <f>'data&amp;corrections'!BL54</f>
        <v>#DIV/0!</v>
      </c>
      <c r="O54" s="16"/>
      <c r="P54" s="80" t="e">
        <f>IF('data&amp;corrections'!BE54&gt;0,'data&amp;corrections'!BE54,0)</f>
        <v>#DIV/0!</v>
      </c>
      <c r="Q54" s="80" t="e">
        <f>IF('data&amp;corrections'!BF54&gt;0,'data&amp;corrections'!BF54,0)</f>
        <v>#DIV/0!</v>
      </c>
      <c r="R54" s="80"/>
      <c r="S54" s="81" t="e">
        <f>'data&amp;corrections'!AV54</f>
        <v>#DIV/0!</v>
      </c>
      <c r="T54" s="80" t="e">
        <f>'data&amp;corrections'!AW54</f>
        <v>#DIV/0!</v>
      </c>
      <c r="U54" s="16"/>
      <c r="V54" s="80">
        <f>(1-'data&amp;corrections'!M54)*2.5</f>
        <v>1.2551400975423164</v>
      </c>
      <c r="W54" s="80">
        <f>(1-'data&amp;corrections'!M54)*0.24</f>
        <v>0.12049344936406237</v>
      </c>
      <c r="X54" s="80" t="e">
        <f t="shared" si="18"/>
        <v>#DIV/0!</v>
      </c>
      <c r="Y54" s="80" t="e">
        <f t="shared" si="19"/>
        <v>#DIV/0!</v>
      </c>
      <c r="Z54" s="80" t="e">
        <f t="shared" si="20"/>
        <v>#DIV/0!</v>
      </c>
      <c r="AA54" s="80" t="e">
        <f t="shared" si="21"/>
        <v>#DIV/0!</v>
      </c>
      <c r="AB54" s="80" t="e">
        <f t="shared" si="22"/>
        <v>#DIV/0!</v>
      </c>
      <c r="AC54" s="47"/>
      <c r="AD54" s="80">
        <f>'data&amp;corrections'!CA54</f>
        <v>0</v>
      </c>
      <c r="AE54" s="47"/>
      <c r="AF54" s="80" t="e">
        <f t="shared" si="23"/>
        <v>#DIV/0!</v>
      </c>
    </row>
    <row r="55" spans="1:32">
      <c r="A55" s="146" t="str">
        <f>'data&amp;corrections'!A55</f>
        <v>86-87</v>
      </c>
      <c r="B55" s="47">
        <f>'data&amp;corrections'!B55</f>
        <v>-86.5</v>
      </c>
      <c r="C55" s="47"/>
      <c r="D55" s="80" t="e">
        <f>'data&amp;corrections'!AF55</f>
        <v>#DIV/0!</v>
      </c>
      <c r="E55" s="80" t="e">
        <f>'data&amp;corrections'!AG55</f>
        <v>#DIV/0!</v>
      </c>
      <c r="F55" s="92" t="e">
        <f t="shared" si="16"/>
        <v>#DIV/0!</v>
      </c>
      <c r="G55" s="80" t="e">
        <f t="shared" si="17"/>
        <v>#DIV/0!</v>
      </c>
      <c r="H55" s="80"/>
      <c r="I55" s="80" t="e">
        <f>'data&amp;corrections'!AM55</f>
        <v>#DIV/0!</v>
      </c>
      <c r="J55" s="80" t="e">
        <f>'data&amp;corrections'!AN55</f>
        <v>#DIV/0!</v>
      </c>
      <c r="K55" s="80"/>
      <c r="L55" s="80" t="e">
        <f>'data&amp;corrections'!BM55</f>
        <v>#DIV/0!</v>
      </c>
      <c r="M55" s="80" t="e">
        <f>'data&amp;corrections'!BN55</f>
        <v>#DIV/0!</v>
      </c>
      <c r="N55" s="80" t="e">
        <f>'data&amp;corrections'!BL55</f>
        <v>#DIV/0!</v>
      </c>
      <c r="O55" s="16"/>
      <c r="P55" s="80" t="e">
        <f>IF('data&amp;corrections'!BE55&gt;0,'data&amp;corrections'!BE55,0)</f>
        <v>#DIV/0!</v>
      </c>
      <c r="Q55" s="80" t="e">
        <f>IF('data&amp;corrections'!BF55&gt;0,'data&amp;corrections'!BF55,0)</f>
        <v>#DIV/0!</v>
      </c>
      <c r="R55" s="80"/>
      <c r="S55" s="81" t="e">
        <f>'data&amp;corrections'!AV55</f>
        <v>#DIV/0!</v>
      </c>
      <c r="T55" s="80" t="e">
        <f>'data&amp;corrections'!AW55</f>
        <v>#DIV/0!</v>
      </c>
      <c r="U55" s="16"/>
      <c r="V55" s="80">
        <f>(1-'data&amp;corrections'!M55)*2.5</f>
        <v>1.2606748697220076</v>
      </c>
      <c r="W55" s="80">
        <f>(1-'data&amp;corrections'!M55)*0.24</f>
        <v>0.12102478749331273</v>
      </c>
      <c r="X55" s="80" t="e">
        <f t="shared" si="18"/>
        <v>#DIV/0!</v>
      </c>
      <c r="Y55" s="80" t="e">
        <f t="shared" si="19"/>
        <v>#DIV/0!</v>
      </c>
      <c r="Z55" s="80" t="e">
        <f t="shared" si="20"/>
        <v>#DIV/0!</v>
      </c>
      <c r="AA55" s="80" t="e">
        <f t="shared" si="21"/>
        <v>#DIV/0!</v>
      </c>
      <c r="AB55" s="80" t="e">
        <f t="shared" si="22"/>
        <v>#DIV/0!</v>
      </c>
      <c r="AC55" s="47"/>
      <c r="AD55" s="80">
        <f>'data&amp;corrections'!CA55</f>
        <v>0</v>
      </c>
      <c r="AE55" s="47"/>
      <c r="AF55" s="80" t="e">
        <f t="shared" si="23"/>
        <v>#DIV/0!</v>
      </c>
    </row>
    <row r="56" spans="1:32">
      <c r="A56" s="146" t="str">
        <f>'data&amp;corrections'!A56</f>
        <v>87-88</v>
      </c>
      <c r="B56" s="47">
        <f>'data&amp;corrections'!B56</f>
        <v>-87.5</v>
      </c>
      <c r="C56" s="47"/>
      <c r="D56" s="80" t="e">
        <f>'data&amp;corrections'!AF56</f>
        <v>#DIV/0!</v>
      </c>
      <c r="E56" s="80" t="e">
        <f>'data&amp;corrections'!AG56</f>
        <v>#DIV/0!</v>
      </c>
      <c r="F56" s="92" t="e">
        <f t="shared" si="16"/>
        <v>#DIV/0!</v>
      </c>
      <c r="G56" s="80" t="e">
        <f t="shared" si="17"/>
        <v>#DIV/0!</v>
      </c>
      <c r="H56" s="80"/>
      <c r="I56" s="80" t="e">
        <f>'data&amp;corrections'!AM56</f>
        <v>#DIV/0!</v>
      </c>
      <c r="J56" s="80" t="e">
        <f>'data&amp;corrections'!AN56</f>
        <v>#DIV/0!</v>
      </c>
      <c r="K56" s="80"/>
      <c r="L56" s="80" t="e">
        <f>'data&amp;corrections'!BM56</f>
        <v>#DIV/0!</v>
      </c>
      <c r="M56" s="80" t="e">
        <f>'data&amp;corrections'!BN56</f>
        <v>#DIV/0!</v>
      </c>
      <c r="N56" s="80" t="e">
        <f>'data&amp;corrections'!BL56</f>
        <v>#DIV/0!</v>
      </c>
      <c r="O56" s="16"/>
      <c r="P56" s="80" t="e">
        <f>IF('data&amp;corrections'!BE56&gt;0,'data&amp;corrections'!BE56,0)</f>
        <v>#DIV/0!</v>
      </c>
      <c r="Q56" s="80" t="e">
        <f>IF('data&amp;corrections'!BF56&gt;0,'data&amp;corrections'!BF56,0)</f>
        <v>#DIV/0!</v>
      </c>
      <c r="R56" s="80"/>
      <c r="S56" s="81" t="e">
        <f>'data&amp;corrections'!AV56</f>
        <v>#DIV/0!</v>
      </c>
      <c r="T56" s="80" t="e">
        <f>'data&amp;corrections'!AW56</f>
        <v>#DIV/0!</v>
      </c>
      <c r="U56" s="16"/>
      <c r="V56" s="80">
        <f>(1-'data&amp;corrections'!M56)*2.5</f>
        <v>1.274428346402174</v>
      </c>
      <c r="W56" s="80">
        <f>(1-'data&amp;corrections'!M56)*0.24</f>
        <v>0.12234512125460868</v>
      </c>
      <c r="X56" s="80" t="e">
        <f t="shared" si="18"/>
        <v>#DIV/0!</v>
      </c>
      <c r="Y56" s="80" t="e">
        <f t="shared" si="19"/>
        <v>#DIV/0!</v>
      </c>
      <c r="Z56" s="80" t="e">
        <f t="shared" si="20"/>
        <v>#DIV/0!</v>
      </c>
      <c r="AA56" s="80" t="e">
        <f t="shared" si="21"/>
        <v>#DIV/0!</v>
      </c>
      <c r="AB56" s="80" t="e">
        <f t="shared" si="22"/>
        <v>#DIV/0!</v>
      </c>
      <c r="AC56" s="47"/>
      <c r="AD56" s="80">
        <f>'data&amp;corrections'!CA56</f>
        <v>0</v>
      </c>
      <c r="AE56" s="47"/>
      <c r="AF56" s="80" t="e">
        <f t="shared" si="23"/>
        <v>#DIV/0!</v>
      </c>
    </row>
    <row r="57" spans="1:32">
      <c r="A57" s="146" t="str">
        <f>'data&amp;corrections'!A57</f>
        <v>88-89</v>
      </c>
      <c r="B57" s="47">
        <f>'data&amp;corrections'!B57</f>
        <v>-88.5</v>
      </c>
      <c r="C57" s="47"/>
      <c r="D57" s="80" t="e">
        <f>'data&amp;corrections'!AF57</f>
        <v>#DIV/0!</v>
      </c>
      <c r="E57" s="80" t="e">
        <f>'data&amp;corrections'!AG57</f>
        <v>#DIV/0!</v>
      </c>
      <c r="F57" s="92" t="e">
        <f t="shared" si="16"/>
        <v>#DIV/0!</v>
      </c>
      <c r="G57" s="80" t="e">
        <f t="shared" si="17"/>
        <v>#DIV/0!</v>
      </c>
      <c r="H57" s="80"/>
      <c r="I57" s="80" t="e">
        <f>'data&amp;corrections'!AM57</f>
        <v>#DIV/0!</v>
      </c>
      <c r="J57" s="80" t="e">
        <f>'data&amp;corrections'!AN57</f>
        <v>#DIV/0!</v>
      </c>
      <c r="K57" s="80"/>
      <c r="L57" s="80" t="e">
        <f>'data&amp;corrections'!BM57</f>
        <v>#DIV/0!</v>
      </c>
      <c r="M57" s="80" t="e">
        <f>'data&amp;corrections'!BN57</f>
        <v>#DIV/0!</v>
      </c>
      <c r="N57" s="80" t="e">
        <f>'data&amp;corrections'!BL57</f>
        <v>#DIV/0!</v>
      </c>
      <c r="O57" s="16"/>
      <c r="P57" s="80" t="e">
        <f>IF('data&amp;corrections'!BE57&gt;0,'data&amp;corrections'!BE57,0)</f>
        <v>#DIV/0!</v>
      </c>
      <c r="Q57" s="80" t="e">
        <f>IF('data&amp;corrections'!BF57&gt;0,'data&amp;corrections'!BF57,0)</f>
        <v>#DIV/0!</v>
      </c>
      <c r="R57" s="80"/>
      <c r="S57" s="81" t="e">
        <f>'data&amp;corrections'!AV57</f>
        <v>#DIV/0!</v>
      </c>
      <c r="T57" s="80" t="e">
        <f>'data&amp;corrections'!AW57</f>
        <v>#DIV/0!</v>
      </c>
      <c r="U57" s="16"/>
      <c r="V57" s="80">
        <f>(1-'data&amp;corrections'!M57)*2.5</f>
        <v>1.1687180874446286</v>
      </c>
      <c r="W57" s="80">
        <f>(1-'data&amp;corrections'!M57)*0.24</f>
        <v>0.11219693639468432</v>
      </c>
      <c r="X57" s="80" t="e">
        <f t="shared" si="18"/>
        <v>#DIV/0!</v>
      </c>
      <c r="Y57" s="80" t="e">
        <f t="shared" si="19"/>
        <v>#DIV/0!</v>
      </c>
      <c r="Z57" s="80" t="e">
        <f t="shared" si="20"/>
        <v>#DIV/0!</v>
      </c>
      <c r="AA57" s="80" t="e">
        <f t="shared" si="21"/>
        <v>#DIV/0!</v>
      </c>
      <c r="AB57" s="80" t="e">
        <f t="shared" si="22"/>
        <v>#DIV/0!</v>
      </c>
      <c r="AC57" s="47"/>
      <c r="AD57" s="80">
        <f>'data&amp;corrections'!CA57</f>
        <v>0</v>
      </c>
      <c r="AE57" s="47"/>
      <c r="AF57" s="80" t="e">
        <f t="shared" si="23"/>
        <v>#DIV/0!</v>
      </c>
    </row>
    <row r="58" spans="1:32">
      <c r="A58" s="146" t="str">
        <f>'data&amp;corrections'!A58</f>
        <v>89-90</v>
      </c>
      <c r="B58" s="47">
        <f>'data&amp;corrections'!B58</f>
        <v>-89.5</v>
      </c>
      <c r="C58" s="47"/>
      <c r="D58" s="80" t="e">
        <f>'data&amp;corrections'!AF58</f>
        <v>#DIV/0!</v>
      </c>
      <c r="E58" s="80" t="e">
        <f>'data&amp;corrections'!AG58</f>
        <v>#DIV/0!</v>
      </c>
      <c r="F58" s="92" t="e">
        <f t="shared" si="16"/>
        <v>#DIV/0!</v>
      </c>
      <c r="G58" s="80" t="e">
        <f t="shared" si="17"/>
        <v>#DIV/0!</v>
      </c>
      <c r="H58" s="80"/>
      <c r="I58" s="80" t="e">
        <f>'data&amp;corrections'!AM58</f>
        <v>#DIV/0!</v>
      </c>
      <c r="J58" s="80" t="e">
        <f>'data&amp;corrections'!AN58</f>
        <v>#DIV/0!</v>
      </c>
      <c r="K58" s="80"/>
      <c r="L58" s="80" t="e">
        <f>'data&amp;corrections'!BM58</f>
        <v>#DIV/0!</v>
      </c>
      <c r="M58" s="80" t="e">
        <f>'data&amp;corrections'!BN58</f>
        <v>#DIV/0!</v>
      </c>
      <c r="N58" s="80" t="e">
        <f>'data&amp;corrections'!BL58</f>
        <v>#DIV/0!</v>
      </c>
      <c r="O58" s="16"/>
      <c r="P58" s="80" t="e">
        <f>IF('data&amp;corrections'!BE58&gt;0,'data&amp;corrections'!BE58,0)</f>
        <v>#DIV/0!</v>
      </c>
      <c r="Q58" s="80" t="e">
        <f>IF('data&amp;corrections'!BF58&gt;0,'data&amp;corrections'!BF58,0)</f>
        <v>#DIV/0!</v>
      </c>
      <c r="R58" s="80"/>
      <c r="S58" s="81" t="e">
        <f>'data&amp;corrections'!AV58</f>
        <v>#DIV/0!</v>
      </c>
      <c r="T58" s="80" t="e">
        <f>'data&amp;corrections'!AW58</f>
        <v>#DIV/0!</v>
      </c>
      <c r="U58" s="16"/>
      <c r="V58" s="80">
        <f>(1-'data&amp;corrections'!M58)*2.5</f>
        <v>0.92123956668442586</v>
      </c>
      <c r="W58" s="80">
        <f>(1-'data&amp;corrections'!M58)*0.24</f>
        <v>8.8438998401704882E-2</v>
      </c>
      <c r="X58" s="80" t="e">
        <f t="shared" si="18"/>
        <v>#DIV/0!</v>
      </c>
      <c r="Y58" s="80" t="e">
        <f t="shared" si="19"/>
        <v>#DIV/0!</v>
      </c>
      <c r="Z58" s="80" t="e">
        <f t="shared" si="20"/>
        <v>#DIV/0!</v>
      </c>
      <c r="AA58" s="80" t="e">
        <f t="shared" si="21"/>
        <v>#DIV/0!</v>
      </c>
      <c r="AB58" s="80" t="e">
        <f t="shared" si="22"/>
        <v>#DIV/0!</v>
      </c>
      <c r="AC58" s="47"/>
      <c r="AD58" s="80">
        <f>'data&amp;corrections'!CA58</f>
        <v>0</v>
      </c>
      <c r="AE58" s="47"/>
      <c r="AF58" s="80" t="e">
        <f t="shared" si="23"/>
        <v>#DIV/0!</v>
      </c>
    </row>
    <row r="59" spans="1:32">
      <c r="A59" s="146" t="str">
        <f>'data&amp;corrections'!A59</f>
        <v>90-91</v>
      </c>
      <c r="B59" s="47">
        <f>'data&amp;corrections'!B59</f>
        <v>-90.5</v>
      </c>
      <c r="C59" s="47"/>
      <c r="D59" s="80" t="e">
        <f>'data&amp;corrections'!AF59</f>
        <v>#DIV/0!</v>
      </c>
      <c r="E59" s="80" t="e">
        <f>'data&amp;corrections'!AG59</f>
        <v>#DIV/0!</v>
      </c>
      <c r="F59" s="92" t="e">
        <f t="shared" si="16"/>
        <v>#DIV/0!</v>
      </c>
      <c r="G59" s="80" t="e">
        <f t="shared" si="17"/>
        <v>#DIV/0!</v>
      </c>
      <c r="H59" s="80"/>
      <c r="I59" s="80" t="e">
        <f>'data&amp;corrections'!AM59</f>
        <v>#DIV/0!</v>
      </c>
      <c r="J59" s="80" t="e">
        <f>'data&amp;corrections'!AN59</f>
        <v>#DIV/0!</v>
      </c>
      <c r="K59" s="80"/>
      <c r="L59" s="80" t="e">
        <f>'data&amp;corrections'!BM59</f>
        <v>#DIV/0!</v>
      </c>
      <c r="M59" s="80" t="e">
        <f>'data&amp;corrections'!BN59</f>
        <v>#DIV/0!</v>
      </c>
      <c r="N59" s="80" t="e">
        <f>'data&amp;corrections'!BL59</f>
        <v>#DIV/0!</v>
      </c>
      <c r="O59" s="16"/>
      <c r="P59" s="80" t="e">
        <f>IF('data&amp;corrections'!BE59&gt;0,'data&amp;corrections'!BE59,0)</f>
        <v>#DIV/0!</v>
      </c>
      <c r="Q59" s="80" t="e">
        <f>IF('data&amp;corrections'!BF59&gt;0,'data&amp;corrections'!BF59,0)</f>
        <v>#DIV/0!</v>
      </c>
      <c r="R59" s="80"/>
      <c r="S59" s="81" t="e">
        <f>'data&amp;corrections'!AV59</f>
        <v>#DIV/0!</v>
      </c>
      <c r="T59" s="80" t="e">
        <f>'data&amp;corrections'!AW59</f>
        <v>#DIV/0!</v>
      </c>
      <c r="U59" s="16"/>
      <c r="V59" s="80">
        <f>(1-'data&amp;corrections'!M59)*2.5</f>
        <v>0.83424482304740399</v>
      </c>
      <c r="W59" s="80">
        <f>(1-'data&amp;corrections'!M59)*0.24</f>
        <v>8.008750301255077E-2</v>
      </c>
      <c r="X59" s="80" t="e">
        <f t="shared" si="18"/>
        <v>#DIV/0!</v>
      </c>
      <c r="Y59" s="80" t="e">
        <f t="shared" si="19"/>
        <v>#DIV/0!</v>
      </c>
      <c r="Z59" s="80" t="e">
        <f t="shared" si="20"/>
        <v>#DIV/0!</v>
      </c>
      <c r="AA59" s="80" t="e">
        <f t="shared" si="21"/>
        <v>#DIV/0!</v>
      </c>
      <c r="AB59" s="80" t="e">
        <f t="shared" si="22"/>
        <v>#DIV/0!</v>
      </c>
      <c r="AC59" s="47"/>
      <c r="AD59" s="80" t="e">
        <f>'data&amp;corrections'!CA59</f>
        <v>#DIV/0!</v>
      </c>
      <c r="AE59" s="47"/>
      <c r="AF59" s="80" t="e">
        <f t="shared" si="23"/>
        <v>#DIV/0!</v>
      </c>
    </row>
    <row r="60" spans="1:32">
      <c r="A60" s="146" t="str">
        <f>'data&amp;corrections'!A60</f>
        <v>91-92</v>
      </c>
      <c r="B60" s="47">
        <f>'data&amp;corrections'!B60</f>
        <v>-91.5</v>
      </c>
      <c r="C60" s="47"/>
      <c r="D60" s="80" t="e">
        <f>'data&amp;corrections'!AF60</f>
        <v>#DIV/0!</v>
      </c>
      <c r="E60" s="80" t="e">
        <f>'data&amp;corrections'!AG60</f>
        <v>#DIV/0!</v>
      </c>
      <c r="F60" s="92" t="e">
        <f t="shared" si="16"/>
        <v>#DIV/0!</v>
      </c>
      <c r="G60" s="80" t="e">
        <f t="shared" si="17"/>
        <v>#DIV/0!</v>
      </c>
      <c r="H60" s="80"/>
      <c r="I60" s="80" t="e">
        <f>'data&amp;corrections'!AM60</f>
        <v>#DIV/0!</v>
      </c>
      <c r="J60" s="80" t="e">
        <f>'data&amp;corrections'!AN60</f>
        <v>#DIV/0!</v>
      </c>
      <c r="K60" s="80"/>
      <c r="L60" s="80" t="e">
        <f>'data&amp;corrections'!BM60</f>
        <v>#DIV/0!</v>
      </c>
      <c r="M60" s="80" t="e">
        <f>'data&amp;corrections'!BN60</f>
        <v>#DIV/0!</v>
      </c>
      <c r="N60" s="80" t="e">
        <f>'data&amp;corrections'!BL60</f>
        <v>#DIV/0!</v>
      </c>
      <c r="O60" s="16"/>
      <c r="P60" s="80" t="e">
        <f>IF('data&amp;corrections'!BE60&gt;0,'data&amp;corrections'!BE60,0)</f>
        <v>#DIV/0!</v>
      </c>
      <c r="Q60" s="80" t="e">
        <f>IF('data&amp;corrections'!BF60&gt;0,'data&amp;corrections'!BF60,0)</f>
        <v>#DIV/0!</v>
      </c>
      <c r="R60" s="80"/>
      <c r="S60" s="81" t="e">
        <f>'data&amp;corrections'!AV60</f>
        <v>#DIV/0!</v>
      </c>
      <c r="T60" s="80" t="e">
        <f>'data&amp;corrections'!AW60</f>
        <v>#DIV/0!</v>
      </c>
      <c r="U60" s="16"/>
      <c r="V60" s="80">
        <f>(1-'data&amp;corrections'!M60)*2.5</f>
        <v>0.84600111020965874</v>
      </c>
      <c r="W60" s="80">
        <f>(1-'data&amp;corrections'!M60)*0.24</f>
        <v>8.1216106580127234E-2</v>
      </c>
      <c r="X60" s="80" t="e">
        <f t="shared" si="18"/>
        <v>#DIV/0!</v>
      </c>
      <c r="Y60" s="80" t="e">
        <f t="shared" si="19"/>
        <v>#DIV/0!</v>
      </c>
      <c r="Z60" s="80" t="e">
        <f t="shared" si="20"/>
        <v>#DIV/0!</v>
      </c>
      <c r="AA60" s="80" t="e">
        <f t="shared" si="21"/>
        <v>#DIV/0!</v>
      </c>
      <c r="AB60" s="80" t="e">
        <f t="shared" si="22"/>
        <v>#DIV/0!</v>
      </c>
      <c r="AC60" s="47"/>
      <c r="AD60" s="80">
        <f>'data&amp;corrections'!CA60</f>
        <v>0</v>
      </c>
      <c r="AE60" s="47"/>
      <c r="AF60" s="80" t="e">
        <f t="shared" si="23"/>
        <v>#DIV/0!</v>
      </c>
    </row>
    <row r="61" spans="1:32">
      <c r="A61" s="146">
        <f>'data&amp;corrections'!A61</f>
        <v>0</v>
      </c>
      <c r="B61" s="47">
        <f>'data&amp;corrections'!B61</f>
        <v>0</v>
      </c>
      <c r="C61" s="47"/>
      <c r="D61" s="80" t="e">
        <f>'data&amp;corrections'!AF61</f>
        <v>#DIV/0!</v>
      </c>
      <c r="E61" s="80" t="e">
        <f>'data&amp;corrections'!AG61</f>
        <v>#DIV/0!</v>
      </c>
      <c r="F61" s="92" t="e">
        <f t="shared" si="16"/>
        <v>#DIV/0!</v>
      </c>
      <c r="G61" s="80" t="e">
        <f t="shared" si="17"/>
        <v>#DIV/0!</v>
      </c>
      <c r="H61" s="80"/>
      <c r="I61" s="80" t="e">
        <f>'data&amp;corrections'!AM61</f>
        <v>#DIV/0!</v>
      </c>
      <c r="J61" s="80" t="e">
        <f>'data&amp;corrections'!AN61</f>
        <v>#DIV/0!</v>
      </c>
      <c r="K61" s="80"/>
      <c r="L61" s="80" t="e">
        <f>'data&amp;corrections'!BM61</f>
        <v>#DIV/0!</v>
      </c>
      <c r="M61" s="80" t="e">
        <f>'data&amp;corrections'!BN61</f>
        <v>#DIV/0!</v>
      </c>
      <c r="N61" s="80" t="e">
        <f>'data&amp;corrections'!BL61</f>
        <v>#DIV/0!</v>
      </c>
      <c r="O61" s="16"/>
      <c r="P61" s="80" t="e">
        <f>IF('data&amp;corrections'!BE61&gt;0,'data&amp;corrections'!BE61,0)</f>
        <v>#DIV/0!</v>
      </c>
      <c r="Q61" s="80" t="e">
        <f>IF('data&amp;corrections'!BF61&gt;0,'data&amp;corrections'!BF61,0)</f>
        <v>#DIV/0!</v>
      </c>
      <c r="R61" s="80"/>
      <c r="S61" s="81" t="e">
        <f>'data&amp;corrections'!AV61</f>
        <v>#DIV/0!</v>
      </c>
      <c r="T61" s="80" t="e">
        <f>'data&amp;corrections'!AW61</f>
        <v>#DIV/0!</v>
      </c>
      <c r="U61" s="16"/>
      <c r="V61" s="80" t="e">
        <f>(1-'data&amp;corrections'!M61)*2.5</f>
        <v>#DIV/0!</v>
      </c>
      <c r="W61" s="80" t="e">
        <f>(1-'data&amp;corrections'!M61)*0.24</f>
        <v>#DIV/0!</v>
      </c>
      <c r="X61" s="80" t="e">
        <f t="shared" si="18"/>
        <v>#DIV/0!</v>
      </c>
      <c r="Y61" s="80" t="e">
        <f t="shared" si="19"/>
        <v>#DIV/0!</v>
      </c>
      <c r="Z61" s="80" t="e">
        <f t="shared" si="20"/>
        <v>#DIV/0!</v>
      </c>
      <c r="AA61" s="80" t="e">
        <f t="shared" si="21"/>
        <v>#DIV/0!</v>
      </c>
      <c r="AB61" s="80" t="e">
        <f t="shared" si="22"/>
        <v>#DIV/0!</v>
      </c>
      <c r="AC61" s="47"/>
      <c r="AD61" s="80">
        <f>'data&amp;corrections'!CA61</f>
        <v>0</v>
      </c>
      <c r="AE61" s="47"/>
      <c r="AF61" s="80" t="e">
        <f t="shared" si="23"/>
        <v>#DIV/0!</v>
      </c>
    </row>
    <row r="62" spans="1:32">
      <c r="A62" s="146">
        <f>'data&amp;corrections'!A62</f>
        <v>0</v>
      </c>
      <c r="B62" s="47">
        <f>'data&amp;corrections'!B62</f>
        <v>0</v>
      </c>
      <c r="C62" s="47"/>
      <c r="D62" s="80" t="e">
        <f>'data&amp;corrections'!AF62</f>
        <v>#DIV/0!</v>
      </c>
      <c r="E62" s="80" t="e">
        <f>'data&amp;corrections'!AG62</f>
        <v>#DIV/0!</v>
      </c>
      <c r="F62" s="92" t="e">
        <f t="shared" si="16"/>
        <v>#DIV/0!</v>
      </c>
      <c r="G62" s="80" t="e">
        <f t="shared" si="17"/>
        <v>#DIV/0!</v>
      </c>
      <c r="H62" s="80"/>
      <c r="I62" s="80" t="e">
        <f>'data&amp;corrections'!AM62</f>
        <v>#DIV/0!</v>
      </c>
      <c r="J62" s="80" t="e">
        <f>'data&amp;corrections'!AN62</f>
        <v>#DIV/0!</v>
      </c>
      <c r="K62" s="80"/>
      <c r="L62" s="80" t="e">
        <f>'data&amp;corrections'!BM62</f>
        <v>#DIV/0!</v>
      </c>
      <c r="M62" s="80" t="e">
        <f>'data&amp;corrections'!BN62</f>
        <v>#DIV/0!</v>
      </c>
      <c r="N62" s="80" t="e">
        <f>'data&amp;corrections'!BL62</f>
        <v>#DIV/0!</v>
      </c>
      <c r="O62" s="16"/>
      <c r="P62" s="80" t="e">
        <f>IF('data&amp;corrections'!BE62&gt;0,'data&amp;corrections'!BE62,0)</f>
        <v>#DIV/0!</v>
      </c>
      <c r="Q62" s="80" t="e">
        <f>IF('data&amp;corrections'!BF62&gt;0,'data&amp;corrections'!BF62,0)</f>
        <v>#DIV/0!</v>
      </c>
      <c r="R62" s="80"/>
      <c r="S62" s="81" t="e">
        <f>'data&amp;corrections'!AV62</f>
        <v>#DIV/0!</v>
      </c>
      <c r="T62" s="80" t="e">
        <f>'data&amp;corrections'!AW62</f>
        <v>#DIV/0!</v>
      </c>
      <c r="U62" s="16"/>
      <c r="V62" s="80" t="e">
        <f>(1-'data&amp;corrections'!M62)*2.5</f>
        <v>#DIV/0!</v>
      </c>
      <c r="W62" s="80" t="e">
        <f>(1-'data&amp;corrections'!M62)*0.24</f>
        <v>#DIV/0!</v>
      </c>
      <c r="X62" s="80" t="e">
        <f t="shared" si="18"/>
        <v>#DIV/0!</v>
      </c>
      <c r="Y62" s="80" t="e">
        <f t="shared" si="19"/>
        <v>#DIV/0!</v>
      </c>
      <c r="Z62" s="80" t="e">
        <f t="shared" si="20"/>
        <v>#DIV/0!</v>
      </c>
      <c r="AA62" s="80" t="e">
        <f t="shared" si="21"/>
        <v>#DIV/0!</v>
      </c>
      <c r="AB62" s="80" t="e">
        <f t="shared" si="22"/>
        <v>#DIV/0!</v>
      </c>
      <c r="AC62" s="47"/>
      <c r="AD62" s="80">
        <f>'data&amp;corrections'!CA62</f>
        <v>0</v>
      </c>
      <c r="AE62" s="47"/>
      <c r="AF62" s="80" t="e">
        <f t="shared" si="23"/>
        <v>#DIV/0!</v>
      </c>
    </row>
    <row r="63" spans="1:32">
      <c r="A63" s="146">
        <f>'data&amp;corrections'!A63</f>
        <v>0</v>
      </c>
      <c r="B63" s="47">
        <f>'data&amp;corrections'!B63</f>
        <v>0</v>
      </c>
      <c r="C63" s="47"/>
      <c r="D63" s="80" t="e">
        <f>'data&amp;corrections'!AF63</f>
        <v>#DIV/0!</v>
      </c>
      <c r="E63" s="80" t="e">
        <f>'data&amp;corrections'!AG63</f>
        <v>#DIV/0!</v>
      </c>
      <c r="F63" s="92" t="e">
        <f t="shared" si="16"/>
        <v>#DIV/0!</v>
      </c>
      <c r="G63" s="80" t="e">
        <f t="shared" si="17"/>
        <v>#DIV/0!</v>
      </c>
      <c r="H63" s="80"/>
      <c r="I63" s="80" t="e">
        <f>'data&amp;corrections'!AM63</f>
        <v>#DIV/0!</v>
      </c>
      <c r="J63" s="80" t="e">
        <f>'data&amp;corrections'!AN63</f>
        <v>#DIV/0!</v>
      </c>
      <c r="K63" s="80"/>
      <c r="L63" s="80" t="e">
        <f>'data&amp;corrections'!BM63</f>
        <v>#DIV/0!</v>
      </c>
      <c r="M63" s="80" t="e">
        <f>'data&amp;corrections'!BN63</f>
        <v>#DIV/0!</v>
      </c>
      <c r="N63" s="80" t="e">
        <f>'data&amp;corrections'!BL63</f>
        <v>#DIV/0!</v>
      </c>
      <c r="O63" s="16"/>
      <c r="P63" s="80" t="e">
        <f>IF('data&amp;corrections'!BE63&gt;0,'data&amp;corrections'!BE63,0)</f>
        <v>#DIV/0!</v>
      </c>
      <c r="Q63" s="80" t="e">
        <f>IF('data&amp;corrections'!BF63&gt;0,'data&amp;corrections'!BF63,0)</f>
        <v>#DIV/0!</v>
      </c>
      <c r="R63" s="80"/>
      <c r="S63" s="81" t="e">
        <f>'data&amp;corrections'!AV63</f>
        <v>#DIV/0!</v>
      </c>
      <c r="T63" s="80" t="e">
        <f>'data&amp;corrections'!AW63</f>
        <v>#DIV/0!</v>
      </c>
      <c r="U63" s="16"/>
      <c r="V63" s="80" t="e">
        <f>(1-'data&amp;corrections'!M63)*2.5</f>
        <v>#DIV/0!</v>
      </c>
      <c r="W63" s="80" t="e">
        <f>(1-'data&amp;corrections'!M63)*0.24</f>
        <v>#DIV/0!</v>
      </c>
      <c r="X63" s="80" t="e">
        <f t="shared" si="18"/>
        <v>#DIV/0!</v>
      </c>
      <c r="Y63" s="80" t="e">
        <f t="shared" si="19"/>
        <v>#DIV/0!</v>
      </c>
      <c r="Z63" s="80" t="e">
        <f t="shared" si="20"/>
        <v>#DIV/0!</v>
      </c>
      <c r="AA63" s="80" t="e">
        <f t="shared" si="21"/>
        <v>#DIV/0!</v>
      </c>
      <c r="AB63" s="80" t="e">
        <f t="shared" si="22"/>
        <v>#DIV/0!</v>
      </c>
      <c r="AC63" s="47"/>
      <c r="AD63" s="80">
        <f>'data&amp;corrections'!CA63</f>
        <v>0</v>
      </c>
      <c r="AE63" s="47"/>
      <c r="AF63" s="80" t="e">
        <f t="shared" si="23"/>
        <v>#DIV/0!</v>
      </c>
    </row>
    <row r="64" spans="1:32">
      <c r="A64" s="146">
        <f>'data&amp;corrections'!A64</f>
        <v>0</v>
      </c>
      <c r="B64" s="47">
        <f>'data&amp;corrections'!B64</f>
        <v>0</v>
      </c>
      <c r="C64" s="47"/>
      <c r="D64" s="80" t="e">
        <f>'data&amp;corrections'!AF64</f>
        <v>#DIV/0!</v>
      </c>
      <c r="E64" s="80" t="e">
        <f>'data&amp;corrections'!AG64</f>
        <v>#DIV/0!</v>
      </c>
      <c r="F64" s="92" t="e">
        <f t="shared" si="16"/>
        <v>#DIV/0!</v>
      </c>
      <c r="G64" s="80" t="e">
        <f t="shared" si="17"/>
        <v>#DIV/0!</v>
      </c>
      <c r="H64" s="80"/>
      <c r="I64" s="80" t="e">
        <f>'data&amp;corrections'!AM64</f>
        <v>#DIV/0!</v>
      </c>
      <c r="J64" s="80" t="e">
        <f>'data&amp;corrections'!AN64</f>
        <v>#DIV/0!</v>
      </c>
      <c r="K64" s="80"/>
      <c r="L64" s="80" t="e">
        <f>'data&amp;corrections'!BM64</f>
        <v>#DIV/0!</v>
      </c>
      <c r="M64" s="80" t="e">
        <f>'data&amp;corrections'!BN64</f>
        <v>#DIV/0!</v>
      </c>
      <c r="N64" s="80" t="e">
        <f>'data&amp;corrections'!BL64</f>
        <v>#DIV/0!</v>
      </c>
      <c r="O64" s="16"/>
      <c r="P64" s="80" t="e">
        <f>IF('data&amp;corrections'!BE64&gt;0,'data&amp;corrections'!BE64,0)</f>
        <v>#DIV/0!</v>
      </c>
      <c r="Q64" s="80" t="e">
        <f>IF('data&amp;corrections'!BF64&gt;0,'data&amp;corrections'!BF64,0)</f>
        <v>#DIV/0!</v>
      </c>
      <c r="R64" s="80"/>
      <c r="S64" s="81" t="e">
        <f>'data&amp;corrections'!AV64</f>
        <v>#DIV/0!</v>
      </c>
      <c r="T64" s="80" t="e">
        <f>'data&amp;corrections'!AW64</f>
        <v>#DIV/0!</v>
      </c>
      <c r="U64" s="16"/>
      <c r="V64" s="80" t="e">
        <f>(1-'data&amp;corrections'!M64)*2.5</f>
        <v>#DIV/0!</v>
      </c>
      <c r="W64" s="80" t="e">
        <f>(1-'data&amp;corrections'!M64)*0.24</f>
        <v>#DIV/0!</v>
      </c>
      <c r="X64" s="80" t="e">
        <f t="shared" si="18"/>
        <v>#DIV/0!</v>
      </c>
      <c r="Y64" s="80" t="e">
        <f t="shared" si="19"/>
        <v>#DIV/0!</v>
      </c>
      <c r="Z64" s="80" t="e">
        <f t="shared" si="20"/>
        <v>#DIV/0!</v>
      </c>
      <c r="AA64" s="80" t="e">
        <f t="shared" si="21"/>
        <v>#DIV/0!</v>
      </c>
      <c r="AB64" s="80" t="e">
        <f t="shared" si="22"/>
        <v>#DIV/0!</v>
      </c>
      <c r="AC64" s="47"/>
      <c r="AD64" s="80">
        <f>'data&amp;corrections'!CA64</f>
        <v>0</v>
      </c>
      <c r="AE64" s="47"/>
      <c r="AF64" s="80" t="e">
        <f t="shared" si="23"/>
        <v>#DIV/0!</v>
      </c>
    </row>
    <row r="65" spans="1:32">
      <c r="A65" s="146">
        <f>'data&amp;corrections'!A65</f>
        <v>0</v>
      </c>
      <c r="B65" s="47">
        <f>'data&amp;corrections'!B65</f>
        <v>0</v>
      </c>
      <c r="C65" s="47"/>
      <c r="D65" s="80" t="e">
        <f>'data&amp;corrections'!AF65</f>
        <v>#DIV/0!</v>
      </c>
      <c r="E65" s="80" t="e">
        <f>'data&amp;corrections'!AG65</f>
        <v>#DIV/0!</v>
      </c>
      <c r="F65" s="92" t="e">
        <f t="shared" si="16"/>
        <v>#DIV/0!</v>
      </c>
      <c r="G65" s="80" t="e">
        <f t="shared" si="17"/>
        <v>#DIV/0!</v>
      </c>
      <c r="H65" s="80"/>
      <c r="I65" s="80" t="e">
        <f>'data&amp;corrections'!AM65</f>
        <v>#DIV/0!</v>
      </c>
      <c r="J65" s="80" t="e">
        <f>'data&amp;corrections'!AN65</f>
        <v>#DIV/0!</v>
      </c>
      <c r="K65" s="80"/>
      <c r="L65" s="80" t="e">
        <f>'data&amp;corrections'!BM65</f>
        <v>#DIV/0!</v>
      </c>
      <c r="M65" s="80" t="e">
        <f>'data&amp;corrections'!BN65</f>
        <v>#DIV/0!</v>
      </c>
      <c r="N65" s="80" t="e">
        <f>'data&amp;corrections'!BL65</f>
        <v>#DIV/0!</v>
      </c>
      <c r="O65" s="16"/>
      <c r="P65" s="80" t="e">
        <f>IF('data&amp;corrections'!BE65&gt;0,'data&amp;corrections'!BE65,0)</f>
        <v>#DIV/0!</v>
      </c>
      <c r="Q65" s="80" t="e">
        <f>IF('data&amp;corrections'!BF65&gt;0,'data&amp;corrections'!BF65,0)</f>
        <v>#DIV/0!</v>
      </c>
      <c r="R65" s="80"/>
      <c r="S65" s="81" t="e">
        <f>'data&amp;corrections'!AV65</f>
        <v>#DIV/0!</v>
      </c>
      <c r="T65" s="80" t="e">
        <f>'data&amp;corrections'!AW65</f>
        <v>#DIV/0!</v>
      </c>
      <c r="U65" s="16"/>
      <c r="V65" s="80" t="e">
        <f>(1-'data&amp;corrections'!M65)*2.5</f>
        <v>#DIV/0!</v>
      </c>
      <c r="W65" s="80" t="e">
        <f>(1-'data&amp;corrections'!M65)*0.24</f>
        <v>#DIV/0!</v>
      </c>
      <c r="X65" s="80" t="e">
        <f t="shared" si="18"/>
        <v>#DIV/0!</v>
      </c>
      <c r="Y65" s="80" t="e">
        <f t="shared" si="19"/>
        <v>#DIV/0!</v>
      </c>
      <c r="Z65" s="80" t="e">
        <f t="shared" si="20"/>
        <v>#DIV/0!</v>
      </c>
      <c r="AA65" s="80" t="e">
        <f t="shared" si="21"/>
        <v>#DIV/0!</v>
      </c>
      <c r="AB65" s="80" t="e">
        <f t="shared" si="22"/>
        <v>#DIV/0!</v>
      </c>
      <c r="AC65" s="47"/>
      <c r="AD65" s="80">
        <f>'data&amp;corrections'!CA65</f>
        <v>0</v>
      </c>
      <c r="AE65" s="47"/>
      <c r="AF65" s="80" t="e">
        <f t="shared" si="23"/>
        <v>#DIV/0!</v>
      </c>
    </row>
    <row r="66" spans="1:32">
      <c r="A66" s="146">
        <f>'data&amp;corrections'!A66</f>
        <v>0</v>
      </c>
      <c r="B66" s="47">
        <f>'data&amp;corrections'!B66</f>
        <v>0</v>
      </c>
      <c r="C66" s="47"/>
      <c r="D66" s="80" t="e">
        <f>'data&amp;corrections'!AF66</f>
        <v>#DIV/0!</v>
      </c>
      <c r="E66" s="80" t="e">
        <f>'data&amp;corrections'!AG66</f>
        <v>#DIV/0!</v>
      </c>
      <c r="F66" s="92" t="e">
        <f t="shared" si="16"/>
        <v>#DIV/0!</v>
      </c>
      <c r="G66" s="80" t="e">
        <f t="shared" si="17"/>
        <v>#DIV/0!</v>
      </c>
      <c r="H66" s="80"/>
      <c r="I66" s="80" t="e">
        <f>'data&amp;corrections'!AM66</f>
        <v>#DIV/0!</v>
      </c>
      <c r="J66" s="80" t="e">
        <f>'data&amp;corrections'!AN66</f>
        <v>#DIV/0!</v>
      </c>
      <c r="K66" s="80"/>
      <c r="L66" s="80" t="e">
        <f>'data&amp;corrections'!BM66</f>
        <v>#DIV/0!</v>
      </c>
      <c r="M66" s="80" t="e">
        <f>'data&amp;corrections'!BN66</f>
        <v>#DIV/0!</v>
      </c>
      <c r="N66" s="80" t="e">
        <f>'data&amp;corrections'!BL66</f>
        <v>#DIV/0!</v>
      </c>
      <c r="O66" s="16"/>
      <c r="P66" s="80" t="e">
        <f>IF('data&amp;corrections'!BE66&gt;0,'data&amp;corrections'!BE66,0)</f>
        <v>#DIV/0!</v>
      </c>
      <c r="Q66" s="80" t="e">
        <f>IF('data&amp;corrections'!BF66&gt;0,'data&amp;corrections'!BF66,0)</f>
        <v>#DIV/0!</v>
      </c>
      <c r="R66" s="80"/>
      <c r="S66" s="81" t="e">
        <f>'data&amp;corrections'!AV66</f>
        <v>#DIV/0!</v>
      </c>
      <c r="T66" s="80" t="e">
        <f>'data&amp;corrections'!AW66</f>
        <v>#DIV/0!</v>
      </c>
      <c r="U66" s="16"/>
      <c r="V66" s="80" t="e">
        <f>(1-'data&amp;corrections'!M66)*2.5</f>
        <v>#DIV/0!</v>
      </c>
      <c r="W66" s="80" t="e">
        <f>(1-'data&amp;corrections'!M66)*0.24</f>
        <v>#DIV/0!</v>
      </c>
      <c r="X66" s="80" t="e">
        <f t="shared" si="18"/>
        <v>#DIV/0!</v>
      </c>
      <c r="Y66" s="80" t="e">
        <f t="shared" si="19"/>
        <v>#DIV/0!</v>
      </c>
      <c r="Z66" s="80" t="e">
        <f t="shared" si="20"/>
        <v>#DIV/0!</v>
      </c>
      <c r="AA66" s="80" t="e">
        <f t="shared" si="21"/>
        <v>#DIV/0!</v>
      </c>
      <c r="AB66" s="80" t="e">
        <f t="shared" si="22"/>
        <v>#DIV/0!</v>
      </c>
      <c r="AC66" s="47"/>
      <c r="AD66" s="80">
        <f>'data&amp;corrections'!CA66</f>
        <v>0</v>
      </c>
      <c r="AE66" s="47"/>
      <c r="AF66" s="80" t="e">
        <f t="shared" si="23"/>
        <v>#DIV/0!</v>
      </c>
    </row>
    <row r="67" spans="1:32">
      <c r="A67" s="146">
        <f>'data&amp;corrections'!A67</f>
        <v>0</v>
      </c>
      <c r="B67" s="47">
        <f>'data&amp;corrections'!B67</f>
        <v>0</v>
      </c>
      <c r="C67" s="47"/>
      <c r="D67" s="80" t="e">
        <f>'data&amp;corrections'!AF67</f>
        <v>#DIV/0!</v>
      </c>
      <c r="E67" s="80" t="e">
        <f>'data&amp;corrections'!AG67</f>
        <v>#DIV/0!</v>
      </c>
      <c r="F67" s="92" t="e">
        <f t="shared" si="16"/>
        <v>#DIV/0!</v>
      </c>
      <c r="G67" s="80" t="e">
        <f t="shared" si="17"/>
        <v>#DIV/0!</v>
      </c>
      <c r="H67" s="80"/>
      <c r="I67" s="80" t="e">
        <f>'data&amp;corrections'!AM67</f>
        <v>#DIV/0!</v>
      </c>
      <c r="J67" s="80" t="e">
        <f>'data&amp;corrections'!AN67</f>
        <v>#DIV/0!</v>
      </c>
      <c r="K67" s="80"/>
      <c r="L67" s="80" t="e">
        <f>'data&amp;corrections'!BM67</f>
        <v>#DIV/0!</v>
      </c>
      <c r="M67" s="80" t="e">
        <f>'data&amp;corrections'!BN67</f>
        <v>#DIV/0!</v>
      </c>
      <c r="N67" s="80" t="e">
        <f>'data&amp;corrections'!BL67</f>
        <v>#DIV/0!</v>
      </c>
      <c r="O67" s="16"/>
      <c r="P67" s="80" t="e">
        <f>IF('data&amp;corrections'!BE67&gt;0,'data&amp;corrections'!BE67,0)</f>
        <v>#DIV/0!</v>
      </c>
      <c r="Q67" s="80" t="e">
        <f>IF('data&amp;corrections'!BF67&gt;0,'data&amp;corrections'!BF67,0)</f>
        <v>#DIV/0!</v>
      </c>
      <c r="R67" s="80"/>
      <c r="S67" s="81" t="e">
        <f>'data&amp;corrections'!AV67</f>
        <v>#DIV/0!</v>
      </c>
      <c r="T67" s="80" t="e">
        <f>'data&amp;corrections'!AW67</f>
        <v>#DIV/0!</v>
      </c>
      <c r="U67" s="16"/>
      <c r="V67" s="80" t="e">
        <f>(1-'data&amp;corrections'!M67)*2.5</f>
        <v>#DIV/0!</v>
      </c>
      <c r="W67" s="80" t="e">
        <f>(1-'data&amp;corrections'!M67)*0.24</f>
        <v>#DIV/0!</v>
      </c>
      <c r="X67" s="80" t="e">
        <f t="shared" si="18"/>
        <v>#DIV/0!</v>
      </c>
      <c r="Y67" s="80" t="e">
        <f t="shared" si="19"/>
        <v>#DIV/0!</v>
      </c>
      <c r="Z67" s="80" t="e">
        <f t="shared" si="20"/>
        <v>#DIV/0!</v>
      </c>
      <c r="AA67" s="80" t="e">
        <f t="shared" si="21"/>
        <v>#DIV/0!</v>
      </c>
      <c r="AB67" s="80" t="e">
        <f t="shared" si="22"/>
        <v>#DIV/0!</v>
      </c>
      <c r="AC67" s="47"/>
      <c r="AD67" s="80">
        <f>'data&amp;corrections'!CA67</f>
        <v>0</v>
      </c>
      <c r="AE67" s="47"/>
      <c r="AF67" s="80" t="e">
        <f t="shared" si="23"/>
        <v>#DIV/0!</v>
      </c>
    </row>
    <row r="68" spans="1:32">
      <c r="A68" s="146">
        <f>'data&amp;corrections'!A68</f>
        <v>0</v>
      </c>
      <c r="B68" s="47">
        <f>'data&amp;corrections'!B68</f>
        <v>0</v>
      </c>
      <c r="C68" s="47"/>
      <c r="D68" s="80" t="e">
        <f>'data&amp;corrections'!AF68</f>
        <v>#DIV/0!</v>
      </c>
      <c r="E68" s="80" t="e">
        <f>'data&amp;corrections'!AG68</f>
        <v>#DIV/0!</v>
      </c>
      <c r="F68" s="92" t="e">
        <f t="shared" si="16"/>
        <v>#DIV/0!</v>
      </c>
      <c r="G68" s="80" t="e">
        <f t="shared" si="17"/>
        <v>#DIV/0!</v>
      </c>
      <c r="H68" s="80"/>
      <c r="I68" s="80" t="e">
        <f>'data&amp;corrections'!AM68</f>
        <v>#DIV/0!</v>
      </c>
      <c r="J68" s="80" t="e">
        <f>'data&amp;corrections'!AN68</f>
        <v>#DIV/0!</v>
      </c>
      <c r="K68" s="80"/>
      <c r="L68" s="80" t="e">
        <f>'data&amp;corrections'!BM68</f>
        <v>#DIV/0!</v>
      </c>
      <c r="M68" s="80" t="e">
        <f>'data&amp;corrections'!BN68</f>
        <v>#DIV/0!</v>
      </c>
      <c r="N68" s="80" t="e">
        <f>'data&amp;corrections'!BL68</f>
        <v>#DIV/0!</v>
      </c>
      <c r="O68" s="16"/>
      <c r="P68" s="80" t="e">
        <f>IF('data&amp;corrections'!BE68&gt;0,'data&amp;corrections'!BE68,0)</f>
        <v>#DIV/0!</v>
      </c>
      <c r="Q68" s="80" t="e">
        <f>IF('data&amp;corrections'!BF68&gt;0,'data&amp;corrections'!BF68,0)</f>
        <v>#DIV/0!</v>
      </c>
      <c r="R68" s="80"/>
      <c r="S68" s="81" t="e">
        <f>'data&amp;corrections'!AV68</f>
        <v>#DIV/0!</v>
      </c>
      <c r="T68" s="80" t="e">
        <f>'data&amp;corrections'!AW68</f>
        <v>#DIV/0!</v>
      </c>
      <c r="U68" s="16"/>
      <c r="V68" s="80" t="e">
        <f>(1-'data&amp;corrections'!M68)*2.5</f>
        <v>#DIV/0!</v>
      </c>
      <c r="W68" s="80" t="e">
        <f>(1-'data&amp;corrections'!M68)*0.24</f>
        <v>#DIV/0!</v>
      </c>
      <c r="X68" s="80" t="e">
        <f t="shared" si="18"/>
        <v>#DIV/0!</v>
      </c>
      <c r="Y68" s="80" t="e">
        <f t="shared" si="19"/>
        <v>#DIV/0!</v>
      </c>
      <c r="Z68" s="80" t="e">
        <f t="shared" si="20"/>
        <v>#DIV/0!</v>
      </c>
      <c r="AA68" s="80" t="e">
        <f t="shared" si="21"/>
        <v>#DIV/0!</v>
      </c>
      <c r="AB68" s="80" t="e">
        <f t="shared" si="22"/>
        <v>#DIV/0!</v>
      </c>
      <c r="AC68" s="47"/>
      <c r="AD68" s="80">
        <f>'data&amp;corrections'!CA68</f>
        <v>0</v>
      </c>
      <c r="AE68" s="47"/>
      <c r="AF68" s="80" t="e">
        <f t="shared" si="23"/>
        <v>#DIV/0!</v>
      </c>
    </row>
    <row r="69" spans="1:32">
      <c r="A69" s="146">
        <f>'data&amp;corrections'!A69</f>
        <v>0</v>
      </c>
      <c r="B69" s="47">
        <f>'data&amp;corrections'!B69</f>
        <v>0</v>
      </c>
      <c r="C69" s="47"/>
      <c r="D69" s="80" t="e">
        <f>'data&amp;corrections'!AF69</f>
        <v>#DIV/0!</v>
      </c>
      <c r="E69" s="80" t="e">
        <f>'data&amp;corrections'!AG69</f>
        <v>#DIV/0!</v>
      </c>
      <c r="F69" s="92" t="e">
        <f t="shared" si="16"/>
        <v>#DIV/0!</v>
      </c>
      <c r="G69" s="80" t="e">
        <f t="shared" si="17"/>
        <v>#DIV/0!</v>
      </c>
      <c r="H69" s="80"/>
      <c r="I69" s="80" t="e">
        <f>'data&amp;corrections'!AM69</f>
        <v>#DIV/0!</v>
      </c>
      <c r="J69" s="80" t="e">
        <f>'data&amp;corrections'!AN69</f>
        <v>#DIV/0!</v>
      </c>
      <c r="K69" s="80"/>
      <c r="L69" s="80" t="e">
        <f>'data&amp;corrections'!BM69</f>
        <v>#DIV/0!</v>
      </c>
      <c r="M69" s="80" t="e">
        <f>'data&amp;corrections'!BN69</f>
        <v>#DIV/0!</v>
      </c>
      <c r="N69" s="80" t="e">
        <f>'data&amp;corrections'!BL69</f>
        <v>#DIV/0!</v>
      </c>
      <c r="O69" s="16"/>
      <c r="P69" s="80" t="e">
        <f>IF('data&amp;corrections'!BE69&gt;0,'data&amp;corrections'!BE69,0)</f>
        <v>#DIV/0!</v>
      </c>
      <c r="Q69" s="80" t="e">
        <f>IF('data&amp;corrections'!BF69&gt;0,'data&amp;corrections'!BF69,0)</f>
        <v>#DIV/0!</v>
      </c>
      <c r="R69" s="80"/>
      <c r="S69" s="81" t="e">
        <f>'data&amp;corrections'!AV69</f>
        <v>#DIV/0!</v>
      </c>
      <c r="T69" s="80" t="e">
        <f>'data&amp;corrections'!AW69</f>
        <v>#DIV/0!</v>
      </c>
      <c r="U69" s="16"/>
      <c r="V69" s="80" t="e">
        <f>(1-'data&amp;corrections'!M69)*2.5</f>
        <v>#DIV/0!</v>
      </c>
      <c r="W69" s="80" t="e">
        <f>(1-'data&amp;corrections'!M69)*0.24</f>
        <v>#DIV/0!</v>
      </c>
      <c r="X69" s="80" t="e">
        <f t="shared" si="18"/>
        <v>#DIV/0!</v>
      </c>
      <c r="Y69" s="80" t="e">
        <f t="shared" si="19"/>
        <v>#DIV/0!</v>
      </c>
      <c r="Z69" s="80" t="e">
        <f t="shared" si="20"/>
        <v>#DIV/0!</v>
      </c>
      <c r="AA69" s="80" t="e">
        <f t="shared" si="21"/>
        <v>#DIV/0!</v>
      </c>
      <c r="AB69" s="80" t="e">
        <f t="shared" si="22"/>
        <v>#DIV/0!</v>
      </c>
      <c r="AC69" s="47"/>
      <c r="AD69" s="80" t="e">
        <f>'data&amp;corrections'!CA69</f>
        <v>#DIV/0!</v>
      </c>
      <c r="AE69" s="47"/>
      <c r="AF69" s="80" t="e">
        <f t="shared" si="23"/>
        <v>#DIV/0!</v>
      </c>
    </row>
    <row r="70" spans="1:32">
      <c r="A70" s="146">
        <f>'data&amp;corrections'!A70</f>
        <v>0</v>
      </c>
      <c r="B70" s="47">
        <f>'data&amp;corrections'!B70</f>
        <v>0</v>
      </c>
      <c r="C70" s="47"/>
      <c r="D70" s="80" t="e">
        <f>'data&amp;corrections'!AF70</f>
        <v>#DIV/0!</v>
      </c>
      <c r="E70" s="80" t="e">
        <f>'data&amp;corrections'!AG70</f>
        <v>#DIV/0!</v>
      </c>
      <c r="F70" s="92" t="e">
        <f t="shared" si="16"/>
        <v>#DIV/0!</v>
      </c>
      <c r="G70" s="80" t="e">
        <f t="shared" si="17"/>
        <v>#DIV/0!</v>
      </c>
      <c r="H70" s="80"/>
      <c r="I70" s="80" t="e">
        <f>'data&amp;corrections'!AM70</f>
        <v>#DIV/0!</v>
      </c>
      <c r="J70" s="80" t="e">
        <f>'data&amp;corrections'!AN70</f>
        <v>#DIV/0!</v>
      </c>
      <c r="K70" s="80"/>
      <c r="L70" s="80" t="e">
        <f>'data&amp;corrections'!BM70</f>
        <v>#DIV/0!</v>
      </c>
      <c r="M70" s="80" t="e">
        <f>'data&amp;corrections'!BN70</f>
        <v>#DIV/0!</v>
      </c>
      <c r="N70" s="80" t="e">
        <f>'data&amp;corrections'!BL70</f>
        <v>#DIV/0!</v>
      </c>
      <c r="O70" s="16"/>
      <c r="P70" s="80" t="e">
        <f>IF('data&amp;corrections'!BE70&gt;0,'data&amp;corrections'!BE70,0)</f>
        <v>#DIV/0!</v>
      </c>
      <c r="Q70" s="80" t="e">
        <f>IF('data&amp;corrections'!BF70&gt;0,'data&amp;corrections'!BF70,0)</f>
        <v>#DIV/0!</v>
      </c>
      <c r="R70" s="80"/>
      <c r="S70" s="81" t="e">
        <f>'data&amp;corrections'!AV70</f>
        <v>#DIV/0!</v>
      </c>
      <c r="T70" s="80" t="e">
        <f>'data&amp;corrections'!AW70</f>
        <v>#DIV/0!</v>
      </c>
      <c r="U70" s="16"/>
      <c r="V70" s="80" t="e">
        <f>(1-'data&amp;corrections'!M70)*2.5</f>
        <v>#DIV/0!</v>
      </c>
      <c r="W70" s="80" t="e">
        <f>(1-'data&amp;corrections'!M70)*0.24</f>
        <v>#DIV/0!</v>
      </c>
      <c r="X70" s="80" t="e">
        <f t="shared" si="18"/>
        <v>#DIV/0!</v>
      </c>
      <c r="Y70" s="80" t="e">
        <f t="shared" si="19"/>
        <v>#DIV/0!</v>
      </c>
      <c r="Z70" s="80" t="e">
        <f t="shared" si="20"/>
        <v>#DIV/0!</v>
      </c>
      <c r="AA70" s="80" t="e">
        <f t="shared" si="21"/>
        <v>#DIV/0!</v>
      </c>
      <c r="AB70" s="80" t="e">
        <f t="shared" si="22"/>
        <v>#DIV/0!</v>
      </c>
      <c r="AC70" s="47"/>
      <c r="AD70" s="80" t="e">
        <f>'data&amp;corrections'!CA70</f>
        <v>#DIV/0!</v>
      </c>
      <c r="AE70" s="47"/>
      <c r="AF70" s="80" t="e">
        <f t="shared" si="23"/>
        <v>#DIV/0!</v>
      </c>
    </row>
    <row r="71" spans="1:32">
      <c r="A71" s="146">
        <f>'data&amp;corrections'!A71</f>
        <v>0</v>
      </c>
      <c r="B71" s="47">
        <f>'data&amp;corrections'!B71</f>
        <v>0</v>
      </c>
      <c r="C71" s="47"/>
      <c r="D71" s="80" t="e">
        <f>'data&amp;corrections'!AF71</f>
        <v>#DIV/0!</v>
      </c>
      <c r="E71" s="80" t="e">
        <f>'data&amp;corrections'!AG71</f>
        <v>#DIV/0!</v>
      </c>
      <c r="F71" s="92" t="e">
        <f t="shared" si="16"/>
        <v>#DIV/0!</v>
      </c>
      <c r="G71" s="80" t="e">
        <f t="shared" si="17"/>
        <v>#DIV/0!</v>
      </c>
      <c r="H71" s="80"/>
      <c r="I71" s="80" t="e">
        <f>'data&amp;corrections'!AM71</f>
        <v>#DIV/0!</v>
      </c>
      <c r="J71" s="80" t="e">
        <f>'data&amp;corrections'!AN71</f>
        <v>#DIV/0!</v>
      </c>
      <c r="K71" s="80"/>
      <c r="L71" s="80" t="e">
        <f>'data&amp;corrections'!BM71</f>
        <v>#DIV/0!</v>
      </c>
      <c r="M71" s="80" t="e">
        <f>'data&amp;corrections'!BN71</f>
        <v>#DIV/0!</v>
      </c>
      <c r="N71" s="80" t="e">
        <f>'data&amp;corrections'!BL71</f>
        <v>#DIV/0!</v>
      </c>
      <c r="O71" s="16"/>
      <c r="P71" s="80" t="e">
        <f>IF('data&amp;corrections'!BE71&gt;0,'data&amp;corrections'!BE71,0)</f>
        <v>#DIV/0!</v>
      </c>
      <c r="Q71" s="80" t="e">
        <f>IF('data&amp;corrections'!BF71&gt;0,'data&amp;corrections'!BF71,0)</f>
        <v>#DIV/0!</v>
      </c>
      <c r="R71" s="80"/>
      <c r="S71" s="81" t="e">
        <f>'data&amp;corrections'!AV71</f>
        <v>#DIV/0!</v>
      </c>
      <c r="T71" s="80" t="e">
        <f>'data&amp;corrections'!AW71</f>
        <v>#DIV/0!</v>
      </c>
      <c r="U71" s="16"/>
      <c r="V71" s="80" t="e">
        <f>(1-'data&amp;corrections'!M71)*2.5</f>
        <v>#DIV/0!</v>
      </c>
      <c r="W71" s="80" t="e">
        <f>(1-'data&amp;corrections'!M71)*0.24</f>
        <v>#DIV/0!</v>
      </c>
      <c r="X71" s="80" t="e">
        <f t="shared" si="18"/>
        <v>#DIV/0!</v>
      </c>
      <c r="Y71" s="80" t="e">
        <f t="shared" si="19"/>
        <v>#DIV/0!</v>
      </c>
      <c r="Z71" s="80" t="e">
        <f t="shared" si="20"/>
        <v>#DIV/0!</v>
      </c>
      <c r="AA71" s="80" t="e">
        <f t="shared" si="21"/>
        <v>#DIV/0!</v>
      </c>
      <c r="AB71" s="80" t="e">
        <f t="shared" si="22"/>
        <v>#DIV/0!</v>
      </c>
      <c r="AC71" s="47"/>
      <c r="AD71" s="80">
        <f>'data&amp;corrections'!CA71</f>
        <v>0</v>
      </c>
      <c r="AE71" s="47"/>
      <c r="AF71" s="80" t="e">
        <f t="shared" si="23"/>
        <v>#DIV/0!</v>
      </c>
    </row>
    <row r="72" spans="1:32">
      <c r="A72" s="146">
        <f>'data&amp;corrections'!A72</f>
        <v>0</v>
      </c>
      <c r="B72" s="47">
        <f>'data&amp;corrections'!B72</f>
        <v>0</v>
      </c>
      <c r="C72" s="47"/>
      <c r="D72" s="80" t="e">
        <f>'data&amp;corrections'!AF72</f>
        <v>#DIV/0!</v>
      </c>
      <c r="E72" s="80" t="e">
        <f>'data&amp;corrections'!AG72</f>
        <v>#DIV/0!</v>
      </c>
      <c r="F72" s="92" t="e">
        <f t="shared" si="16"/>
        <v>#DIV/0!</v>
      </c>
      <c r="G72" s="80" t="e">
        <f t="shared" si="17"/>
        <v>#DIV/0!</v>
      </c>
      <c r="H72" s="80"/>
      <c r="I72" s="80" t="e">
        <f>'data&amp;corrections'!AM72</f>
        <v>#DIV/0!</v>
      </c>
      <c r="J72" s="80" t="e">
        <f>'data&amp;corrections'!AN72</f>
        <v>#DIV/0!</v>
      </c>
      <c r="K72" s="80"/>
      <c r="L72" s="80" t="e">
        <f>'data&amp;corrections'!BM72</f>
        <v>#DIV/0!</v>
      </c>
      <c r="M72" s="80" t="e">
        <f>'data&amp;corrections'!BN72</f>
        <v>#DIV/0!</v>
      </c>
      <c r="N72" s="80" t="e">
        <f>'data&amp;corrections'!BL72</f>
        <v>#DIV/0!</v>
      </c>
      <c r="O72" s="16"/>
      <c r="P72" s="80" t="e">
        <f>IF('data&amp;corrections'!BE72&gt;0,'data&amp;corrections'!BE72,0)</f>
        <v>#DIV/0!</v>
      </c>
      <c r="Q72" s="80" t="e">
        <f>IF('data&amp;corrections'!BF72&gt;0,'data&amp;corrections'!BF72,0)</f>
        <v>#DIV/0!</v>
      </c>
      <c r="R72" s="80"/>
      <c r="S72" s="81" t="e">
        <f>'data&amp;corrections'!AV72</f>
        <v>#DIV/0!</v>
      </c>
      <c r="T72" s="80" t="e">
        <f>'data&amp;corrections'!AW72</f>
        <v>#DIV/0!</v>
      </c>
      <c r="U72" s="16"/>
      <c r="V72" s="80" t="e">
        <f>(1-'data&amp;corrections'!M72)*2.5</f>
        <v>#DIV/0!</v>
      </c>
      <c r="W72" s="80" t="e">
        <f>(1-'data&amp;corrections'!M72)*0.24</f>
        <v>#DIV/0!</v>
      </c>
      <c r="X72" s="80" t="e">
        <f t="shared" si="18"/>
        <v>#DIV/0!</v>
      </c>
      <c r="Y72" s="80" t="e">
        <f t="shared" si="19"/>
        <v>#DIV/0!</v>
      </c>
      <c r="Z72" s="80" t="e">
        <f t="shared" si="20"/>
        <v>#DIV/0!</v>
      </c>
      <c r="AA72" s="80" t="e">
        <f t="shared" si="21"/>
        <v>#DIV/0!</v>
      </c>
      <c r="AB72" s="80" t="e">
        <f t="shared" si="22"/>
        <v>#DIV/0!</v>
      </c>
      <c r="AC72" s="47"/>
      <c r="AD72" s="80">
        <f>'data&amp;corrections'!CA72</f>
        <v>0</v>
      </c>
      <c r="AE72" s="47"/>
      <c r="AF72" s="80" t="e">
        <f t="shared" si="23"/>
        <v>#DIV/0!</v>
      </c>
    </row>
    <row r="73" spans="1:32">
      <c r="A73" s="146">
        <f>'data&amp;corrections'!A73</f>
        <v>0</v>
      </c>
      <c r="B73" s="47">
        <f>'data&amp;corrections'!B73</f>
        <v>0</v>
      </c>
      <c r="C73" s="47"/>
      <c r="D73" s="80" t="e">
        <f>'data&amp;corrections'!AF73</f>
        <v>#DIV/0!</v>
      </c>
      <c r="E73" s="80" t="e">
        <f>'data&amp;corrections'!AG73</f>
        <v>#DIV/0!</v>
      </c>
      <c r="F73" s="92" t="e">
        <f t="shared" si="16"/>
        <v>#DIV/0!</v>
      </c>
      <c r="G73" s="80" t="e">
        <f t="shared" si="17"/>
        <v>#DIV/0!</v>
      </c>
      <c r="H73" s="80"/>
      <c r="I73" s="80" t="e">
        <f>'data&amp;corrections'!AM73</f>
        <v>#DIV/0!</v>
      </c>
      <c r="J73" s="80" t="e">
        <f>'data&amp;corrections'!AN73</f>
        <v>#DIV/0!</v>
      </c>
      <c r="K73" s="80"/>
      <c r="L73" s="80" t="e">
        <f>'data&amp;corrections'!BM73</f>
        <v>#DIV/0!</v>
      </c>
      <c r="M73" s="80" t="e">
        <f>'data&amp;corrections'!BN73</f>
        <v>#DIV/0!</v>
      </c>
      <c r="N73" s="80" t="e">
        <f>'data&amp;corrections'!BL73</f>
        <v>#DIV/0!</v>
      </c>
      <c r="O73" s="16"/>
      <c r="P73" s="80" t="e">
        <f>IF('data&amp;corrections'!BE73&gt;0,'data&amp;corrections'!BE73,0)</f>
        <v>#DIV/0!</v>
      </c>
      <c r="Q73" s="80" t="e">
        <f>IF('data&amp;corrections'!BF73&gt;0,'data&amp;corrections'!BF73,0)</f>
        <v>#DIV/0!</v>
      </c>
      <c r="R73" s="80"/>
      <c r="S73" s="81" t="e">
        <f>'data&amp;corrections'!AV73</f>
        <v>#DIV/0!</v>
      </c>
      <c r="T73" s="80" t="e">
        <f>'data&amp;corrections'!AW73</f>
        <v>#DIV/0!</v>
      </c>
      <c r="U73" s="16"/>
      <c r="V73" s="80" t="e">
        <f>(1-'data&amp;corrections'!M73)*2.5</f>
        <v>#DIV/0!</v>
      </c>
      <c r="W73" s="80" t="e">
        <f>(1-'data&amp;corrections'!M73)*0.24</f>
        <v>#DIV/0!</v>
      </c>
      <c r="X73" s="80" t="e">
        <f t="shared" si="18"/>
        <v>#DIV/0!</v>
      </c>
      <c r="Y73" s="80" t="e">
        <f t="shared" si="19"/>
        <v>#DIV/0!</v>
      </c>
      <c r="Z73" s="80" t="e">
        <f t="shared" si="20"/>
        <v>#DIV/0!</v>
      </c>
      <c r="AA73" s="80" t="e">
        <f t="shared" si="21"/>
        <v>#DIV/0!</v>
      </c>
      <c r="AB73" s="80" t="e">
        <f t="shared" si="22"/>
        <v>#DIV/0!</v>
      </c>
      <c r="AC73" s="47"/>
      <c r="AD73" s="80">
        <f>'data&amp;corrections'!CA73</f>
        <v>0</v>
      </c>
      <c r="AE73" s="47"/>
      <c r="AF73" s="80" t="e">
        <f t="shared" si="23"/>
        <v>#DIV/0!</v>
      </c>
    </row>
    <row r="74" spans="1:32">
      <c r="A74" s="146">
        <f>'data&amp;corrections'!A74</f>
        <v>0</v>
      </c>
      <c r="B74" s="47">
        <f>'data&amp;corrections'!B74</f>
        <v>0</v>
      </c>
      <c r="C74" s="47"/>
      <c r="D74" s="80" t="e">
        <f>'data&amp;corrections'!AF74</f>
        <v>#DIV/0!</v>
      </c>
      <c r="E74" s="80" t="e">
        <f>'data&amp;corrections'!AG74</f>
        <v>#DIV/0!</v>
      </c>
      <c r="F74" s="92" t="e">
        <f t="shared" si="16"/>
        <v>#DIV/0!</v>
      </c>
      <c r="G74" s="80" t="e">
        <f t="shared" si="17"/>
        <v>#DIV/0!</v>
      </c>
      <c r="H74" s="80"/>
      <c r="I74" s="80" t="e">
        <f>'data&amp;corrections'!AM74</f>
        <v>#DIV/0!</v>
      </c>
      <c r="J74" s="80" t="e">
        <f>'data&amp;corrections'!AN74</f>
        <v>#DIV/0!</v>
      </c>
      <c r="K74" s="80"/>
      <c r="L74" s="80" t="e">
        <f>'data&amp;corrections'!BM74</f>
        <v>#DIV/0!</v>
      </c>
      <c r="M74" s="80" t="e">
        <f>'data&amp;corrections'!BN74</f>
        <v>#DIV/0!</v>
      </c>
      <c r="N74" s="80" t="e">
        <f>'data&amp;corrections'!BL74</f>
        <v>#DIV/0!</v>
      </c>
      <c r="O74" s="16"/>
      <c r="P74" s="80" t="e">
        <f>IF('data&amp;corrections'!BE74&gt;0,'data&amp;corrections'!BE74,0)</f>
        <v>#DIV/0!</v>
      </c>
      <c r="Q74" s="80" t="e">
        <f>IF('data&amp;corrections'!BF74&gt;0,'data&amp;corrections'!BF74,0)</f>
        <v>#DIV/0!</v>
      </c>
      <c r="R74" s="80"/>
      <c r="S74" s="81" t="e">
        <f>'data&amp;corrections'!AV74</f>
        <v>#DIV/0!</v>
      </c>
      <c r="T74" s="80" t="e">
        <f>'data&amp;corrections'!AW74</f>
        <v>#DIV/0!</v>
      </c>
      <c r="U74" s="16"/>
      <c r="V74" s="80" t="e">
        <f>(1-'data&amp;corrections'!M74)*2.5</f>
        <v>#DIV/0!</v>
      </c>
      <c r="W74" s="80" t="e">
        <f>(1-'data&amp;corrections'!M74)*0.24</f>
        <v>#DIV/0!</v>
      </c>
      <c r="X74" s="80" t="e">
        <f t="shared" si="18"/>
        <v>#DIV/0!</v>
      </c>
      <c r="Y74" s="80" t="e">
        <f t="shared" si="19"/>
        <v>#DIV/0!</v>
      </c>
      <c r="Z74" s="80" t="e">
        <f t="shared" si="20"/>
        <v>#DIV/0!</v>
      </c>
      <c r="AA74" s="80" t="e">
        <f t="shared" si="21"/>
        <v>#DIV/0!</v>
      </c>
      <c r="AB74" s="80" t="e">
        <f t="shared" si="22"/>
        <v>#DIV/0!</v>
      </c>
      <c r="AC74" s="47"/>
      <c r="AD74" s="80">
        <f>'data&amp;corrections'!CA74</f>
        <v>0</v>
      </c>
      <c r="AE74" s="47"/>
      <c r="AF74" s="80" t="e">
        <f t="shared" si="23"/>
        <v>#DIV/0!</v>
      </c>
    </row>
    <row r="75" spans="1:32">
      <c r="A75" s="146">
        <f>'data&amp;corrections'!A75</f>
        <v>0</v>
      </c>
      <c r="B75" s="47">
        <f>'data&amp;corrections'!B75</f>
        <v>0</v>
      </c>
      <c r="C75" s="47"/>
      <c r="D75" s="80" t="e">
        <f>'data&amp;corrections'!AF75</f>
        <v>#DIV/0!</v>
      </c>
      <c r="E75" s="80" t="e">
        <f>'data&amp;corrections'!AG75</f>
        <v>#DIV/0!</v>
      </c>
      <c r="F75" s="92" t="e">
        <f t="shared" si="16"/>
        <v>#DIV/0!</v>
      </c>
      <c r="G75" s="80" t="e">
        <f t="shared" si="17"/>
        <v>#DIV/0!</v>
      </c>
      <c r="H75" s="80"/>
      <c r="I75" s="80" t="e">
        <f>'data&amp;corrections'!AM75</f>
        <v>#DIV/0!</v>
      </c>
      <c r="J75" s="80" t="e">
        <f>'data&amp;corrections'!AN75</f>
        <v>#DIV/0!</v>
      </c>
      <c r="K75" s="80"/>
      <c r="L75" s="80" t="e">
        <f>'data&amp;corrections'!BM75</f>
        <v>#DIV/0!</v>
      </c>
      <c r="M75" s="80" t="e">
        <f>'data&amp;corrections'!BN75</f>
        <v>#DIV/0!</v>
      </c>
      <c r="N75" s="80" t="e">
        <f>'data&amp;corrections'!BL75</f>
        <v>#DIV/0!</v>
      </c>
      <c r="O75" s="16"/>
      <c r="P75" s="80" t="e">
        <f>IF('data&amp;corrections'!BE75&gt;0,'data&amp;corrections'!BE75,0)</f>
        <v>#DIV/0!</v>
      </c>
      <c r="Q75" s="80" t="e">
        <f>IF('data&amp;corrections'!BF75&gt;0,'data&amp;corrections'!BF75,0)</f>
        <v>#DIV/0!</v>
      </c>
      <c r="R75" s="80"/>
      <c r="S75" s="81" t="e">
        <f>'data&amp;corrections'!AV75</f>
        <v>#DIV/0!</v>
      </c>
      <c r="T75" s="80" t="e">
        <f>'data&amp;corrections'!AW75</f>
        <v>#DIV/0!</v>
      </c>
      <c r="U75" s="16"/>
      <c r="V75" s="80" t="e">
        <f>(1-'data&amp;corrections'!M75)*2.5</f>
        <v>#DIV/0!</v>
      </c>
      <c r="W75" s="80" t="e">
        <f>(1-'data&amp;corrections'!M75)*0.24</f>
        <v>#DIV/0!</v>
      </c>
      <c r="X75" s="80" t="e">
        <f t="shared" si="18"/>
        <v>#DIV/0!</v>
      </c>
      <c r="Y75" s="80" t="e">
        <f t="shared" si="19"/>
        <v>#DIV/0!</v>
      </c>
      <c r="Z75" s="80" t="e">
        <f t="shared" si="20"/>
        <v>#DIV/0!</v>
      </c>
      <c r="AA75" s="80" t="e">
        <f t="shared" si="21"/>
        <v>#DIV/0!</v>
      </c>
      <c r="AB75" s="80" t="e">
        <f t="shared" si="22"/>
        <v>#DIV/0!</v>
      </c>
      <c r="AC75" s="47"/>
      <c r="AD75" s="80">
        <f>'data&amp;corrections'!CA75</f>
        <v>0</v>
      </c>
      <c r="AE75" s="47"/>
      <c r="AF75" s="80" t="e">
        <f t="shared" si="23"/>
        <v>#DIV/0!</v>
      </c>
    </row>
    <row r="76" spans="1:32" s="74" customFormat="1">
      <c r="A76" s="150"/>
      <c r="B76" s="141"/>
      <c r="C76" s="141"/>
      <c r="D76" s="151"/>
      <c r="E76" s="151"/>
      <c r="F76" s="77"/>
      <c r="G76" s="151"/>
      <c r="H76" s="151"/>
      <c r="I76" s="151"/>
      <c r="J76" s="151"/>
      <c r="K76" s="151"/>
      <c r="L76" s="151"/>
      <c r="M76" s="151"/>
      <c r="N76" s="151"/>
      <c r="O76" s="152"/>
      <c r="P76" s="151"/>
      <c r="Q76" s="151"/>
      <c r="R76" s="151"/>
      <c r="S76" s="151"/>
      <c r="T76" s="151"/>
      <c r="U76" s="152"/>
      <c r="V76" s="151"/>
      <c r="W76" s="151"/>
      <c r="X76" s="151"/>
      <c r="Y76" s="151"/>
      <c r="Z76" s="151"/>
      <c r="AA76" s="151"/>
      <c r="AB76" s="151"/>
      <c r="AC76" s="141"/>
      <c r="AD76" s="151"/>
      <c r="AE76" s="141"/>
      <c r="AF76" s="151"/>
    </row>
    <row r="77" spans="1:32" s="74" customFormat="1">
      <c r="A77" s="153"/>
      <c r="B77" s="141"/>
      <c r="C77" s="141"/>
      <c r="D77" s="151"/>
      <c r="E77" s="151"/>
      <c r="F77" s="77"/>
      <c r="G77" s="151"/>
      <c r="H77" s="151"/>
      <c r="I77" s="151"/>
      <c r="J77" s="151"/>
      <c r="K77" s="151"/>
      <c r="L77" s="151"/>
      <c r="M77" s="151"/>
      <c r="N77" s="151"/>
      <c r="O77" s="152"/>
      <c r="P77" s="151"/>
      <c r="Q77" s="151"/>
      <c r="R77" s="151"/>
      <c r="S77" s="151"/>
      <c r="T77" s="151"/>
      <c r="U77" s="152"/>
      <c r="V77" s="151"/>
      <c r="W77" s="151"/>
      <c r="X77" s="151"/>
      <c r="Y77" s="151"/>
      <c r="Z77" s="151"/>
      <c r="AA77" s="151"/>
      <c r="AB77" s="151"/>
      <c r="AC77" s="141"/>
      <c r="AD77" s="151"/>
      <c r="AE77" s="141"/>
      <c r="AF77" s="151"/>
    </row>
    <row r="78" spans="1:32" s="74" customFormat="1">
      <c r="A78" s="153"/>
      <c r="B78" s="141"/>
      <c r="C78" s="141"/>
      <c r="D78" s="151"/>
      <c r="E78" s="151"/>
      <c r="F78" s="77"/>
      <c r="G78" s="151"/>
      <c r="H78" s="151"/>
      <c r="I78" s="151"/>
      <c r="J78" s="151"/>
      <c r="K78" s="151"/>
      <c r="L78" s="151"/>
      <c r="M78" s="151"/>
      <c r="N78" s="151"/>
      <c r="O78" s="152"/>
      <c r="P78" s="151"/>
      <c r="Q78" s="151"/>
      <c r="R78" s="151"/>
      <c r="S78" s="151"/>
      <c r="T78" s="151"/>
      <c r="U78" s="152"/>
      <c r="V78" s="151"/>
      <c r="W78" s="151"/>
      <c r="X78" s="151"/>
      <c r="Y78" s="151"/>
      <c r="Z78" s="151"/>
      <c r="AA78" s="151"/>
      <c r="AB78" s="151"/>
      <c r="AC78" s="141"/>
      <c r="AD78" s="151"/>
      <c r="AE78" s="141"/>
      <c r="AF78" s="151"/>
    </row>
    <row r="79" spans="1:32" s="74" customFormat="1">
      <c r="A79" s="153"/>
      <c r="B79" s="141"/>
      <c r="C79" s="141"/>
      <c r="D79" s="151"/>
      <c r="E79" s="151"/>
      <c r="F79" s="77"/>
      <c r="G79" s="151"/>
      <c r="H79" s="151"/>
      <c r="I79" s="151"/>
      <c r="J79" s="151"/>
      <c r="K79" s="151"/>
      <c r="L79" s="151"/>
      <c r="M79" s="151"/>
      <c r="N79" s="151"/>
      <c r="O79" s="152"/>
      <c r="P79" s="151"/>
      <c r="Q79" s="151"/>
      <c r="R79" s="151"/>
      <c r="S79" s="151"/>
      <c r="T79" s="151"/>
      <c r="U79" s="152"/>
      <c r="V79" s="151"/>
      <c r="W79" s="151"/>
      <c r="X79" s="151"/>
      <c r="Y79" s="151"/>
      <c r="Z79" s="151"/>
      <c r="AA79" s="151"/>
      <c r="AB79" s="151"/>
      <c r="AC79" s="141"/>
      <c r="AD79" s="151"/>
      <c r="AE79" s="141"/>
      <c r="AF79" s="151"/>
    </row>
    <row r="80" spans="1:32" s="74" customFormat="1">
      <c r="A80" s="153"/>
      <c r="B80" s="141"/>
      <c r="C80" s="141"/>
      <c r="D80" s="151"/>
      <c r="E80" s="151"/>
      <c r="F80" s="77"/>
      <c r="G80" s="151"/>
      <c r="H80" s="151"/>
      <c r="I80" s="151"/>
      <c r="J80" s="151"/>
      <c r="K80" s="151"/>
      <c r="L80" s="151"/>
      <c r="M80" s="151"/>
      <c r="N80" s="151"/>
      <c r="O80" s="152"/>
      <c r="P80" s="151"/>
      <c r="Q80" s="151"/>
      <c r="R80" s="151"/>
      <c r="S80" s="151"/>
      <c r="T80" s="151"/>
      <c r="U80" s="152"/>
      <c r="V80" s="151"/>
      <c r="W80" s="151"/>
      <c r="X80" s="151"/>
      <c r="Y80" s="151"/>
      <c r="Z80" s="151"/>
      <c r="AA80" s="151"/>
      <c r="AB80" s="151"/>
      <c r="AC80" s="141"/>
      <c r="AD80" s="151"/>
      <c r="AE80" s="141"/>
      <c r="AF80" s="151"/>
    </row>
    <row r="81" spans="1:32" s="74" customFormat="1">
      <c r="A81" s="153"/>
      <c r="B81" s="141"/>
      <c r="C81" s="141"/>
      <c r="D81" s="151"/>
      <c r="E81" s="151"/>
      <c r="F81" s="77"/>
      <c r="G81" s="151"/>
      <c r="H81" s="151"/>
      <c r="I81" s="151"/>
      <c r="J81" s="151"/>
      <c r="K81" s="151"/>
      <c r="L81" s="151"/>
      <c r="M81" s="151"/>
      <c r="N81" s="151"/>
      <c r="O81" s="152"/>
      <c r="P81" s="151"/>
      <c r="Q81" s="151"/>
      <c r="R81" s="151"/>
      <c r="S81" s="151"/>
      <c r="T81" s="151"/>
      <c r="U81" s="152"/>
      <c r="V81" s="151"/>
      <c r="W81" s="151"/>
      <c r="X81" s="151"/>
      <c r="Y81" s="151"/>
      <c r="Z81" s="151"/>
      <c r="AA81" s="151"/>
      <c r="AB81" s="151"/>
      <c r="AC81" s="141"/>
      <c r="AD81" s="151"/>
      <c r="AE81" s="141"/>
      <c r="AF81" s="151"/>
    </row>
    <row r="82" spans="1:32" s="74" customFormat="1">
      <c r="A82" s="153"/>
      <c r="B82" s="141"/>
      <c r="C82" s="141"/>
      <c r="D82" s="151"/>
      <c r="E82" s="151"/>
      <c r="F82" s="77"/>
      <c r="G82" s="151"/>
      <c r="H82" s="151"/>
      <c r="I82" s="151"/>
      <c r="J82" s="151"/>
      <c r="K82" s="151"/>
      <c r="L82" s="151"/>
      <c r="M82" s="151"/>
      <c r="N82" s="151"/>
      <c r="O82" s="152"/>
      <c r="P82" s="151"/>
      <c r="Q82" s="151"/>
      <c r="R82" s="151"/>
      <c r="S82" s="151"/>
      <c r="T82" s="151"/>
      <c r="U82" s="152"/>
      <c r="V82" s="151"/>
      <c r="W82" s="151"/>
      <c r="X82" s="151"/>
      <c r="Y82" s="151"/>
      <c r="Z82" s="151"/>
      <c r="AA82" s="151"/>
      <c r="AB82" s="151"/>
      <c r="AC82" s="141"/>
      <c r="AD82" s="151"/>
      <c r="AE82" s="141"/>
      <c r="AF82" s="151"/>
    </row>
    <row r="83" spans="1:32" s="74" customFormat="1">
      <c r="A83" s="153"/>
      <c r="B83" s="141"/>
      <c r="C83" s="141"/>
      <c r="D83" s="151"/>
      <c r="E83" s="151"/>
      <c r="F83" s="77"/>
      <c r="G83" s="151"/>
      <c r="H83" s="151"/>
      <c r="I83" s="151"/>
      <c r="J83" s="151"/>
      <c r="K83" s="151"/>
      <c r="L83" s="151"/>
      <c r="M83" s="151"/>
      <c r="N83" s="151"/>
      <c r="O83" s="152"/>
      <c r="P83" s="151"/>
      <c r="Q83" s="151"/>
      <c r="R83" s="151"/>
      <c r="S83" s="151"/>
      <c r="T83" s="151"/>
      <c r="U83" s="152"/>
      <c r="V83" s="151"/>
      <c r="W83" s="151"/>
      <c r="X83" s="151"/>
      <c r="Y83" s="151"/>
      <c r="Z83" s="151"/>
      <c r="AA83" s="151"/>
      <c r="AB83" s="151"/>
      <c r="AC83" s="141"/>
      <c r="AD83" s="151"/>
      <c r="AE83" s="141"/>
      <c r="AF83" s="151"/>
    </row>
    <row r="84" spans="1:32" s="74" customFormat="1">
      <c r="A84" s="153"/>
      <c r="B84" s="141"/>
      <c r="C84" s="141"/>
      <c r="D84" s="151"/>
      <c r="E84" s="151"/>
      <c r="F84" s="77"/>
      <c r="G84" s="151"/>
      <c r="H84" s="151"/>
      <c r="I84" s="151"/>
      <c r="J84" s="151"/>
      <c r="K84" s="151"/>
      <c r="L84" s="151"/>
      <c r="M84" s="151"/>
      <c r="N84" s="151"/>
      <c r="O84" s="152"/>
      <c r="P84" s="151"/>
      <c r="Q84" s="151"/>
      <c r="R84" s="151"/>
      <c r="S84" s="151"/>
      <c r="T84" s="151"/>
      <c r="U84" s="152"/>
      <c r="V84" s="151"/>
      <c r="W84" s="151"/>
      <c r="X84" s="151"/>
      <c r="Y84" s="151"/>
      <c r="Z84" s="151"/>
      <c r="AA84" s="151"/>
      <c r="AB84" s="151"/>
      <c r="AC84" s="141"/>
      <c r="AD84" s="151"/>
      <c r="AE84" s="141"/>
      <c r="AF84" s="151"/>
    </row>
    <row r="85" spans="1:32" s="74" customFormat="1">
      <c r="A85" s="153"/>
      <c r="B85" s="141"/>
      <c r="C85" s="141"/>
      <c r="D85" s="151"/>
      <c r="E85" s="151"/>
      <c r="F85" s="77"/>
      <c r="G85" s="151"/>
      <c r="H85" s="151"/>
      <c r="I85" s="151"/>
      <c r="J85" s="151"/>
      <c r="K85" s="151"/>
      <c r="L85" s="151"/>
      <c r="M85" s="151"/>
      <c r="N85" s="151"/>
      <c r="O85" s="152"/>
      <c r="P85" s="151"/>
      <c r="Q85" s="151"/>
      <c r="R85" s="151"/>
      <c r="S85" s="151"/>
      <c r="T85" s="151"/>
      <c r="U85" s="152"/>
      <c r="V85" s="151"/>
      <c r="W85" s="151"/>
      <c r="X85" s="151"/>
      <c r="Y85" s="151"/>
      <c r="Z85" s="151"/>
      <c r="AA85" s="151"/>
      <c r="AB85" s="151"/>
      <c r="AC85" s="141"/>
      <c r="AD85" s="151"/>
      <c r="AE85" s="141"/>
      <c r="AF85" s="151"/>
    </row>
    <row r="86" spans="1:32" s="74" customFormat="1">
      <c r="A86" s="153"/>
      <c r="B86" s="141"/>
      <c r="C86" s="141"/>
      <c r="D86" s="151"/>
      <c r="E86" s="151"/>
      <c r="F86" s="77"/>
      <c r="G86" s="151"/>
      <c r="H86" s="151"/>
      <c r="I86" s="151"/>
      <c r="J86" s="151"/>
      <c r="K86" s="151"/>
      <c r="L86" s="151"/>
      <c r="M86" s="151"/>
      <c r="N86" s="151"/>
      <c r="O86" s="152"/>
      <c r="P86" s="151"/>
      <c r="Q86" s="151"/>
      <c r="R86" s="151"/>
      <c r="S86" s="151"/>
      <c r="T86" s="151"/>
      <c r="U86" s="152"/>
      <c r="V86" s="151"/>
      <c r="W86" s="151"/>
      <c r="X86" s="151"/>
      <c r="Y86" s="151"/>
      <c r="Z86" s="151"/>
      <c r="AA86" s="151"/>
      <c r="AB86" s="151"/>
      <c r="AC86" s="141"/>
      <c r="AD86" s="151"/>
      <c r="AE86" s="141"/>
      <c r="AF86" s="151"/>
    </row>
    <row r="87" spans="1:32" s="74" customFormat="1">
      <c r="A87" s="153"/>
      <c r="B87" s="141"/>
      <c r="C87" s="141"/>
      <c r="D87" s="151"/>
      <c r="E87" s="151"/>
      <c r="F87" s="77"/>
      <c r="G87" s="151"/>
      <c r="H87" s="151"/>
      <c r="I87" s="151"/>
      <c r="J87" s="151"/>
      <c r="K87" s="151"/>
      <c r="L87" s="151"/>
      <c r="M87" s="151"/>
      <c r="N87" s="151"/>
      <c r="O87" s="152"/>
      <c r="P87" s="151"/>
      <c r="Q87" s="151"/>
      <c r="R87" s="151"/>
      <c r="S87" s="151"/>
      <c r="T87" s="151"/>
      <c r="U87" s="152"/>
      <c r="V87" s="151"/>
      <c r="W87" s="151"/>
      <c r="X87" s="151"/>
      <c r="Y87" s="151"/>
      <c r="Z87" s="151"/>
      <c r="AA87" s="151"/>
      <c r="AB87" s="151"/>
      <c r="AC87" s="141"/>
      <c r="AD87" s="151"/>
      <c r="AE87" s="141"/>
      <c r="AF87" s="151"/>
    </row>
    <row r="88" spans="1:32" s="74" customFormat="1">
      <c r="A88" s="153"/>
      <c r="B88" s="141"/>
      <c r="C88" s="141"/>
      <c r="D88" s="151"/>
      <c r="E88" s="151"/>
      <c r="F88" s="77"/>
      <c r="G88" s="151"/>
      <c r="H88" s="151"/>
      <c r="I88" s="151"/>
      <c r="J88" s="151"/>
      <c r="K88" s="151"/>
      <c r="L88" s="151"/>
      <c r="M88" s="151"/>
      <c r="N88" s="151"/>
      <c r="O88" s="152"/>
      <c r="P88" s="151"/>
      <c r="Q88" s="151"/>
      <c r="R88" s="151"/>
      <c r="S88" s="151"/>
      <c r="T88" s="151"/>
      <c r="U88" s="152"/>
      <c r="V88" s="151"/>
      <c r="W88" s="151"/>
      <c r="X88" s="151"/>
      <c r="Y88" s="151"/>
      <c r="Z88" s="151"/>
      <c r="AA88" s="151"/>
      <c r="AB88" s="151"/>
      <c r="AC88" s="141"/>
      <c r="AD88" s="151"/>
      <c r="AE88" s="141"/>
      <c r="AF88" s="151"/>
    </row>
    <row r="89" spans="1:32" s="74" customFormat="1">
      <c r="A89" s="154"/>
      <c r="F89" s="75"/>
      <c r="O89" s="76"/>
      <c r="P89" s="75"/>
      <c r="Q89" s="75"/>
      <c r="R89" s="75"/>
      <c r="U89" s="76"/>
    </row>
  </sheetData>
  <phoneticPr fontId="0" type="noConversion"/>
  <pageMargins left="0.7" right="0.7" top="0.75" bottom="0.75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523E-2089-9C42-AA25-8C346F6E5AA3}">
  <dimension ref="A1:AC89"/>
  <sheetViews>
    <sheetView topLeftCell="A25" workbookViewId="0">
      <selection activeCell="B47" sqref="B47"/>
    </sheetView>
  </sheetViews>
  <sheetFormatPr baseColWidth="10" defaultRowHeight="14"/>
  <cols>
    <col min="3" max="3" width="7.7109375" customWidth="1"/>
    <col min="14" max="14" width="2.28515625" customWidth="1"/>
    <col min="17" max="17" width="3.140625" customWidth="1"/>
    <col min="22" max="22" width="3.42578125" customWidth="1"/>
  </cols>
  <sheetData>
    <row r="1" spans="1:29" s="166" customFormat="1" ht="60">
      <c r="A1" s="159" t="s">
        <v>154</v>
      </c>
      <c r="B1" s="159" t="s">
        <v>19</v>
      </c>
      <c r="C1" s="159"/>
      <c r="D1" s="159" t="s">
        <v>138</v>
      </c>
      <c r="E1" s="159" t="s">
        <v>139</v>
      </c>
      <c r="F1" s="160" t="s">
        <v>212</v>
      </c>
      <c r="G1" s="160" t="s">
        <v>213</v>
      </c>
      <c r="H1" s="160" t="s">
        <v>265</v>
      </c>
      <c r="I1" s="159" t="s">
        <v>266</v>
      </c>
      <c r="J1" s="159" t="s">
        <v>267</v>
      </c>
      <c r="K1" s="182" t="s">
        <v>231</v>
      </c>
      <c r="L1" s="182" t="s">
        <v>268</v>
      </c>
      <c r="M1" s="159" t="s">
        <v>269</v>
      </c>
      <c r="N1" s="159"/>
      <c r="O1" s="159" t="s">
        <v>214</v>
      </c>
      <c r="P1" s="161" t="s">
        <v>215</v>
      </c>
      <c r="Q1" s="161"/>
      <c r="R1" s="159" t="s">
        <v>134</v>
      </c>
      <c r="S1" s="159" t="s">
        <v>158</v>
      </c>
      <c r="T1" s="160" t="s">
        <v>216</v>
      </c>
      <c r="U1" s="160" t="s">
        <v>217</v>
      </c>
      <c r="W1" s="159" t="s">
        <v>223</v>
      </c>
      <c r="X1" s="159" t="s">
        <v>224</v>
      </c>
      <c r="Y1" s="159" t="s">
        <v>225</v>
      </c>
      <c r="Z1" s="159" t="s">
        <v>226</v>
      </c>
      <c r="AA1" s="159" t="s">
        <v>227</v>
      </c>
      <c r="AB1" s="159" t="s">
        <v>225</v>
      </c>
      <c r="AC1" s="159" t="s">
        <v>228</v>
      </c>
    </row>
    <row r="2" spans="1:29">
      <c r="A2" t="str">
        <f>activity!A9</f>
        <v>0-2</v>
      </c>
      <c r="B2">
        <f>activity!B9</f>
        <v>-1</v>
      </c>
      <c r="D2" s="14">
        <f>activity!F9</f>
        <v>16.787146342237641</v>
      </c>
      <c r="E2" s="14">
        <f>activity!G9</f>
        <v>0.55937314507940228</v>
      </c>
      <c r="F2" s="14">
        <f>((D2/60)*1000)</f>
        <v>279.78577237062734</v>
      </c>
      <c r="G2" s="14">
        <f>((E2/60)*1000)</f>
        <v>9.3228857513233709</v>
      </c>
      <c r="H2" s="183">
        <f>LN(F2)</f>
        <v>5.634024211655551</v>
      </c>
      <c r="I2" s="183">
        <f>W2*2</f>
        <v>0.61610882295959501</v>
      </c>
      <c r="J2" s="183">
        <f>-SUM(I$2:I2)</f>
        <v>-0.61610882295959501</v>
      </c>
      <c r="K2" s="184">
        <v>7.4580492601039161</v>
      </c>
      <c r="L2" s="185">
        <f>I2*K2/100</f>
        <v>4.5949699512173023E-2</v>
      </c>
      <c r="M2" s="183">
        <f>-SUM(L$2:L2)</f>
        <v>-4.5949699512173023E-2</v>
      </c>
      <c r="O2">
        <v>0</v>
      </c>
      <c r="P2">
        <v>3</v>
      </c>
      <c r="R2" s="14">
        <f>activity!S9</f>
        <v>0.52460405636580176</v>
      </c>
      <c r="S2" s="14">
        <f>activity!T9</f>
        <v>8.3500386417795947E-2</v>
      </c>
      <c r="T2" s="14">
        <f>((R2/60)*1000)</f>
        <v>8.7434009394300283</v>
      </c>
      <c r="U2" s="14">
        <f>((S2/60)*1000)</f>
        <v>1.3916731069632657</v>
      </c>
      <c r="W2" s="63">
        <v>0.30805441147979751</v>
      </c>
      <c r="X2" s="14">
        <f>W2*D2*2</f>
        <v>10.342708973766504</v>
      </c>
      <c r="Y2" s="17">
        <f>SUM(X2:X26)</f>
        <v>47.259501846252483</v>
      </c>
      <c r="Z2" s="17">
        <f>Y2*0.03101</f>
        <v>1.4655171522522894</v>
      </c>
      <c r="AA2" s="14">
        <f>W2*R2*2</f>
        <v>0.32321318768736318</v>
      </c>
      <c r="AB2" s="17">
        <f>SUM(AA2:AA26)</f>
        <v>14.985335755079225</v>
      </c>
      <c r="AC2" s="17">
        <f>AB2*0.0332557</f>
        <v>0.4983478302701882</v>
      </c>
    </row>
    <row r="3" spans="1:29">
      <c r="A3" t="str">
        <f>activity!A10</f>
        <v>2-4</v>
      </c>
      <c r="B3">
        <f>activity!B10</f>
        <v>-3</v>
      </c>
      <c r="D3" s="14">
        <f>activity!F10</f>
        <v>11.880702888312618</v>
      </c>
      <c r="E3" s="14">
        <f>activity!G10</f>
        <v>0.4345139094938128</v>
      </c>
      <c r="F3" s="14">
        <f t="shared" ref="F3:F20" si="0">((D3/60)*1000)</f>
        <v>198.01171480521029</v>
      </c>
      <c r="G3" s="14">
        <f t="shared" ref="G3:G20" si="1">((E3/60)*1000)</f>
        <v>7.2418984915635471</v>
      </c>
      <c r="H3" s="183">
        <f t="shared" ref="H3:H13" si="2">LN(F3)</f>
        <v>5.2883261946271958</v>
      </c>
      <c r="I3" s="183">
        <f t="shared" ref="I3:I13" si="3">W3*2</f>
        <v>0.69699377778264071</v>
      </c>
      <c r="J3" s="183">
        <f>-SUM(I$2:I3)</f>
        <v>-1.3131026007422357</v>
      </c>
      <c r="K3" s="184">
        <v>13.664072664416814</v>
      </c>
      <c r="L3" s="185">
        <f t="shared" ref="L3:L13" si="4">I3*K3/100</f>
        <v>9.5237736262683892E-2</v>
      </c>
      <c r="M3" s="183">
        <f>-SUM(L$2:L3)</f>
        <v>-0.14118743577485693</v>
      </c>
      <c r="O3">
        <v>-1</v>
      </c>
      <c r="P3">
        <v>3</v>
      </c>
      <c r="R3" s="14">
        <f>activity!S10</f>
        <v>0.6257009810394969</v>
      </c>
      <c r="S3" s="14">
        <f>activity!T10</f>
        <v>6.5889001271007427E-2</v>
      </c>
      <c r="T3" s="14">
        <f t="shared" ref="T3:T20" si="5">((R3/60)*1000)</f>
        <v>10.428349683991614</v>
      </c>
      <c r="U3" s="14">
        <f t="shared" ref="U3:U20" si="6">((S3/60)*1000)</f>
        <v>1.0981500211834572</v>
      </c>
      <c r="W3" s="63">
        <v>0.34849688889132036</v>
      </c>
      <c r="X3" s="14">
        <f t="shared" ref="X3:X25" si="7">W3*D3*2</f>
        <v>8.2807759888381423</v>
      </c>
      <c r="AA3" s="14">
        <f t="shared" ref="AA3:AA25" si="8">W3*R3*2</f>
        <v>0.43610969053702336</v>
      </c>
    </row>
    <row r="4" spans="1:29">
      <c r="A4" t="str">
        <f>activity!A11</f>
        <v>4-6</v>
      </c>
      <c r="B4">
        <f>activity!B11</f>
        <v>-5</v>
      </c>
      <c r="D4" s="14">
        <f>activity!F11</f>
        <v>9.3036627970524375</v>
      </c>
      <c r="E4" s="14">
        <f>activity!G11</f>
        <v>0.38054081503397563</v>
      </c>
      <c r="F4" s="14">
        <f t="shared" si="0"/>
        <v>155.06104661754063</v>
      </c>
      <c r="G4" s="14">
        <f t="shared" si="1"/>
        <v>6.342346917232927</v>
      </c>
      <c r="H4" s="183">
        <f t="shared" si="2"/>
        <v>5.0438188885264532</v>
      </c>
      <c r="I4" s="183">
        <f t="shared" si="3"/>
        <v>0.74065957633422497</v>
      </c>
      <c r="J4" s="183">
        <f>-SUM(I$2:I4)</f>
        <v>-2.0537621770764609</v>
      </c>
      <c r="K4" s="184">
        <v>10.788805229757873</v>
      </c>
      <c r="L4" s="185">
        <f t="shared" si="4"/>
        <v>7.9908319106249376E-2</v>
      </c>
      <c r="M4" s="183">
        <f>-SUM(L$2:L4)</f>
        <v>-0.2210957548811063</v>
      </c>
      <c r="O4">
        <v>-3</v>
      </c>
      <c r="P4">
        <v>3</v>
      </c>
      <c r="R4" s="14">
        <f>activity!S11</f>
        <v>0.75456757975712241</v>
      </c>
      <c r="S4" s="14">
        <f>activity!T11</f>
        <v>7.1812998149201265E-2</v>
      </c>
      <c r="T4" s="14">
        <f t="shared" si="5"/>
        <v>12.576126329285373</v>
      </c>
      <c r="U4" s="14">
        <f t="shared" si="6"/>
        <v>1.1968833024866878</v>
      </c>
      <c r="W4" s="63">
        <v>0.37032978816711248</v>
      </c>
      <c r="X4" s="14">
        <f t="shared" si="7"/>
        <v>6.890846945621349</v>
      </c>
      <c r="AA4" s="14">
        <f t="shared" si="8"/>
        <v>0.55887770393845182</v>
      </c>
    </row>
    <row r="5" spans="1:29">
      <c r="A5" t="str">
        <f>activity!A12</f>
        <v>6-8</v>
      </c>
      <c r="B5">
        <f>activity!B12</f>
        <v>-7</v>
      </c>
      <c r="D5" s="14">
        <f>activity!F12</f>
        <v>8.2662592364164755</v>
      </c>
      <c r="E5" s="14">
        <f>activity!G12</f>
        <v>0.35906205362356014</v>
      </c>
      <c r="F5" s="14">
        <f t="shared" si="0"/>
        <v>137.77098727360791</v>
      </c>
      <c r="G5" s="14">
        <f t="shared" si="1"/>
        <v>5.9843675603926689</v>
      </c>
      <c r="H5" s="183">
        <f t="shared" si="2"/>
        <v>4.9255927941309103</v>
      </c>
      <c r="I5" s="183">
        <f t="shared" si="3"/>
        <v>0.73209212405709301</v>
      </c>
      <c r="J5" s="183">
        <f>-SUM(I$2:I5)</f>
        <v>-2.7858543011335541</v>
      </c>
      <c r="K5" s="184">
        <v>11.105812067657359</v>
      </c>
      <c r="L5" s="185">
        <f t="shared" si="4"/>
        <v>8.130477545990171E-2</v>
      </c>
      <c r="M5" s="183">
        <f>-SUM(L$2:L5)</f>
        <v>-0.302400530341008</v>
      </c>
      <c r="O5">
        <v>-5</v>
      </c>
      <c r="P5">
        <v>3</v>
      </c>
      <c r="R5" s="14">
        <f>activity!S12</f>
        <v>1.3574677383051816</v>
      </c>
      <c r="S5" s="14">
        <f>activity!T12</f>
        <v>8.3753278029987874E-2</v>
      </c>
      <c r="T5" s="14">
        <f t="shared" si="5"/>
        <v>22.624462305086361</v>
      </c>
      <c r="U5" s="14">
        <f t="shared" si="6"/>
        <v>1.3958879671664646</v>
      </c>
      <c r="W5" s="63">
        <v>0.3660460620285465</v>
      </c>
      <c r="X5" s="14">
        <f t="shared" si="7"/>
        <v>6.051663282394701</v>
      </c>
      <c r="AA5" s="14">
        <f t="shared" si="8"/>
        <v>0.99379143987481855</v>
      </c>
    </row>
    <row r="6" spans="1:29">
      <c r="A6" t="str">
        <f>activity!A13</f>
        <v>8-10</v>
      </c>
      <c r="B6">
        <f>activity!B13</f>
        <v>-9</v>
      </c>
      <c r="D6" s="14">
        <f>activity!F13</f>
        <v>5.7978797013695438</v>
      </c>
      <c r="E6" s="14">
        <f>activity!G13</f>
        <v>0.33386083556896456</v>
      </c>
      <c r="F6" s="14">
        <f t="shared" si="0"/>
        <v>96.631328356159059</v>
      </c>
      <c r="G6" s="14">
        <f t="shared" si="1"/>
        <v>5.5643472594827426</v>
      </c>
      <c r="H6" s="183">
        <f t="shared" si="2"/>
        <v>4.570902998746484</v>
      </c>
      <c r="I6" s="183">
        <f t="shared" si="3"/>
        <v>0.77078539119636913</v>
      </c>
      <c r="J6" s="183">
        <f>-SUM(I$2:I6)</f>
        <v>-3.5566396923299233</v>
      </c>
      <c r="K6" s="184">
        <v>10.700676512318507</v>
      </c>
      <c r="L6" s="185">
        <f t="shared" si="4"/>
        <v>8.2479251316132207E-2</v>
      </c>
      <c r="M6" s="183">
        <f>-SUM(L$2:L6)</f>
        <v>-0.38487978165714021</v>
      </c>
      <c r="O6">
        <v>-7</v>
      </c>
      <c r="P6">
        <v>3</v>
      </c>
      <c r="R6" s="14">
        <f>activity!S13</f>
        <v>2.8666435913443897</v>
      </c>
      <c r="S6" s="14">
        <f>activity!T13</f>
        <v>0.11460637149853665</v>
      </c>
      <c r="T6" s="14">
        <f t="shared" si="5"/>
        <v>47.777393189073159</v>
      </c>
      <c r="U6" s="14">
        <f t="shared" si="6"/>
        <v>1.9101061916422775</v>
      </c>
      <c r="W6" s="63">
        <v>0.38539269559818456</v>
      </c>
      <c r="X6" s="14">
        <f t="shared" si="7"/>
        <v>4.4689209737296114</v>
      </c>
      <c r="AA6" s="14">
        <f t="shared" si="8"/>
        <v>2.2095670019749498</v>
      </c>
    </row>
    <row r="7" spans="1:29">
      <c r="A7" t="str">
        <f>activity!A14</f>
        <v>10-12</v>
      </c>
      <c r="B7">
        <f>activity!B14</f>
        <v>-11</v>
      </c>
      <c r="D7" s="14">
        <f>activity!F14</f>
        <v>3.4435315141295795</v>
      </c>
      <c r="E7" s="14">
        <f>activity!G14</f>
        <v>0.27578019054104158</v>
      </c>
      <c r="F7" s="14">
        <f t="shared" si="0"/>
        <v>57.392191902159652</v>
      </c>
      <c r="G7" s="14">
        <f t="shared" si="1"/>
        <v>4.5963365090173598</v>
      </c>
      <c r="H7" s="183">
        <f t="shared" si="2"/>
        <v>4.049908264493558</v>
      </c>
      <c r="I7" s="183">
        <f t="shared" si="3"/>
        <v>0.75656284911371297</v>
      </c>
      <c r="J7" s="183">
        <f>-SUM(I$2:I7)</f>
        <v>-4.3132025414436361</v>
      </c>
      <c r="K7" s="184">
        <v>9.0434535123966207</v>
      </c>
      <c r="L7" s="185">
        <f t="shared" si="4"/>
        <v>6.8419409551662022E-2</v>
      </c>
      <c r="M7" s="183">
        <f>-SUM(L$2:L7)</f>
        <v>-0.45329919120880224</v>
      </c>
      <c r="O7">
        <v>-9</v>
      </c>
      <c r="P7">
        <v>3</v>
      </c>
      <c r="R7" s="14">
        <f>activity!S14</f>
        <v>6.2543638094611227</v>
      </c>
      <c r="S7" s="14">
        <f>activity!T14</f>
        <v>0.14996957662449359</v>
      </c>
      <c r="T7" s="14">
        <f t="shared" si="5"/>
        <v>104.23939682435204</v>
      </c>
      <c r="U7" s="14">
        <f t="shared" si="6"/>
        <v>2.4994929437415601</v>
      </c>
      <c r="W7" s="63">
        <v>0.37828142455685648</v>
      </c>
      <c r="X7" s="14">
        <f t="shared" si="7"/>
        <v>2.6052480133427327</v>
      </c>
      <c r="AA7" s="14">
        <f t="shared" si="8"/>
        <v>4.7318193030796021</v>
      </c>
    </row>
    <row r="8" spans="1:29">
      <c r="A8" t="str">
        <f>activity!A15</f>
        <v>12-14</v>
      </c>
      <c r="B8">
        <f>activity!B15</f>
        <v>-13</v>
      </c>
      <c r="D8" s="14">
        <f>activity!F15</f>
        <v>2.2367471680151807</v>
      </c>
      <c r="E8" s="14">
        <f>activity!G15</f>
        <v>0.28523630679386158</v>
      </c>
      <c r="F8" s="14">
        <f t="shared" si="0"/>
        <v>37.279119466919674</v>
      </c>
      <c r="G8" s="14">
        <f t="shared" si="1"/>
        <v>4.7539384465643595</v>
      </c>
      <c r="H8" s="183">
        <f t="shared" si="2"/>
        <v>3.6184333700888671</v>
      </c>
      <c r="I8" s="183">
        <f t="shared" si="3"/>
        <v>0.76048820996879174</v>
      </c>
      <c r="J8" s="183">
        <f>-SUM(I$2:I8)</f>
        <v>-5.0736907514124283</v>
      </c>
      <c r="K8" s="184">
        <v>12.026977830000071</v>
      </c>
      <c r="L8" s="185">
        <f t="shared" si="4"/>
        <v>9.1463748412710974E-2</v>
      </c>
      <c r="M8" s="183">
        <f>-SUM(L$2:L8)</f>
        <v>-0.54476293962151323</v>
      </c>
      <c r="O8">
        <v>-11</v>
      </c>
      <c r="P8">
        <v>3</v>
      </c>
      <c r="R8" s="14">
        <f>activity!S15</f>
        <v>5.8655598354493508</v>
      </c>
      <c r="S8" s="14">
        <f>activity!T15</f>
        <v>0.16440796910827313</v>
      </c>
      <c r="T8" s="14">
        <f t="shared" si="5"/>
        <v>97.759330590822501</v>
      </c>
      <c r="U8" s="14">
        <f t="shared" si="6"/>
        <v>2.7401328184712188</v>
      </c>
      <c r="W8" s="63">
        <v>0.38024410498439587</v>
      </c>
      <c r="X8" s="14">
        <f t="shared" si="7"/>
        <v>1.7010198499566291</v>
      </c>
      <c r="AA8" s="14">
        <f t="shared" si="8"/>
        <v>4.4606890997257178</v>
      </c>
    </row>
    <row r="9" spans="1:29">
      <c r="A9" t="str">
        <f>activity!A16</f>
        <v>14-16</v>
      </c>
      <c r="B9">
        <f>activity!B16</f>
        <v>-15</v>
      </c>
      <c r="D9" s="14">
        <f>activity!F16</f>
        <v>1.1846409168585736</v>
      </c>
      <c r="E9" s="14">
        <f>activity!G16</f>
        <v>0.23778687470974411</v>
      </c>
      <c r="F9" s="14">
        <f t="shared" si="0"/>
        <v>19.744015280976228</v>
      </c>
      <c r="G9" s="14">
        <f t="shared" si="1"/>
        <v>3.9631145784957349</v>
      </c>
      <c r="H9" s="183">
        <f t="shared" si="2"/>
        <v>2.9828504216781186</v>
      </c>
      <c r="I9" s="183">
        <f t="shared" si="3"/>
        <v>0.8136994799457381</v>
      </c>
      <c r="J9" s="183">
        <f>-SUM(I$2:I9)</f>
        <v>-5.8873902313581663</v>
      </c>
      <c r="K9" s="184">
        <v>12.153808402545902</v>
      </c>
      <c r="L9" s="185">
        <f t="shared" si="4"/>
        <v>9.8895475765117424E-2</v>
      </c>
      <c r="M9" s="183">
        <f>-SUM(L$2:L9)</f>
        <v>-0.64365841538663071</v>
      </c>
      <c r="O9">
        <v>-13</v>
      </c>
      <c r="P9">
        <v>3</v>
      </c>
      <c r="R9" s="14">
        <f>activity!S16</f>
        <v>0.81648096623984945</v>
      </c>
      <c r="S9" s="14">
        <f>activity!T16</f>
        <v>6.5684815881484018E-2</v>
      </c>
      <c r="T9" s="14">
        <f t="shared" si="5"/>
        <v>13.608016103997491</v>
      </c>
      <c r="U9" s="14">
        <f t="shared" si="6"/>
        <v>1.0947469313580671</v>
      </c>
      <c r="W9" s="63">
        <v>0.40684973997286905</v>
      </c>
      <c r="X9" s="14">
        <f t="shared" si="7"/>
        <v>0.96394169797026374</v>
      </c>
      <c r="AA9" s="14">
        <f t="shared" si="8"/>
        <v>0.66437013761495922</v>
      </c>
    </row>
    <row r="10" spans="1:29">
      <c r="A10" t="str">
        <f>activity!A17</f>
        <v>16-18</v>
      </c>
      <c r="B10">
        <f>activity!B17</f>
        <v>-17</v>
      </c>
      <c r="D10" s="14">
        <f>activity!F17</f>
        <v>1.1812465982606106</v>
      </c>
      <c r="E10" s="14">
        <f>activity!G17</f>
        <v>0.25108299916819449</v>
      </c>
      <c r="F10" s="14">
        <f t="shared" si="0"/>
        <v>19.68744330434351</v>
      </c>
      <c r="G10" s="14">
        <f t="shared" si="1"/>
        <v>4.1847166528032416</v>
      </c>
      <c r="H10" s="183">
        <f t="shared" si="2"/>
        <v>2.9799810368023278</v>
      </c>
      <c r="I10" s="183">
        <f t="shared" si="3"/>
        <v>0.75028216710244167</v>
      </c>
      <c r="J10" s="183">
        <f>-SUM(I$2:I10)</f>
        <v>-6.6376723984606079</v>
      </c>
      <c r="K10" s="184">
        <v>13.354152119999975</v>
      </c>
      <c r="L10" s="185">
        <f t="shared" si="4"/>
        <v>0.10019382192409249</v>
      </c>
      <c r="M10" s="183">
        <f>-SUM(L$2:L10)</f>
        <v>-0.74385223731072325</v>
      </c>
      <c r="O10">
        <v>-15</v>
      </c>
      <c r="P10">
        <v>3</v>
      </c>
      <c r="R10" s="14">
        <f>activity!S17</f>
        <v>0.39315515930947925</v>
      </c>
      <c r="S10" s="14">
        <f>activity!T17</f>
        <v>5.5852043857386451E-2</v>
      </c>
      <c r="T10" s="14">
        <f t="shared" si="5"/>
        <v>6.5525859884913205</v>
      </c>
      <c r="U10" s="14">
        <f t="shared" si="6"/>
        <v>0.93086739762310755</v>
      </c>
      <c r="W10" s="63">
        <v>0.37514108355122083</v>
      </c>
      <c r="X10" s="14">
        <f t="shared" si="7"/>
        <v>0.88626825762535821</v>
      </c>
      <c r="AA10" s="14">
        <f t="shared" si="8"/>
        <v>0.29497730493422181</v>
      </c>
    </row>
    <row r="11" spans="1:29">
      <c r="A11" t="str">
        <f>activity!A18</f>
        <v>18-20</v>
      </c>
      <c r="B11">
        <f>activity!B18</f>
        <v>-19</v>
      </c>
      <c r="D11" s="14">
        <f>activity!F18</f>
        <v>1.4103137460547015</v>
      </c>
      <c r="E11" s="14">
        <f>activity!G18</f>
        <v>0.30872102650704097</v>
      </c>
      <c r="F11" s="14">
        <f t="shared" si="0"/>
        <v>23.505229100911691</v>
      </c>
      <c r="G11" s="14">
        <f t="shared" si="1"/>
        <v>5.1453504417840161</v>
      </c>
      <c r="H11" s="183">
        <f t="shared" si="2"/>
        <v>3.1572229113297499</v>
      </c>
      <c r="I11" s="183">
        <f t="shared" si="3"/>
        <v>0.7867599899277935</v>
      </c>
      <c r="J11" s="183">
        <f>-SUM(I$2:I11)</f>
        <v>-7.4244323883884018</v>
      </c>
      <c r="K11" s="184">
        <v>14.2552728109928</v>
      </c>
      <c r="L11" s="185">
        <f t="shared" si="4"/>
        <v>0.11215478293194643</v>
      </c>
      <c r="M11" s="183">
        <f>-SUM(L$2:L11)</f>
        <v>-0.85600702024266973</v>
      </c>
      <c r="O11">
        <v>-17</v>
      </c>
      <c r="P11">
        <v>3</v>
      </c>
      <c r="R11" s="14">
        <f>activity!S18</f>
        <v>0.26147504237720581</v>
      </c>
      <c r="S11" s="14">
        <f>activity!T18</f>
        <v>6.1609148832780618E-2</v>
      </c>
      <c r="T11" s="14">
        <f t="shared" si="5"/>
        <v>4.3579173729534304</v>
      </c>
      <c r="U11" s="14">
        <f t="shared" si="6"/>
        <v>1.0268191472130102</v>
      </c>
      <c r="W11" s="63">
        <v>0.39337999496389675</v>
      </c>
      <c r="X11" s="14">
        <f t="shared" si="7"/>
        <v>1.1095784286410257</v>
      </c>
      <c r="AA11" s="14">
        <f t="shared" si="8"/>
        <v>0.20571810170705981</v>
      </c>
    </row>
    <row r="12" spans="1:29">
      <c r="A12" t="str">
        <f>activity!A19</f>
        <v>20-22</v>
      </c>
      <c r="B12">
        <f>activity!B19</f>
        <v>-21</v>
      </c>
      <c r="D12" s="14">
        <f>activity!F19</f>
        <v>1.1326087754238223</v>
      </c>
      <c r="E12" s="14">
        <f>activity!G19</f>
        <v>0.18488775789999476</v>
      </c>
      <c r="F12" s="14">
        <f t="shared" si="0"/>
        <v>18.876812923730373</v>
      </c>
      <c r="G12" s="14">
        <f t="shared" si="1"/>
        <v>3.0814626316665792</v>
      </c>
      <c r="H12" s="183">
        <f t="shared" si="2"/>
        <v>2.9379343394620419</v>
      </c>
      <c r="I12" s="183">
        <f t="shared" si="3"/>
        <v>0.92129356701266152</v>
      </c>
      <c r="J12" s="183">
        <f>-SUM(I$2:I12)</f>
        <v>-8.345725955401063</v>
      </c>
      <c r="K12" s="184">
        <v>12.448208224946431</v>
      </c>
      <c r="L12" s="185">
        <f t="shared" si="4"/>
        <v>0.11468454158477248</v>
      </c>
      <c r="M12" s="183">
        <f>-SUM(L$2:L12)</f>
        <v>-0.97069156182744221</v>
      </c>
      <c r="O12">
        <v>-19</v>
      </c>
      <c r="P12">
        <v>3</v>
      </c>
      <c r="R12" s="14">
        <f>activity!S19</f>
        <v>0.11527572514092954</v>
      </c>
      <c r="S12" s="14">
        <f>activity!T19</f>
        <v>3.6796750798921772E-2</v>
      </c>
      <c r="T12" s="14">
        <f t="shared" si="5"/>
        <v>1.9212620856821589</v>
      </c>
      <c r="U12" s="14">
        <f t="shared" si="6"/>
        <v>0.61327917998202952</v>
      </c>
      <c r="W12" s="63">
        <v>0.46064678350633076</v>
      </c>
      <c r="X12" s="14">
        <f t="shared" si="7"/>
        <v>1.0434651787400557</v>
      </c>
      <c r="AA12" s="14">
        <f t="shared" si="8"/>
        <v>0.10620278400505812</v>
      </c>
    </row>
    <row r="13" spans="1:29">
      <c r="A13" t="str">
        <f>activity!A20</f>
        <v>22-24</v>
      </c>
      <c r="B13">
        <f>activity!B20</f>
        <v>-23</v>
      </c>
      <c r="D13" s="14">
        <f>activity!F20</f>
        <v>0.84100783809944391</v>
      </c>
      <c r="E13" s="14">
        <f>activity!G20</f>
        <v>0.28032417733000492</v>
      </c>
      <c r="F13" s="14">
        <f t="shared" si="0"/>
        <v>14.016797301657398</v>
      </c>
      <c r="G13" s="14">
        <f t="shared" si="1"/>
        <v>4.6720696221667488</v>
      </c>
      <c r="H13" s="183">
        <f t="shared" si="2"/>
        <v>2.6402564176829744</v>
      </c>
      <c r="I13" s="183">
        <f t="shared" si="3"/>
        <v>1.0291457401249431</v>
      </c>
      <c r="J13" s="183">
        <f>-SUM(I$2:I13)</f>
        <v>-9.3748716955260054</v>
      </c>
      <c r="K13" s="184">
        <v>11.984760060585376</v>
      </c>
      <c r="L13" s="185">
        <f t="shared" si="4"/>
        <v>0.12334064762770995</v>
      </c>
      <c r="M13" s="183">
        <f>-SUM(L$2:L13)</f>
        <v>-1.0940322094551522</v>
      </c>
      <c r="O13">
        <v>-21</v>
      </c>
      <c r="P13">
        <v>3</v>
      </c>
      <c r="R13" s="14">
        <f>activity!S20</f>
        <v>-2.8748379462829182E-2</v>
      </c>
      <c r="S13" s="14">
        <f>activity!T20</f>
        <v>2.559310789391081E-2</v>
      </c>
      <c r="T13" s="14">
        <f t="shared" si="5"/>
        <v>-0.47913965771381972</v>
      </c>
      <c r="U13" s="14">
        <f t="shared" si="6"/>
        <v>0.42655179823184686</v>
      </c>
      <c r="W13" s="63">
        <v>0.51457287006247154</v>
      </c>
      <c r="X13" s="14">
        <f t="shared" si="7"/>
        <v>0.86551963399173049</v>
      </c>
      <c r="AA13" s="14"/>
    </row>
    <row r="14" spans="1:29">
      <c r="A14" t="str">
        <f>activity!A21</f>
        <v>24-26</v>
      </c>
      <c r="B14">
        <f>activity!B21</f>
        <v>-25</v>
      </c>
      <c r="D14" s="14">
        <f>activity!F21</f>
        <v>0.27642875533781486</v>
      </c>
      <c r="E14" s="14">
        <f>activity!G21</f>
        <v>0.24214990888092158</v>
      </c>
      <c r="F14" s="14">
        <f t="shared" si="0"/>
        <v>4.6071459222969144</v>
      </c>
      <c r="G14" s="14">
        <f t="shared" si="1"/>
        <v>4.0358318146820258</v>
      </c>
      <c r="H14" s="14"/>
      <c r="I14" s="14"/>
      <c r="J14" s="14"/>
      <c r="K14" s="14"/>
      <c r="L14" s="14"/>
      <c r="M14" s="14"/>
      <c r="O14">
        <v>-23</v>
      </c>
      <c r="P14">
        <v>3</v>
      </c>
      <c r="R14" s="14">
        <f>activity!S21</f>
        <v>-2.6616818928964846E-2</v>
      </c>
      <c r="S14" s="14">
        <f>activity!T21</f>
        <v>2.3664195497875296E-2</v>
      </c>
      <c r="T14" s="14">
        <f t="shared" si="5"/>
        <v>-0.44361364881608079</v>
      </c>
      <c r="U14" s="14">
        <f t="shared" si="6"/>
        <v>0.39440325829792161</v>
      </c>
      <c r="W14" s="63">
        <v>0.50919888553369497</v>
      </c>
      <c r="X14" s="14">
        <f t="shared" si="7"/>
        <v>0.28151442829496354</v>
      </c>
      <c r="AA14" s="14"/>
    </row>
    <row r="15" spans="1:29">
      <c r="A15" t="str">
        <f>activity!A22</f>
        <v>26-28</v>
      </c>
      <c r="B15">
        <f>activity!B22</f>
        <v>-27</v>
      </c>
      <c r="D15" s="14">
        <f>activity!F22</f>
        <v>0.29353354754167449</v>
      </c>
      <c r="E15" s="14">
        <f>activity!G22</f>
        <v>0.24734275066467221</v>
      </c>
      <c r="F15" s="14">
        <f t="shared" si="0"/>
        <v>4.8922257923612413</v>
      </c>
      <c r="G15" s="14">
        <f t="shared" si="1"/>
        <v>4.1223791777445369</v>
      </c>
      <c r="H15" s="14"/>
      <c r="I15" s="14"/>
      <c r="J15" s="14"/>
      <c r="K15" s="14"/>
      <c r="L15" s="14"/>
      <c r="M15" s="14"/>
      <c r="O15">
        <v>-25</v>
      </c>
      <c r="P15">
        <v>3</v>
      </c>
      <c r="R15" s="14">
        <f>activity!S22</f>
        <v>-2.6096324700144138E-2</v>
      </c>
      <c r="S15" s="14">
        <f>activity!T22</f>
        <v>2.3199979724471777E-2</v>
      </c>
      <c r="T15" s="14">
        <f t="shared" si="5"/>
        <v>-0.43493874500240226</v>
      </c>
      <c r="U15" s="14">
        <f t="shared" si="6"/>
        <v>0.38666632874119627</v>
      </c>
      <c r="W15" s="63">
        <v>0.70827835840831155</v>
      </c>
      <c r="X15" s="14">
        <f t="shared" si="7"/>
        <v>0.41580691838117056</v>
      </c>
      <c r="AA15" s="14"/>
    </row>
    <row r="16" spans="1:29">
      <c r="A16" t="str">
        <f>activity!A23</f>
        <v>28-30</v>
      </c>
      <c r="B16">
        <f>activity!B23</f>
        <v>-29</v>
      </c>
      <c r="D16" s="14">
        <f>activity!F23</f>
        <v>0.35047530826541073</v>
      </c>
      <c r="E16" s="14">
        <f>activity!G23</f>
        <v>0.21082984841063418</v>
      </c>
      <c r="F16" s="14">
        <f t="shared" si="0"/>
        <v>5.8412551377568462</v>
      </c>
      <c r="G16" s="14">
        <f t="shared" si="1"/>
        <v>3.5138308068439028</v>
      </c>
      <c r="H16" s="14"/>
      <c r="I16" s="14"/>
      <c r="J16" s="14"/>
      <c r="K16" s="14"/>
      <c r="L16" s="14"/>
      <c r="M16" s="14"/>
      <c r="O16">
        <v>-27</v>
      </c>
      <c r="P16">
        <v>3</v>
      </c>
      <c r="R16" s="14">
        <f>activity!S23</f>
        <v>-2.2147811911672487E-2</v>
      </c>
      <c r="S16" s="14">
        <f>activity!T23</f>
        <v>1.9688460025274454E-2</v>
      </c>
      <c r="T16" s="14">
        <f t="shared" si="5"/>
        <v>-0.36913019852787482</v>
      </c>
      <c r="U16" s="14">
        <f t="shared" si="6"/>
        <v>0.32814100042124089</v>
      </c>
      <c r="W16" s="63">
        <v>0.73563323904986966</v>
      </c>
      <c r="X16" s="14">
        <f t="shared" si="7"/>
        <v>0.51564257245257128</v>
      </c>
      <c r="AA16" s="14"/>
    </row>
    <row r="17" spans="1:27">
      <c r="A17" t="str">
        <f>activity!A24</f>
        <v>30-32</v>
      </c>
      <c r="B17">
        <f>activity!B24</f>
        <v>-31</v>
      </c>
      <c r="D17" s="14">
        <f>activity!F24</f>
        <v>0.44736026211575608</v>
      </c>
      <c r="E17" s="14">
        <f>activity!G24</f>
        <v>0.19808776427837421</v>
      </c>
      <c r="F17" s="14">
        <f t="shared" si="0"/>
        <v>7.4560043685959343</v>
      </c>
      <c r="G17" s="14">
        <f t="shared" si="1"/>
        <v>3.3014627379729036</v>
      </c>
      <c r="H17" s="14"/>
      <c r="I17" s="14"/>
      <c r="J17" s="14"/>
      <c r="K17" s="14"/>
      <c r="L17" s="14"/>
      <c r="M17" s="14"/>
      <c r="O17">
        <v>-29</v>
      </c>
      <c r="P17">
        <v>3</v>
      </c>
      <c r="R17" s="14">
        <f>activity!S24</f>
        <v>-2.6845760291852185E-2</v>
      </c>
      <c r="S17" s="14">
        <f>activity!T24</f>
        <v>2.3861731619964015E-2</v>
      </c>
      <c r="T17" s="14">
        <f t="shared" si="5"/>
        <v>-0.44742933819753639</v>
      </c>
      <c r="U17" s="14">
        <f t="shared" si="6"/>
        <v>0.3976955269994002</v>
      </c>
      <c r="W17" s="63">
        <v>0.51316634559027241</v>
      </c>
      <c r="X17" s="14">
        <f t="shared" si="7"/>
        <v>0.45914046174449785</v>
      </c>
      <c r="AA17" s="14"/>
    </row>
    <row r="18" spans="1:27">
      <c r="A18" t="str">
        <f>activity!A25</f>
        <v>32-34</v>
      </c>
      <c r="B18">
        <f>activity!B25</f>
        <v>-33</v>
      </c>
      <c r="D18" s="14">
        <f>activity!F25</f>
        <v>0.19506585069297255</v>
      </c>
      <c r="E18" s="14">
        <f>activity!G25</f>
        <v>0.23272837163676452</v>
      </c>
      <c r="F18" s="14">
        <f t="shared" si="0"/>
        <v>3.2510975115495424</v>
      </c>
      <c r="G18" s="14">
        <f t="shared" si="1"/>
        <v>3.8788061939460752</v>
      </c>
      <c r="H18" s="14"/>
      <c r="I18" s="14"/>
      <c r="J18" s="14"/>
      <c r="K18" s="14"/>
      <c r="L18" s="14"/>
      <c r="M18" s="14"/>
      <c r="O18">
        <v>-31</v>
      </c>
      <c r="P18">
        <v>3</v>
      </c>
      <c r="R18" s="14">
        <f>activity!S25</f>
        <v>-2.365561443478377E-2</v>
      </c>
      <c r="S18" s="14">
        <f>activity!T25</f>
        <v>2.1024861582880593E-2</v>
      </c>
      <c r="T18" s="14">
        <f t="shared" si="5"/>
        <v>-0.39426024057972947</v>
      </c>
      <c r="U18" s="14">
        <f t="shared" si="6"/>
        <v>0.35041435971467655</v>
      </c>
      <c r="W18" s="63">
        <v>0.4827402879936748</v>
      </c>
      <c r="X18" s="14">
        <f t="shared" si="7"/>
        <v>0.18833228988251347</v>
      </c>
      <c r="AA18" s="14"/>
    </row>
    <row r="19" spans="1:27">
      <c r="A19" t="str">
        <f>activity!A26</f>
        <v>34-36</v>
      </c>
      <c r="B19">
        <f>activity!B26</f>
        <v>-35</v>
      </c>
      <c r="D19" s="14">
        <f>activity!F26</f>
        <v>0.19295103288226045</v>
      </c>
      <c r="E19" s="14">
        <f>activity!G26</f>
        <v>0.22989435904803035</v>
      </c>
      <c r="F19" s="14">
        <f t="shared" si="0"/>
        <v>3.2158505480376745</v>
      </c>
      <c r="G19" s="14">
        <f t="shared" si="1"/>
        <v>3.8315726508005059</v>
      </c>
      <c r="H19" s="14"/>
      <c r="I19" s="14"/>
      <c r="J19" s="14"/>
      <c r="K19" s="14"/>
      <c r="L19" s="14"/>
      <c r="M19" s="14"/>
      <c r="O19">
        <v>-33</v>
      </c>
      <c r="P19">
        <v>3</v>
      </c>
      <c r="R19" s="14">
        <f>activity!S26</f>
        <v>-2.3633007280512174E-2</v>
      </c>
      <c r="S19" s="14">
        <f>activity!T26</f>
        <v>2.1003446490729629E-2</v>
      </c>
      <c r="T19" s="14">
        <f t="shared" si="5"/>
        <v>-0.39388345467520292</v>
      </c>
      <c r="U19" s="14">
        <f t="shared" si="6"/>
        <v>0.35005744151216045</v>
      </c>
      <c r="W19" s="63">
        <v>0.4900413023289194</v>
      </c>
      <c r="X19" s="14">
        <f t="shared" si="7"/>
        <v>0.18910795087866614</v>
      </c>
      <c r="AA19" s="14"/>
    </row>
    <row r="20" spans="1:27">
      <c r="A20" t="str">
        <f>activity!A27</f>
        <v>36-38</v>
      </c>
      <c r="B20">
        <f>activity!B27</f>
        <v>-37</v>
      </c>
      <c r="D20" s="14">
        <f>activity!F27</f>
        <v>0</v>
      </c>
      <c r="E20" s="14">
        <f>activity!G27</f>
        <v>0.21130579418990109</v>
      </c>
      <c r="F20" s="14">
        <f t="shared" si="0"/>
        <v>0</v>
      </c>
      <c r="G20" s="14">
        <f t="shared" si="1"/>
        <v>3.5217632364983515</v>
      </c>
      <c r="H20" s="14"/>
      <c r="I20" s="14"/>
      <c r="J20" s="14"/>
      <c r="K20" s="14"/>
      <c r="L20" s="14"/>
      <c r="M20" s="14"/>
      <c r="O20">
        <v>-35</v>
      </c>
      <c r="P20">
        <v>3</v>
      </c>
      <c r="R20" s="14">
        <f>activity!S27</f>
        <v>-1.9576624694222684E-2</v>
      </c>
      <c r="S20" s="14">
        <f>activity!T27</f>
        <v>1.7397308091385302E-2</v>
      </c>
      <c r="T20" s="14">
        <f t="shared" si="5"/>
        <v>-0.32627707823704477</v>
      </c>
      <c r="U20" s="14">
        <f t="shared" si="6"/>
        <v>0.28995513485642171</v>
      </c>
      <c r="W20" s="63">
        <v>0.54915716633633416</v>
      </c>
      <c r="X20" s="14">
        <f t="shared" si="7"/>
        <v>0</v>
      </c>
      <c r="AA20" s="14"/>
    </row>
    <row r="21" spans="1:27">
      <c r="A21" t="str">
        <f>activity!A28</f>
        <v>38-40</v>
      </c>
      <c r="B21">
        <f>activity!B28</f>
        <v>-39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O21">
        <v>-37</v>
      </c>
      <c r="P21">
        <v>3</v>
      </c>
      <c r="W21" s="63">
        <v>0.5875062757092816</v>
      </c>
      <c r="X21" s="14">
        <f t="shared" si="7"/>
        <v>0</v>
      </c>
      <c r="AA21" s="14">
        <f t="shared" si="8"/>
        <v>0</v>
      </c>
    </row>
    <row r="22" spans="1:27">
      <c r="A22" t="str">
        <f>activity!A29</f>
        <v>40-42</v>
      </c>
      <c r="B22">
        <f>activity!B29</f>
        <v>-41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O22">
        <v>-39</v>
      </c>
      <c r="P22">
        <v>3</v>
      </c>
      <c r="W22" s="63">
        <v>0.60647442118083728</v>
      </c>
      <c r="X22" s="14">
        <f t="shared" si="7"/>
        <v>0</v>
      </c>
      <c r="AA22" s="14">
        <f t="shared" si="8"/>
        <v>0</v>
      </c>
    </row>
    <row r="23" spans="1:27">
      <c r="A23" t="str">
        <f>activity!A30</f>
        <v>42-44</v>
      </c>
      <c r="B23">
        <f>activity!B30</f>
        <v>-43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O23">
        <v>-41</v>
      </c>
      <c r="P23">
        <v>3</v>
      </c>
      <c r="W23" s="63">
        <v>0.62316272344907608</v>
      </c>
      <c r="X23" s="14">
        <f t="shared" si="7"/>
        <v>0</v>
      </c>
      <c r="AA23" s="14">
        <f t="shared" si="8"/>
        <v>0</v>
      </c>
    </row>
    <row r="24" spans="1:27">
      <c r="A24" t="str">
        <f>activity!A31</f>
        <v>44-46</v>
      </c>
      <c r="B24">
        <f>activity!B31</f>
        <v>-45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O24">
        <v>-43</v>
      </c>
      <c r="P24">
        <v>3</v>
      </c>
      <c r="W24" s="63">
        <v>0.66505429106295866</v>
      </c>
      <c r="X24" s="14">
        <f t="shared" si="7"/>
        <v>0</v>
      </c>
      <c r="AA24" s="14">
        <f t="shared" si="8"/>
        <v>0</v>
      </c>
    </row>
    <row r="25" spans="1:27">
      <c r="A25" t="str">
        <f>activity!A32</f>
        <v>46-48</v>
      </c>
      <c r="B25">
        <f>activity!B32</f>
        <v>-47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O25">
        <v>-45</v>
      </c>
      <c r="P25">
        <v>3</v>
      </c>
      <c r="W25" s="63">
        <v>1.110171934236251</v>
      </c>
      <c r="X25" s="14">
        <f t="shared" si="7"/>
        <v>0</v>
      </c>
      <c r="AA25" s="14">
        <f t="shared" si="8"/>
        <v>0</v>
      </c>
    </row>
    <row r="26" spans="1:27">
      <c r="A26" t="str">
        <f>activity!A33</f>
        <v>48-50</v>
      </c>
      <c r="B26">
        <f>activity!B33</f>
        <v>-49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O26">
        <v>-47</v>
      </c>
      <c r="P26">
        <v>3</v>
      </c>
      <c r="W26" s="18">
        <v>1.2510358636224883</v>
      </c>
      <c r="X26" s="14">
        <f t="shared" ref="X26" si="9">W26*D26*2</f>
        <v>0</v>
      </c>
      <c r="AA26" s="14">
        <f t="shared" ref="AA26" si="10">W26*R26*2</f>
        <v>0</v>
      </c>
    </row>
    <row r="27" spans="1:27">
      <c r="D27" s="14"/>
      <c r="E27" s="14"/>
      <c r="F27" s="14"/>
      <c r="G27" s="14"/>
      <c r="H27" s="14"/>
      <c r="I27" s="14"/>
      <c r="J27" s="14"/>
      <c r="K27" s="14"/>
      <c r="L27" s="14"/>
      <c r="M27" s="14"/>
      <c r="O27">
        <v>-49</v>
      </c>
      <c r="P27">
        <v>3</v>
      </c>
    </row>
    <row r="28" spans="1:27">
      <c r="A28" t="s">
        <v>270</v>
      </c>
    </row>
    <row r="29" spans="1:27" ht="15" thickBot="1"/>
    <row r="30" spans="1:27">
      <c r="A30" s="189" t="s">
        <v>271</v>
      </c>
      <c r="B30" s="189"/>
    </row>
    <row r="31" spans="1:27">
      <c r="A31" s="186" t="s">
        <v>272</v>
      </c>
      <c r="B31" s="186">
        <v>0.97190919207280435</v>
      </c>
    </row>
    <row r="32" spans="1:27">
      <c r="A32" s="186" t="s">
        <v>273</v>
      </c>
      <c r="B32" s="191">
        <v>0.94460747763561126</v>
      </c>
    </row>
    <row r="33" spans="1:9">
      <c r="A33" s="186" t="s">
        <v>274</v>
      </c>
      <c r="B33" s="186">
        <v>0.93906822539917234</v>
      </c>
    </row>
    <row r="34" spans="1:9">
      <c r="A34" s="186" t="s">
        <v>275</v>
      </c>
      <c r="B34" s="186">
        <v>1.7800146851200527</v>
      </c>
    </row>
    <row r="35" spans="1:9" ht="15" thickBot="1">
      <c r="A35" s="187" t="s">
        <v>276</v>
      </c>
      <c r="B35" s="187">
        <v>12</v>
      </c>
    </row>
    <row r="37" spans="1:9" ht="15" thickBot="1">
      <c r="A37" t="s">
        <v>277</v>
      </c>
    </row>
    <row r="38" spans="1:9">
      <c r="A38" s="188"/>
      <c r="B38" s="188" t="s">
        <v>282</v>
      </c>
      <c r="C38" s="188" t="s">
        <v>283</v>
      </c>
      <c r="D38" s="188" t="s">
        <v>284</v>
      </c>
      <c r="E38" s="188" t="s">
        <v>285</v>
      </c>
      <c r="F38" s="188" t="s">
        <v>286</v>
      </c>
    </row>
    <row r="39" spans="1:9">
      <c r="A39" s="186" t="s">
        <v>278</v>
      </c>
      <c r="B39" s="186">
        <v>1</v>
      </c>
      <c r="C39" s="186">
        <v>540.31547720756964</v>
      </c>
      <c r="D39" s="186">
        <v>540.31547720756964</v>
      </c>
      <c r="E39" s="186">
        <v>170.52978223697718</v>
      </c>
      <c r="F39" s="186">
        <v>1.3141030952369328E-7</v>
      </c>
    </row>
    <row r="40" spans="1:9">
      <c r="A40" s="186" t="s">
        <v>279</v>
      </c>
      <c r="B40" s="186">
        <v>10</v>
      </c>
      <c r="C40" s="186">
        <v>31.6845227924304</v>
      </c>
      <c r="D40" s="186">
        <v>3.1684522792430401</v>
      </c>
      <c r="E40" s="186"/>
      <c r="F40" s="186"/>
    </row>
    <row r="41" spans="1:9" ht="15" thickBot="1">
      <c r="A41" s="187" t="s">
        <v>280</v>
      </c>
      <c r="B41" s="187">
        <v>11</v>
      </c>
      <c r="C41" s="187">
        <v>572</v>
      </c>
      <c r="D41" s="187"/>
      <c r="E41" s="187"/>
      <c r="F41" s="187"/>
    </row>
    <row r="42" spans="1:9" ht="15" thickBot="1"/>
    <row r="43" spans="1:9">
      <c r="A43" s="188"/>
      <c r="B43" s="188" t="s">
        <v>287</v>
      </c>
      <c r="C43" s="188" t="s">
        <v>275</v>
      </c>
      <c r="D43" s="188" t="s">
        <v>288</v>
      </c>
      <c r="E43" s="188" t="s">
        <v>289</v>
      </c>
      <c r="F43" s="188" t="s">
        <v>290</v>
      </c>
      <c r="G43" s="188" t="s">
        <v>291</v>
      </c>
      <c r="H43" s="188" t="s">
        <v>292</v>
      </c>
      <c r="I43" s="188" t="s">
        <v>293</v>
      </c>
    </row>
    <row r="44" spans="1:9">
      <c r="A44" s="186" t="s">
        <v>281</v>
      </c>
      <c r="B44" s="186">
        <v>-38.194466427260487</v>
      </c>
      <c r="C44" s="186">
        <v>2.0706702905718091</v>
      </c>
      <c r="D44" s="186">
        <v>-18.445460197679857</v>
      </c>
      <c r="E44" s="186">
        <v>4.7264467307713964E-9</v>
      </c>
      <c r="F44" s="186">
        <v>-42.808207351337245</v>
      </c>
      <c r="G44" s="186">
        <v>-33.580725503183729</v>
      </c>
      <c r="H44" s="186">
        <v>-42.808207351337245</v>
      </c>
      <c r="I44" s="186">
        <v>-33.580725503183729</v>
      </c>
    </row>
    <row r="45" spans="1:9" ht="15" thickBot="1">
      <c r="A45" s="187" t="s">
        <v>294</v>
      </c>
      <c r="B45" s="190">
        <v>6.5719948561609014</v>
      </c>
      <c r="C45" s="190">
        <v>0.50326542649646477</v>
      </c>
      <c r="D45" s="187">
        <v>13.058705228198438</v>
      </c>
      <c r="E45" s="187">
        <v>1.3141030952369328E-7</v>
      </c>
      <c r="F45" s="187">
        <v>5.4506496065226857</v>
      </c>
      <c r="G45" s="187">
        <v>7.6933401057991171</v>
      </c>
      <c r="H45" s="187">
        <v>5.4506496065226857</v>
      </c>
      <c r="I45" s="187">
        <v>7.6933401057991171</v>
      </c>
    </row>
    <row r="47" spans="1:9">
      <c r="A47" s="16" t="s">
        <v>295</v>
      </c>
      <c r="B47" s="192">
        <f>(B45*0.03114)*10</f>
        <v>2.0465191982085047</v>
      </c>
      <c r="C47" s="192">
        <f>(C45*0.03114)*10</f>
        <v>0.15671685381099915</v>
      </c>
    </row>
    <row r="49" spans="1:9">
      <c r="A49" t="s">
        <v>270</v>
      </c>
    </row>
    <row r="50" spans="1:9" ht="15" thickBot="1"/>
    <row r="51" spans="1:9">
      <c r="A51" s="189" t="s">
        <v>271</v>
      </c>
      <c r="B51" s="189"/>
    </row>
    <row r="52" spans="1:9">
      <c r="A52" s="186" t="s">
        <v>272</v>
      </c>
      <c r="B52" s="186">
        <v>0.96651516158342909</v>
      </c>
    </row>
    <row r="53" spans="1:9">
      <c r="A53" s="186" t="s">
        <v>273</v>
      </c>
      <c r="B53" s="191">
        <v>0.93415155757064205</v>
      </c>
    </row>
    <row r="54" spans="1:9">
      <c r="A54" s="186" t="s">
        <v>274</v>
      </c>
      <c r="B54" s="186">
        <v>0.92756671332770624</v>
      </c>
    </row>
    <row r="55" spans="1:9">
      <c r="A55" s="186" t="s">
        <v>275</v>
      </c>
      <c r="B55" s="186">
        <v>0.7615062295147923</v>
      </c>
    </row>
    <row r="56" spans="1:9" ht="15" thickBot="1">
      <c r="A56" s="187" t="s">
        <v>276</v>
      </c>
      <c r="B56" s="187">
        <v>12</v>
      </c>
    </row>
    <row r="58" spans="1:9" ht="15" thickBot="1">
      <c r="A58" t="s">
        <v>277</v>
      </c>
    </row>
    <row r="59" spans="1:9">
      <c r="A59" s="188"/>
      <c r="B59" s="188" t="s">
        <v>282</v>
      </c>
      <c r="C59" s="188" t="s">
        <v>283</v>
      </c>
      <c r="D59" s="188" t="s">
        <v>284</v>
      </c>
      <c r="E59" s="188" t="s">
        <v>285</v>
      </c>
      <c r="F59" s="188" t="s">
        <v>286</v>
      </c>
    </row>
    <row r="60" spans="1:9">
      <c r="A60" s="186" t="s">
        <v>278</v>
      </c>
      <c r="B60" s="186">
        <v>1</v>
      </c>
      <c r="C60" s="186">
        <v>82.265692233044447</v>
      </c>
      <c r="D60" s="186">
        <v>82.265692233044447</v>
      </c>
      <c r="E60" s="186">
        <v>141.863880618406</v>
      </c>
      <c r="F60" s="186">
        <v>3.1339981202359537E-7</v>
      </c>
    </row>
    <row r="61" spans="1:9">
      <c r="A61" s="186" t="s">
        <v>279</v>
      </c>
      <c r="B61" s="186">
        <v>10</v>
      </c>
      <c r="C61" s="186">
        <v>5.7989173758983554</v>
      </c>
      <c r="D61" s="186">
        <v>0.57989173758983559</v>
      </c>
      <c r="E61" s="186"/>
      <c r="F61" s="186"/>
    </row>
    <row r="62" spans="1:9" ht="15" thickBot="1">
      <c r="A62" s="187" t="s">
        <v>280</v>
      </c>
      <c r="B62" s="187">
        <v>11</v>
      </c>
      <c r="C62" s="187">
        <v>88.064609608942803</v>
      </c>
      <c r="D62" s="187"/>
      <c r="E62" s="187"/>
      <c r="F62" s="187"/>
    </row>
    <row r="63" spans="1:9" ht="15" thickBot="1"/>
    <row r="64" spans="1:9">
      <c r="A64" s="188"/>
      <c r="B64" s="188" t="s">
        <v>287</v>
      </c>
      <c r="C64" s="188" t="s">
        <v>275</v>
      </c>
      <c r="D64" s="188" t="s">
        <v>288</v>
      </c>
      <c r="E64" s="188" t="s">
        <v>289</v>
      </c>
      <c r="F64" s="188" t="s">
        <v>290</v>
      </c>
      <c r="G64" s="188" t="s">
        <v>291</v>
      </c>
      <c r="H64" s="188" t="s">
        <v>292</v>
      </c>
      <c r="I64" s="188" t="s">
        <v>293</v>
      </c>
    </row>
    <row r="65" spans="1:9">
      <c r="A65" s="186" t="s">
        <v>281</v>
      </c>
      <c r="B65" s="186">
        <v>-15.002914490062532</v>
      </c>
      <c r="C65" s="186">
        <v>0.88585130152186853</v>
      </c>
      <c r="D65" s="186">
        <v>-16.936154481331045</v>
      </c>
      <c r="E65" s="186">
        <v>1.0832396871071699E-8</v>
      </c>
      <c r="F65" s="186">
        <v>-16.976714192066016</v>
      </c>
      <c r="G65" s="186">
        <v>-13.029114788059049</v>
      </c>
      <c r="H65" s="186">
        <v>-16.976714192066016</v>
      </c>
      <c r="I65" s="186">
        <v>-13.029114788059049</v>
      </c>
    </row>
    <row r="66" spans="1:9" ht="15" thickBot="1">
      <c r="A66" s="187" t="s">
        <v>294</v>
      </c>
      <c r="B66" s="190">
        <v>2.5643829995745104</v>
      </c>
      <c r="C66" s="190">
        <v>0.21530145822961524</v>
      </c>
      <c r="D66" s="187">
        <v>11.910662476050863</v>
      </c>
      <c r="E66" s="187">
        <v>3.1339981202359478E-7</v>
      </c>
      <c r="F66" s="187">
        <v>2.0846614556038046</v>
      </c>
      <c r="G66" s="187">
        <v>3.0441045435452163</v>
      </c>
      <c r="H66" s="187">
        <v>2.0846614556038046</v>
      </c>
      <c r="I66" s="187">
        <v>3.0441045435452163</v>
      </c>
    </row>
    <row r="68" spans="1:9">
      <c r="A68" s="16" t="s">
        <v>296</v>
      </c>
      <c r="B68" s="192">
        <f>(B66*0.03114)*10</f>
        <v>0.79854886606750264</v>
      </c>
      <c r="C68" s="192">
        <f>(C66*0.03114)*10</f>
        <v>6.7044874092702184E-2</v>
      </c>
    </row>
    <row r="70" spans="1:9">
      <c r="A70" t="s">
        <v>270</v>
      </c>
    </row>
    <row r="71" spans="1:9" ht="15" thickBot="1"/>
    <row r="72" spans="1:9">
      <c r="A72" s="189" t="s">
        <v>271</v>
      </c>
      <c r="B72" s="189"/>
    </row>
    <row r="73" spans="1:9">
      <c r="A73" s="186" t="s">
        <v>272</v>
      </c>
      <c r="B73" s="186">
        <v>0.95586543551109138</v>
      </c>
    </row>
    <row r="74" spans="1:9">
      <c r="A74" s="186" t="s">
        <v>273</v>
      </c>
      <c r="B74" s="191">
        <v>0.91367873080480799</v>
      </c>
    </row>
    <row r="75" spans="1:9">
      <c r="A75" s="186" t="s">
        <v>274</v>
      </c>
      <c r="B75" s="186">
        <v>0.90504660388528912</v>
      </c>
    </row>
    <row r="76" spans="1:9">
      <c r="A76" s="186" t="s">
        <v>275</v>
      </c>
      <c r="B76" s="186">
        <v>0.10333376176578975</v>
      </c>
    </row>
    <row r="77" spans="1:9" ht="15" thickBot="1">
      <c r="A77" s="187" t="s">
        <v>276</v>
      </c>
      <c r="B77" s="187">
        <v>12</v>
      </c>
    </row>
    <row r="79" spans="1:9" ht="15" thickBot="1">
      <c r="A79" t="s">
        <v>277</v>
      </c>
    </row>
    <row r="80" spans="1:9">
      <c r="A80" s="188"/>
      <c r="B80" s="188" t="s">
        <v>282</v>
      </c>
      <c r="C80" s="188" t="s">
        <v>283</v>
      </c>
      <c r="D80" s="188" t="s">
        <v>284</v>
      </c>
      <c r="E80" s="188" t="s">
        <v>285</v>
      </c>
      <c r="F80" s="188" t="s">
        <v>286</v>
      </c>
    </row>
    <row r="81" spans="1:9">
      <c r="A81" s="186" t="s">
        <v>278</v>
      </c>
      <c r="B81" s="186">
        <v>1</v>
      </c>
      <c r="C81" s="186">
        <v>1.1302126855330901</v>
      </c>
      <c r="D81" s="186">
        <v>1.1302126855330901</v>
      </c>
      <c r="E81" s="186">
        <v>105.84630408280667</v>
      </c>
      <c r="F81" s="186">
        <v>1.2244130169071677E-6</v>
      </c>
    </row>
    <row r="82" spans="1:9">
      <c r="A82" s="186" t="s">
        <v>279</v>
      </c>
      <c r="B82" s="186">
        <v>10</v>
      </c>
      <c r="C82" s="186">
        <v>0.10677866320668991</v>
      </c>
      <c r="D82" s="186">
        <v>1.0677866320668991E-2</v>
      </c>
      <c r="E82" s="186"/>
      <c r="F82" s="186"/>
    </row>
    <row r="83" spans="1:9" ht="15" thickBot="1">
      <c r="A83" s="187" t="s">
        <v>280</v>
      </c>
      <c r="B83" s="187">
        <v>11</v>
      </c>
      <c r="C83" s="187">
        <v>1.2369913487397799</v>
      </c>
      <c r="D83" s="187"/>
      <c r="E83" s="187"/>
      <c r="F83" s="187"/>
    </row>
    <row r="84" spans="1:9" ht="15" thickBot="1"/>
    <row r="85" spans="1:9">
      <c r="A85" s="188"/>
      <c r="B85" s="188" t="s">
        <v>287</v>
      </c>
      <c r="C85" s="188" t="s">
        <v>275</v>
      </c>
      <c r="D85" s="188" t="s">
        <v>288</v>
      </c>
      <c r="E85" s="188" t="s">
        <v>289</v>
      </c>
      <c r="F85" s="188" t="s">
        <v>290</v>
      </c>
      <c r="G85" s="188" t="s">
        <v>291</v>
      </c>
      <c r="H85" s="188" t="s">
        <v>292</v>
      </c>
      <c r="I85" s="188" t="s">
        <v>293</v>
      </c>
    </row>
    <row r="86" spans="1:9">
      <c r="A86" s="186" t="s">
        <v>281</v>
      </c>
      <c r="B86" s="186">
        <v>-1.7315098978932442</v>
      </c>
      <c r="C86" s="186">
        <v>0.12020695800440254</v>
      </c>
      <c r="D86" s="186">
        <v>-14.404406588758599</v>
      </c>
      <c r="E86" s="186">
        <v>5.1573431586770272E-8</v>
      </c>
      <c r="F86" s="186">
        <v>-1.9993476913019359</v>
      </c>
      <c r="G86" s="186">
        <v>-1.4636721044845524</v>
      </c>
      <c r="H86" s="186">
        <v>-1.9993476913019359</v>
      </c>
      <c r="I86" s="186">
        <v>-1.4636721044845524</v>
      </c>
    </row>
    <row r="87" spans="1:9" ht="15" thickBot="1">
      <c r="A87" s="187" t="s">
        <v>294</v>
      </c>
      <c r="B87" s="190">
        <v>0.3005755148087873</v>
      </c>
      <c r="C87" s="190">
        <v>2.9215663287090719E-2</v>
      </c>
      <c r="D87" s="187">
        <v>10.288163299773519</v>
      </c>
      <c r="E87" s="187">
        <v>1.2244130169071654E-6</v>
      </c>
      <c r="F87" s="187">
        <v>0.23547896035227145</v>
      </c>
      <c r="G87" s="187">
        <v>0.36567206926530316</v>
      </c>
      <c r="H87" s="187">
        <v>0.23547896035227145</v>
      </c>
      <c r="I87" s="187">
        <v>0.36567206926530316</v>
      </c>
    </row>
    <row r="89" spans="1:9">
      <c r="A89" s="16" t="s">
        <v>297</v>
      </c>
      <c r="B89" s="192">
        <f>(B87*0.03114)*10000</f>
        <v>93.599215311456362</v>
      </c>
      <c r="C89" s="192">
        <f>(C87*0.03114)*10000</f>
        <v>9.0977575476000503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3"/>
  <sheetViews>
    <sheetView topLeftCell="A15" workbookViewId="0">
      <selection activeCell="K39" sqref="K39"/>
    </sheetView>
  </sheetViews>
  <sheetFormatPr baseColWidth="10" defaultColWidth="11.42578125" defaultRowHeight="14"/>
  <cols>
    <col min="1" max="1" width="5.140625" customWidth="1"/>
  </cols>
  <sheetData>
    <row r="1" spans="1:18">
      <c r="B1" s="21" t="s">
        <v>39</v>
      </c>
      <c r="C1" s="21"/>
      <c r="D1" s="21"/>
      <c r="E1" s="21"/>
      <c r="F1" s="21"/>
      <c r="G1" s="21"/>
      <c r="H1" s="21"/>
    </row>
    <row r="2" spans="1:18">
      <c r="B2" s="21"/>
      <c r="C2" s="21"/>
      <c r="D2" s="21"/>
      <c r="E2" s="21"/>
      <c r="F2" s="21"/>
      <c r="G2" s="21"/>
      <c r="H2" s="21"/>
    </row>
    <row r="3" spans="1:18">
      <c r="C3" s="47" t="s">
        <v>52</v>
      </c>
      <c r="D3" s="2" t="s">
        <v>53</v>
      </c>
    </row>
    <row r="4" spans="1:18">
      <c r="A4" s="2" t="s">
        <v>51</v>
      </c>
      <c r="B4" s="15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1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B6" s="100">
        <f>activity!F9</f>
        <v>16.787146342237641</v>
      </c>
      <c r="C6" s="94">
        <f>activity!B9</f>
        <v>-1</v>
      </c>
      <c r="D6" s="14">
        <f t="shared" ref="D6" si="0">LN(B6)</f>
        <v>2.8206134948955142</v>
      </c>
      <c r="E6" s="17">
        <f t="shared" ref="E6:F6" si="1">C6*C6</f>
        <v>1</v>
      </c>
      <c r="F6" s="14">
        <f t="shared" si="1"/>
        <v>7.955860487586687</v>
      </c>
      <c r="G6" s="17">
        <f t="shared" ref="G6" si="2">C6*D6</f>
        <v>-2.8206134948955142</v>
      </c>
      <c r="H6">
        <f t="shared" ref="H6:H17" si="3">(C6-$C$26)^2</f>
        <v>121</v>
      </c>
      <c r="I6" s="18">
        <f t="shared" ref="I6:I17" si="4">(D6-$D$26)^2</f>
        <v>2.716738691152278</v>
      </c>
      <c r="J6" s="18">
        <f t="shared" ref="J6:J17" si="5">(C6-$C$26)*(D6-$D$26)</f>
        <v>18.130785466422179</v>
      </c>
    </row>
    <row r="7" spans="1:18">
      <c r="B7" s="100">
        <f>activity!F10</f>
        <v>11.880702888312618</v>
      </c>
      <c r="C7" s="94">
        <f>activity!B10</f>
        <v>-3</v>
      </c>
      <c r="D7" s="14">
        <f t="shared" ref="D7:D17" si="6">LN(B7)</f>
        <v>2.4749154778671594</v>
      </c>
      <c r="E7" s="17">
        <f t="shared" ref="E7:E17" si="7">C7*C7</f>
        <v>9</v>
      </c>
      <c r="F7" s="14">
        <f t="shared" ref="F7:F17" si="8">D7*D7</f>
        <v>6.1252066225864299</v>
      </c>
      <c r="G7" s="17">
        <f t="shared" ref="G7:G17" si="9">C7*D7</f>
        <v>-7.4247464336014781</v>
      </c>
      <c r="H7">
        <f t="shared" si="3"/>
        <v>81</v>
      </c>
      <c r="I7" s="18">
        <f t="shared" si="4"/>
        <v>1.6966500677825853</v>
      </c>
      <c r="J7" s="18">
        <f t="shared" si="5"/>
        <v>11.722996864726589</v>
      </c>
    </row>
    <row r="8" spans="1:18">
      <c r="B8" s="100">
        <f>activity!F11</f>
        <v>9.3036627970524375</v>
      </c>
      <c r="C8" s="94">
        <f>activity!B11</f>
        <v>-5</v>
      </c>
      <c r="D8" s="14">
        <f t="shared" si="6"/>
        <v>2.2304081717664173</v>
      </c>
      <c r="E8" s="17">
        <f t="shared" si="7"/>
        <v>25</v>
      </c>
      <c r="F8" s="14">
        <f t="shared" si="8"/>
        <v>4.9747206126824119</v>
      </c>
      <c r="G8" s="17">
        <f t="shared" si="9"/>
        <v>-11.152040858832086</v>
      </c>
      <c r="H8">
        <f t="shared" si="3"/>
        <v>49</v>
      </c>
      <c r="I8" s="18">
        <f t="shared" si="4"/>
        <v>1.1194653610032843</v>
      </c>
      <c r="J8" s="18">
        <f t="shared" si="5"/>
        <v>7.4063353076377076</v>
      </c>
    </row>
    <row r="9" spans="1:18">
      <c r="B9" s="100">
        <f>activity!F12</f>
        <v>8.2662592364164755</v>
      </c>
      <c r="C9" s="94">
        <f>activity!B12</f>
        <v>-7</v>
      </c>
      <c r="D9" s="14">
        <f t="shared" si="6"/>
        <v>2.1121820773708744</v>
      </c>
      <c r="E9" s="17">
        <f t="shared" si="7"/>
        <v>49</v>
      </c>
      <c r="F9" s="14">
        <f t="shared" si="8"/>
        <v>4.4613131279667426</v>
      </c>
      <c r="G9" s="17">
        <f t="shared" si="9"/>
        <v>-14.78527454159612</v>
      </c>
      <c r="H9">
        <f t="shared" si="3"/>
        <v>25</v>
      </c>
      <c r="I9" s="18">
        <f t="shared" si="4"/>
        <v>0.88326502834050302</v>
      </c>
      <c r="J9" s="18">
        <f t="shared" si="5"/>
        <v>4.6991090334777912</v>
      </c>
    </row>
    <row r="10" spans="1:18">
      <c r="B10" s="100">
        <f>activity!F13</f>
        <v>5.7978797013695438</v>
      </c>
      <c r="C10" s="94">
        <f>activity!B13</f>
        <v>-9</v>
      </c>
      <c r="D10" s="14">
        <f t="shared" si="6"/>
        <v>1.7574922819864474</v>
      </c>
      <c r="E10" s="17">
        <f t="shared" si="7"/>
        <v>81</v>
      </c>
      <c r="F10" s="14">
        <f t="shared" si="8"/>
        <v>3.08877912124193</v>
      </c>
      <c r="G10" s="17">
        <f t="shared" si="9"/>
        <v>-15.817430537878026</v>
      </c>
      <c r="H10">
        <f t="shared" si="3"/>
        <v>9</v>
      </c>
      <c r="I10" s="18">
        <f t="shared" si="4"/>
        <v>0.34237947066100971</v>
      </c>
      <c r="J10" s="18">
        <f t="shared" si="5"/>
        <v>1.7553960339333934</v>
      </c>
    </row>
    <row r="11" spans="1:18">
      <c r="B11" s="100">
        <f>activity!F14</f>
        <v>3.4435315141295795</v>
      </c>
      <c r="C11" s="94">
        <f>activity!B14</f>
        <v>-11</v>
      </c>
      <c r="D11" s="14">
        <f t="shared" si="6"/>
        <v>1.2364975477335221</v>
      </c>
      <c r="E11" s="17">
        <f t="shared" si="7"/>
        <v>121</v>
      </c>
      <c r="F11" s="14">
        <f t="shared" si="8"/>
        <v>1.5289261855510137</v>
      </c>
      <c r="G11" s="17">
        <f t="shared" si="9"/>
        <v>-13.601473025068742</v>
      </c>
      <c r="H11">
        <f t="shared" si="3"/>
        <v>1</v>
      </c>
      <c r="I11" s="18">
        <f t="shared" si="4"/>
        <v>4.1135903084410551E-3</v>
      </c>
      <c r="J11" s="18">
        <f t="shared" si="5"/>
        <v>6.4137277058205822E-2</v>
      </c>
    </row>
    <row r="12" spans="1:18">
      <c r="B12" s="100">
        <f>activity!F15</f>
        <v>2.2367471680151807</v>
      </c>
      <c r="C12" s="94">
        <f>activity!B15</f>
        <v>-13</v>
      </c>
      <c r="D12" s="14">
        <f t="shared" si="6"/>
        <v>0.80502265332883105</v>
      </c>
      <c r="E12" s="17">
        <f t="shared" si="7"/>
        <v>169</v>
      </c>
      <c r="F12" s="14">
        <f t="shared" si="8"/>
        <v>0.64806147237259126</v>
      </c>
      <c r="G12" s="17">
        <f t="shared" si="9"/>
        <v>-10.465294493274804</v>
      </c>
      <c r="H12">
        <f t="shared" si="3"/>
        <v>1</v>
      </c>
      <c r="I12" s="18">
        <f t="shared" si="4"/>
        <v>0.13493692511779276</v>
      </c>
      <c r="J12" s="18">
        <f t="shared" si="5"/>
        <v>0.36733761734648518</v>
      </c>
    </row>
    <row r="13" spans="1:18">
      <c r="B13" s="100">
        <f>activity!F16</f>
        <v>1.1846409168585736</v>
      </c>
      <c r="C13" s="94">
        <f>activity!B16</f>
        <v>-15</v>
      </c>
      <c r="D13" s="14">
        <f t="shared" si="6"/>
        <v>0.16943970491808247</v>
      </c>
      <c r="E13" s="17">
        <f t="shared" si="7"/>
        <v>225</v>
      </c>
      <c r="F13" s="14">
        <f t="shared" si="8"/>
        <v>2.8709813602726859E-2</v>
      </c>
      <c r="G13" s="17">
        <f t="shared" si="9"/>
        <v>-2.5415955737712368</v>
      </c>
      <c r="H13">
        <f t="shared" si="3"/>
        <v>9</v>
      </c>
      <c r="I13" s="18">
        <f t="shared" si="4"/>
        <v>1.0058496612188099</v>
      </c>
      <c r="J13" s="18">
        <f t="shared" si="5"/>
        <v>3.0087616972717015</v>
      </c>
    </row>
    <row r="14" spans="1:18">
      <c r="B14" s="100">
        <f>activity!F17</f>
        <v>1.1812465982606106</v>
      </c>
      <c r="C14" s="94">
        <f>activity!B17</f>
        <v>-17</v>
      </c>
      <c r="D14" s="14">
        <f t="shared" si="6"/>
        <v>0.16657032004229164</v>
      </c>
      <c r="E14" s="17">
        <f t="shared" si="7"/>
        <v>289</v>
      </c>
      <c r="F14" s="14">
        <f t="shared" si="8"/>
        <v>2.7745671518991464E-2</v>
      </c>
      <c r="G14" s="17">
        <f t="shared" si="9"/>
        <v>-2.8316954407189576</v>
      </c>
      <c r="H14">
        <f t="shared" si="3"/>
        <v>25</v>
      </c>
      <c r="I14" s="18">
        <f t="shared" si="4"/>
        <v>1.011613424794382</v>
      </c>
      <c r="J14" s="18">
        <f t="shared" si="5"/>
        <v>5.028949753165123</v>
      </c>
    </row>
    <row r="15" spans="1:18">
      <c r="B15" s="100">
        <f>activity!F18</f>
        <v>1.4103137460547015</v>
      </c>
      <c r="C15" s="94">
        <f>activity!B18</f>
        <v>-19</v>
      </c>
      <c r="D15" s="14">
        <f t="shared" si="6"/>
        <v>0.34381219456971357</v>
      </c>
      <c r="E15" s="17">
        <f t="shared" si="7"/>
        <v>361</v>
      </c>
      <c r="F15" s="14">
        <f t="shared" si="8"/>
        <v>0.11820682513484258</v>
      </c>
      <c r="G15" s="17">
        <f t="shared" si="9"/>
        <v>-6.5324316968245579</v>
      </c>
      <c r="H15">
        <f t="shared" si="3"/>
        <v>49</v>
      </c>
      <c r="I15" s="18">
        <f t="shared" si="4"/>
        <v>0.68649191441829549</v>
      </c>
      <c r="J15" s="18">
        <f t="shared" si="5"/>
        <v>5.799836532739219</v>
      </c>
    </row>
    <row r="16" spans="1:18">
      <c r="B16" s="100">
        <f>activity!F19</f>
        <v>1.1326087754238223</v>
      </c>
      <c r="C16" s="94">
        <f>activity!B19</f>
        <v>-21</v>
      </c>
      <c r="D16" s="14">
        <f t="shared" si="6"/>
        <v>0.12452362270200545</v>
      </c>
      <c r="E16" s="17">
        <f t="shared" si="7"/>
        <v>441</v>
      </c>
      <c r="F16" s="14">
        <f t="shared" si="8"/>
        <v>1.5506132610831409E-2</v>
      </c>
      <c r="G16" s="17">
        <f t="shared" si="9"/>
        <v>-2.6149960767421145</v>
      </c>
      <c r="H16">
        <f t="shared" si="3"/>
        <v>81</v>
      </c>
      <c r="I16" s="18">
        <f t="shared" si="4"/>
        <v>1.0979616408359441</v>
      </c>
      <c r="J16" s="18">
        <f t="shared" si="5"/>
        <v>9.430529831759797</v>
      </c>
    </row>
    <row r="17" spans="1:18">
      <c r="B17" s="100">
        <f>activity!F20</f>
        <v>0.84100783809944391</v>
      </c>
      <c r="C17" s="94">
        <f>activity!B20</f>
        <v>-23</v>
      </c>
      <c r="D17" s="14">
        <f t="shared" si="6"/>
        <v>-0.17315429907706215</v>
      </c>
      <c r="E17" s="17">
        <f t="shared" si="7"/>
        <v>529</v>
      </c>
      <c r="F17" s="14">
        <f t="shared" si="8"/>
        <v>2.9982411288868686E-2</v>
      </c>
      <c r="G17" s="17">
        <f t="shared" si="9"/>
        <v>3.9825488787724295</v>
      </c>
      <c r="H17">
        <f t="shared" si="3"/>
        <v>121</v>
      </c>
      <c r="I17" s="18">
        <f t="shared" si="4"/>
        <v>1.8104094574159275</v>
      </c>
      <c r="J17" s="18">
        <f t="shared" si="5"/>
        <v>14.800660267276161</v>
      </c>
    </row>
    <row r="18" spans="1:18">
      <c r="A18" t="s">
        <v>51</v>
      </c>
      <c r="B18" s="46"/>
      <c r="C18" s="46"/>
      <c r="D18" s="14"/>
      <c r="E18" s="17"/>
      <c r="F18" s="14"/>
      <c r="G18" s="17"/>
      <c r="I18" s="18"/>
      <c r="J18" s="18"/>
    </row>
    <row r="19" spans="1:18">
      <c r="A19" s="48" t="s">
        <v>54</v>
      </c>
      <c r="B19" s="34">
        <f>COUNT(B6:B18)</f>
        <v>12</v>
      </c>
      <c r="C19" s="46"/>
      <c r="D19" s="14"/>
      <c r="E19" s="17"/>
      <c r="F19" s="14"/>
      <c r="G19" s="17"/>
      <c r="I19" s="18"/>
      <c r="J19" s="18"/>
    </row>
    <row r="20" spans="1:18">
      <c r="A20" s="48" t="s">
        <v>94</v>
      </c>
      <c r="B20">
        <f>B19-2</f>
        <v>10</v>
      </c>
      <c r="C20" s="34" t="s">
        <v>51</v>
      </c>
      <c r="D20" t="s">
        <v>51</v>
      </c>
      <c r="E20" t="s">
        <v>51</v>
      </c>
      <c r="F20" t="s">
        <v>51</v>
      </c>
      <c r="G20" t="s">
        <v>51</v>
      </c>
      <c r="H20" t="s">
        <v>51</v>
      </c>
      <c r="I20" t="s">
        <v>51</v>
      </c>
      <c r="J20" t="s">
        <v>51</v>
      </c>
    </row>
    <row r="21" spans="1:18">
      <c r="A21" s="48" t="s">
        <v>95</v>
      </c>
      <c r="B21" s="18">
        <f>LOOKUP(B20,N25:N47,O25:O47)</f>
        <v>2.2280000000000002</v>
      </c>
    </row>
    <row r="22" spans="1:18" ht="15" thickBot="1">
      <c r="C22" s="68"/>
      <c r="D22" s="68"/>
      <c r="E22" s="68"/>
      <c r="F22" s="68"/>
      <c r="G22" s="68"/>
      <c r="H22" s="68"/>
      <c r="I22" s="68"/>
      <c r="J22" s="68"/>
    </row>
    <row r="23" spans="1:18">
      <c r="B23" s="23" t="s">
        <v>96</v>
      </c>
      <c r="C23" s="46">
        <f t="shared" ref="C23:J23" si="10">SUM(C6:C18)</f>
        <v>-144</v>
      </c>
      <c r="D23" s="63">
        <f t="shared" si="10"/>
        <v>14.068323248103795</v>
      </c>
      <c r="E23" s="63">
        <f t="shared" si="10"/>
        <v>2300</v>
      </c>
      <c r="F23" s="63">
        <f t="shared" si="10"/>
        <v>29.003018484144071</v>
      </c>
      <c r="G23" s="63">
        <f t="shared" si="10"/>
        <v>-86.605043294431212</v>
      </c>
      <c r="H23" s="63">
        <f t="shared" si="10"/>
        <v>572</v>
      </c>
      <c r="I23" s="63">
        <f t="shared" si="10"/>
        <v>12.509875233049254</v>
      </c>
      <c r="J23" s="63">
        <f t="shared" si="10"/>
        <v>82.214835682814353</v>
      </c>
      <c r="O23" t="s">
        <v>105</v>
      </c>
    </row>
    <row r="24" spans="1:18">
      <c r="A24" s="13"/>
      <c r="B24" s="23"/>
      <c r="C24" s="67" t="s">
        <v>97</v>
      </c>
      <c r="D24" s="67" t="s">
        <v>98</v>
      </c>
      <c r="E24" s="67" t="s">
        <v>99</v>
      </c>
      <c r="F24" s="67" t="s">
        <v>100</v>
      </c>
      <c r="G24" s="67" t="s">
        <v>101</v>
      </c>
      <c r="H24" s="67" t="s">
        <v>102</v>
      </c>
      <c r="I24" s="67" t="s">
        <v>103</v>
      </c>
      <c r="J24" s="67" t="s">
        <v>104</v>
      </c>
      <c r="K24" s="13"/>
      <c r="L24" s="13"/>
      <c r="M24" s="13"/>
      <c r="N24" s="2" t="s">
        <v>94</v>
      </c>
      <c r="O24" s="2" t="s">
        <v>95</v>
      </c>
      <c r="P24" s="13"/>
      <c r="Q24" s="13"/>
      <c r="R24" s="13"/>
    </row>
    <row r="25" spans="1:18">
      <c r="B25" s="23"/>
      <c r="N25" s="2">
        <v>1</v>
      </c>
      <c r="O25" s="12">
        <v>12.706</v>
      </c>
    </row>
    <row r="26" spans="1:18">
      <c r="B26" s="23" t="s">
        <v>106</v>
      </c>
      <c r="C26" s="17">
        <f>AVERAGE(C6:C18)</f>
        <v>-12</v>
      </c>
      <c r="D26" s="18">
        <f>AVERAGE(D6:D18)</f>
        <v>1.1723602706753162</v>
      </c>
      <c r="N26" s="2">
        <v>2</v>
      </c>
      <c r="O26" s="12">
        <v>4.3029999999999999</v>
      </c>
    </row>
    <row r="27" spans="1:18">
      <c r="C27" s="48" t="s">
        <v>107</v>
      </c>
      <c r="D27" s="48" t="s">
        <v>108</v>
      </c>
      <c r="J27" s="21"/>
      <c r="K27" s="21"/>
      <c r="L27" s="21"/>
      <c r="N27" s="2">
        <v>4</v>
      </c>
      <c r="O27" s="12">
        <v>2.7759999999999998</v>
      </c>
    </row>
    <row r="28" spans="1:18">
      <c r="B28" t="s">
        <v>51</v>
      </c>
      <c r="E28" s="22" t="s">
        <v>17</v>
      </c>
      <c r="J28" s="49" t="s">
        <v>40</v>
      </c>
      <c r="K28" s="99">
        <f>C34/(C34+C37)</f>
        <v>0.94460747763561137</v>
      </c>
      <c r="L28" s="21"/>
      <c r="N28" s="2">
        <v>6</v>
      </c>
      <c r="O28" s="12">
        <v>2.4470000000000001</v>
      </c>
    </row>
    <row r="29" spans="1:18">
      <c r="B29" s="21" t="s">
        <v>18</v>
      </c>
      <c r="C29" s="21">
        <f>J23/H23</f>
        <v>0.1437322302147104</v>
      </c>
      <c r="E29" s="22" t="s">
        <v>18</v>
      </c>
      <c r="F29" s="21">
        <f>(C29-0)/C42</f>
        <v>13.058705228198454</v>
      </c>
      <c r="J29" s="24" t="s">
        <v>51</v>
      </c>
      <c r="K29" s="24" t="s">
        <v>51</v>
      </c>
      <c r="L29" s="24" t="s">
        <v>51</v>
      </c>
      <c r="N29" s="2">
        <v>7</v>
      </c>
      <c r="O29" s="12">
        <v>2.3650000000000002</v>
      </c>
    </row>
    <row r="30" spans="1:18">
      <c r="B30" s="21"/>
      <c r="C30" s="21"/>
      <c r="E30" s="22"/>
      <c r="L30" s="16"/>
      <c r="N30" s="2">
        <v>8</v>
      </c>
      <c r="O30" s="12">
        <v>2.306</v>
      </c>
    </row>
    <row r="31" spans="1:18">
      <c r="B31" s="21" t="s">
        <v>61</v>
      </c>
      <c r="C31" s="21">
        <f>D26-(C29*C26)</f>
        <v>2.8971470332518412</v>
      </c>
      <c r="E31" s="25">
        <v>0.95</v>
      </c>
      <c r="G31" t="s">
        <v>62</v>
      </c>
      <c r="H31">
        <f>C29-F32</f>
        <v>0.11920947674701814</v>
      </c>
      <c r="J31" s="26" t="s">
        <v>51</v>
      </c>
      <c r="K31" s="27" t="s">
        <v>51</v>
      </c>
      <c r="N31" s="2">
        <v>9</v>
      </c>
      <c r="O31" s="12">
        <v>2.262</v>
      </c>
    </row>
    <row r="32" spans="1:18">
      <c r="E32" s="22" t="s">
        <v>33</v>
      </c>
      <c r="F32" s="28">
        <f>B21*C42</f>
        <v>2.4522753467692272E-2</v>
      </c>
      <c r="G32" t="s">
        <v>34</v>
      </c>
      <c r="H32">
        <f>C29+F32</f>
        <v>0.16825498368240269</v>
      </c>
      <c r="N32" s="2">
        <v>10</v>
      </c>
      <c r="O32" s="12">
        <v>2.2280000000000002</v>
      </c>
    </row>
    <row r="33" spans="2:15">
      <c r="B33" t="s">
        <v>35</v>
      </c>
      <c r="E33" s="22" t="s">
        <v>37</v>
      </c>
      <c r="K33" s="16" t="s">
        <v>109</v>
      </c>
      <c r="N33" s="2">
        <v>11</v>
      </c>
      <c r="O33" s="12">
        <v>2.2010000000000001</v>
      </c>
    </row>
    <row r="34" spans="2:15" ht="15" thickBot="1">
      <c r="B34" t="s">
        <v>110</v>
      </c>
      <c r="C34">
        <f>(J23)^2/H23</f>
        <v>11.816921689426861</v>
      </c>
      <c r="E34" s="22"/>
      <c r="N34" s="2">
        <v>12</v>
      </c>
      <c r="O34" s="12">
        <v>2.1789999999999998</v>
      </c>
    </row>
    <row r="35" spans="2:15" ht="15" thickTop="1">
      <c r="E35" s="22" t="s">
        <v>111</v>
      </c>
      <c r="F35">
        <f>C39/B19^0.5</f>
        <v>2.0003845747314671E-2</v>
      </c>
      <c r="J35" s="50" t="s">
        <v>112</v>
      </c>
      <c r="K35" s="29" t="s">
        <v>22</v>
      </c>
      <c r="L35" s="30" t="s">
        <v>113</v>
      </c>
      <c r="N35" s="2">
        <v>13</v>
      </c>
      <c r="O35" s="12">
        <v>2.16</v>
      </c>
    </row>
    <row r="36" spans="2:15">
      <c r="B36" t="s">
        <v>114</v>
      </c>
      <c r="E36" s="25" t="s">
        <v>51</v>
      </c>
      <c r="J36" s="51" t="s">
        <v>49</v>
      </c>
      <c r="K36" s="28"/>
      <c r="L36" s="31"/>
      <c r="N36" s="2">
        <v>14</v>
      </c>
      <c r="O36" s="12">
        <v>2.145</v>
      </c>
    </row>
    <row r="37" spans="2:15">
      <c r="B37" t="s">
        <v>110</v>
      </c>
      <c r="C37">
        <f>I23-C34</f>
        <v>0.69295354362239259</v>
      </c>
      <c r="E37" s="25">
        <v>0.95</v>
      </c>
      <c r="G37" t="s">
        <v>62</v>
      </c>
      <c r="H37">
        <f>D26-F38</f>
        <v>1.1277917023502992</v>
      </c>
      <c r="J37" s="101">
        <f>0.0311/C29</f>
        <v>0.21637457342408259</v>
      </c>
      <c r="K37" s="32">
        <f>0.0311/H31</f>
        <v>0.26088529912767966</v>
      </c>
      <c r="L37" s="33">
        <f>0.0311/H32</f>
        <v>0.18483850712383185</v>
      </c>
      <c r="N37" s="2">
        <v>15</v>
      </c>
      <c r="O37" s="12">
        <v>2.1309999999999998</v>
      </c>
    </row>
    <row r="38" spans="2:15">
      <c r="E38" s="22" t="s">
        <v>115</v>
      </c>
      <c r="F38" s="34">
        <f>B21*F35</f>
        <v>4.4568568325017092E-2</v>
      </c>
      <c r="G38" t="s">
        <v>34</v>
      </c>
      <c r="H38">
        <f>D26+F38</f>
        <v>1.2169288390003332</v>
      </c>
      <c r="J38" s="35"/>
      <c r="K38" s="34"/>
      <c r="L38" s="36"/>
      <c r="N38" s="2">
        <v>16</v>
      </c>
      <c r="O38" s="12">
        <v>2.12</v>
      </c>
    </row>
    <row r="39" spans="2:15" ht="15" thickBot="1">
      <c r="B39" t="s">
        <v>116</v>
      </c>
      <c r="C39">
        <f>C37/(B19-2)</f>
        <v>6.9295354362239256E-2</v>
      </c>
      <c r="E39" s="22" t="s">
        <v>117</v>
      </c>
      <c r="J39" s="37" t="s">
        <v>118</v>
      </c>
      <c r="K39" s="181">
        <f>C42*(0.0311/C29^2)</f>
        <v>1.6569374194682934E-2</v>
      </c>
      <c r="L39" s="38"/>
      <c r="N39" s="2">
        <v>17</v>
      </c>
      <c r="O39" s="12">
        <v>2.11</v>
      </c>
    </row>
    <row r="40" spans="2:15" ht="15" thickTop="1">
      <c r="F40" s="22"/>
      <c r="N40" s="2">
        <v>18</v>
      </c>
      <c r="O40" s="12">
        <v>2.101</v>
      </c>
    </row>
    <row r="41" spans="2:15">
      <c r="B41" t="s">
        <v>65</v>
      </c>
      <c r="N41" s="2">
        <v>19</v>
      </c>
      <c r="O41" s="12">
        <v>2.093</v>
      </c>
    </row>
    <row r="42" spans="2:15">
      <c r="B42" t="s">
        <v>66</v>
      </c>
      <c r="C42">
        <f>(C39/H23)^0.5</f>
        <v>1.1006621843667984E-2</v>
      </c>
      <c r="N42" s="2">
        <v>20</v>
      </c>
      <c r="O42" s="12">
        <v>2.0859999999999999</v>
      </c>
    </row>
    <row r="43" spans="2:15">
      <c r="N43" s="2">
        <v>21</v>
      </c>
      <c r="O43" s="12">
        <v>2.08</v>
      </c>
    </row>
    <row r="44" spans="2:15">
      <c r="B44" t="s">
        <v>65</v>
      </c>
      <c r="N44" s="2">
        <v>22</v>
      </c>
      <c r="O44" s="12">
        <v>2.0739999999999998</v>
      </c>
    </row>
    <row r="45" spans="2:15">
      <c r="B45" t="s">
        <v>129</v>
      </c>
      <c r="C45">
        <f>(C39*((1/B19)+((C26^2)/H23)))^0.5</f>
        <v>0.15237977942787967</v>
      </c>
      <c r="N45" s="2">
        <v>23</v>
      </c>
      <c r="O45" s="12">
        <v>2.069</v>
      </c>
    </row>
    <row r="46" spans="2:15">
      <c r="N46" s="2">
        <v>24</v>
      </c>
      <c r="O46" s="12">
        <v>2.0640000000000001</v>
      </c>
    </row>
    <row r="47" spans="2:15">
      <c r="B47" s="40" t="s">
        <v>131</v>
      </c>
      <c r="N47" s="2">
        <v>25</v>
      </c>
      <c r="O47" s="12">
        <v>2.06</v>
      </c>
    </row>
    <row r="48" spans="2:15">
      <c r="B48" t="s">
        <v>129</v>
      </c>
      <c r="C48" s="42">
        <f>B21*C45</f>
        <v>0.33950214856531591</v>
      </c>
      <c r="E48" s="21" t="s">
        <v>50</v>
      </c>
    </row>
    <row r="49" spans="2:13">
      <c r="B49" t="s">
        <v>62</v>
      </c>
      <c r="C49">
        <f>C31-C48</f>
        <v>2.5576448846865252</v>
      </c>
      <c r="E49" s="52"/>
      <c r="F49" s="53"/>
      <c r="G49" s="53" t="s">
        <v>67</v>
      </c>
      <c r="H49" s="54">
        <v>0.95</v>
      </c>
      <c r="I49" s="53"/>
      <c r="J49" s="55"/>
      <c r="K49" s="55"/>
      <c r="L49" s="53" t="s">
        <v>68</v>
      </c>
      <c r="M49" s="56" t="s">
        <v>69</v>
      </c>
    </row>
    <row r="50" spans="2:13">
      <c r="B50" t="s">
        <v>34</v>
      </c>
      <c r="C50">
        <f>C31+C48</f>
        <v>3.2366491818171572</v>
      </c>
      <c r="E50" s="57" t="s">
        <v>70</v>
      </c>
      <c r="F50" s="58"/>
      <c r="G50" s="58" t="s">
        <v>71</v>
      </c>
      <c r="H50" s="58" t="s">
        <v>72</v>
      </c>
      <c r="I50" s="59" t="s">
        <v>71</v>
      </c>
      <c r="J50" s="34" t="s">
        <v>73</v>
      </c>
      <c r="K50" s="34" t="s">
        <v>74</v>
      </c>
      <c r="L50" s="58" t="s">
        <v>75</v>
      </c>
      <c r="M50" s="60" t="s">
        <v>75</v>
      </c>
    </row>
    <row r="51" spans="2:13">
      <c r="E51" s="61"/>
      <c r="F51" s="34"/>
      <c r="G51" s="34"/>
      <c r="H51" s="34"/>
      <c r="I51" s="34"/>
      <c r="J51" s="34"/>
      <c r="K51" s="34"/>
      <c r="L51" s="34"/>
      <c r="M51" s="62"/>
    </row>
    <row r="52" spans="2:13">
      <c r="E52" s="19" t="e">
        <f>#REF!</f>
        <v>#REF!</v>
      </c>
      <c r="F52" s="63" t="e">
        <f t="shared" ref="F52:F59" si="11">((E52-$C$26)^2)/$H$23</f>
        <v>#REF!</v>
      </c>
      <c r="G52" s="63" t="e">
        <f t="shared" ref="G52:G59" si="12">($C$39*((1/$B$19)+F52))^0.5</f>
        <v>#REF!</v>
      </c>
      <c r="H52" s="63" t="e">
        <f t="shared" ref="H52:H59" si="13">$B$21*G52</f>
        <v>#REF!</v>
      </c>
      <c r="I52" s="39" t="e">
        <f t="shared" ref="I52:I59" si="14">EXP($C$31+($C$29*E52))</f>
        <v>#REF!</v>
      </c>
      <c r="J52" s="63" t="e">
        <f t="shared" ref="J52:J59" si="15">EXP($C$49+$H$31*E52)</f>
        <v>#REF!</v>
      </c>
      <c r="K52" s="63" t="e">
        <f t="shared" ref="K52:K59" si="16">EXP($C$50+$H$32*E52)</f>
        <v>#REF!</v>
      </c>
      <c r="L52" s="63" t="e">
        <f t="shared" ref="L52:L59" si="17">I52-H52</f>
        <v>#REF!</v>
      </c>
      <c r="M52" s="64" t="e">
        <f t="shared" ref="M52:M59" si="18">I52+H52</f>
        <v>#REF!</v>
      </c>
    </row>
    <row r="53" spans="2:13">
      <c r="E53" s="19" t="e">
        <f>#REF!</f>
        <v>#REF!</v>
      </c>
      <c r="F53" s="63" t="e">
        <f t="shared" si="11"/>
        <v>#REF!</v>
      </c>
      <c r="G53" s="63" t="e">
        <f t="shared" si="12"/>
        <v>#REF!</v>
      </c>
      <c r="H53" s="63" t="e">
        <f t="shared" si="13"/>
        <v>#REF!</v>
      </c>
      <c r="I53" s="41" t="e">
        <f t="shared" si="14"/>
        <v>#REF!</v>
      </c>
      <c r="J53" s="63" t="e">
        <f t="shared" si="15"/>
        <v>#REF!</v>
      </c>
      <c r="K53" s="63" t="e">
        <f t="shared" si="16"/>
        <v>#REF!</v>
      </c>
      <c r="L53" s="63" t="e">
        <f t="shared" si="17"/>
        <v>#REF!</v>
      </c>
      <c r="M53" s="64" t="e">
        <f t="shared" si="18"/>
        <v>#REF!</v>
      </c>
    </row>
    <row r="54" spans="2:13">
      <c r="E54" s="19" t="e">
        <f>#REF!</f>
        <v>#REF!</v>
      </c>
      <c r="F54" s="63" t="e">
        <f t="shared" si="11"/>
        <v>#REF!</v>
      </c>
      <c r="G54" s="63" t="e">
        <f t="shared" si="12"/>
        <v>#REF!</v>
      </c>
      <c r="H54" s="63" t="e">
        <f t="shared" si="13"/>
        <v>#REF!</v>
      </c>
      <c r="I54" s="41" t="e">
        <f t="shared" si="14"/>
        <v>#REF!</v>
      </c>
      <c r="J54" s="63" t="e">
        <f t="shared" si="15"/>
        <v>#REF!</v>
      </c>
      <c r="K54" s="63" t="e">
        <f t="shared" si="16"/>
        <v>#REF!</v>
      </c>
      <c r="L54" s="63" t="e">
        <f t="shared" si="17"/>
        <v>#REF!</v>
      </c>
      <c r="M54" s="64" t="e">
        <f t="shared" si="18"/>
        <v>#REF!</v>
      </c>
    </row>
    <row r="55" spans="2:13">
      <c r="E55" s="19" t="e">
        <f>#REF!</f>
        <v>#REF!</v>
      </c>
      <c r="F55" s="63" t="e">
        <f t="shared" si="11"/>
        <v>#REF!</v>
      </c>
      <c r="G55" s="63" t="e">
        <f t="shared" si="12"/>
        <v>#REF!</v>
      </c>
      <c r="H55" s="63" t="e">
        <f t="shared" si="13"/>
        <v>#REF!</v>
      </c>
      <c r="I55" s="41" t="e">
        <f t="shared" si="14"/>
        <v>#REF!</v>
      </c>
      <c r="J55" s="63" t="e">
        <f t="shared" si="15"/>
        <v>#REF!</v>
      </c>
      <c r="K55" s="63" t="e">
        <f t="shared" si="16"/>
        <v>#REF!</v>
      </c>
      <c r="L55" s="63" t="e">
        <f t="shared" si="17"/>
        <v>#REF!</v>
      </c>
      <c r="M55" s="64" t="e">
        <f t="shared" si="18"/>
        <v>#REF!</v>
      </c>
    </row>
    <row r="56" spans="2:13">
      <c r="E56" s="19" t="e">
        <f>#REF!</f>
        <v>#REF!</v>
      </c>
      <c r="F56" s="63" t="e">
        <f t="shared" si="11"/>
        <v>#REF!</v>
      </c>
      <c r="G56" s="63" t="e">
        <f t="shared" si="12"/>
        <v>#REF!</v>
      </c>
      <c r="H56" s="63" t="e">
        <f t="shared" si="13"/>
        <v>#REF!</v>
      </c>
      <c r="I56" s="41" t="e">
        <f t="shared" si="14"/>
        <v>#REF!</v>
      </c>
      <c r="J56" s="63" t="e">
        <f t="shared" si="15"/>
        <v>#REF!</v>
      </c>
      <c r="K56" s="63" t="e">
        <f t="shared" si="16"/>
        <v>#REF!</v>
      </c>
      <c r="L56" s="63" t="e">
        <f t="shared" si="17"/>
        <v>#REF!</v>
      </c>
      <c r="M56" s="64" t="e">
        <f t="shared" si="18"/>
        <v>#REF!</v>
      </c>
    </row>
    <row r="57" spans="2:13">
      <c r="E57" s="19" t="e">
        <f>#REF!</f>
        <v>#REF!</v>
      </c>
      <c r="F57" s="63" t="e">
        <f t="shared" si="11"/>
        <v>#REF!</v>
      </c>
      <c r="G57" s="63" t="e">
        <f t="shared" si="12"/>
        <v>#REF!</v>
      </c>
      <c r="H57" s="63" t="e">
        <f t="shared" si="13"/>
        <v>#REF!</v>
      </c>
      <c r="I57" s="41" t="e">
        <f t="shared" si="14"/>
        <v>#REF!</v>
      </c>
      <c r="J57" s="63" t="e">
        <f t="shared" si="15"/>
        <v>#REF!</v>
      </c>
      <c r="K57" s="63" t="e">
        <f t="shared" si="16"/>
        <v>#REF!</v>
      </c>
      <c r="L57" s="63" t="e">
        <f t="shared" si="17"/>
        <v>#REF!</v>
      </c>
      <c r="M57" s="64" t="e">
        <f t="shared" si="18"/>
        <v>#REF!</v>
      </c>
    </row>
    <row r="58" spans="2:13">
      <c r="C58" t="s">
        <v>51</v>
      </c>
      <c r="E58" s="19" t="e">
        <f>#REF!</f>
        <v>#REF!</v>
      </c>
      <c r="F58" s="63" t="e">
        <f t="shared" si="11"/>
        <v>#REF!</v>
      </c>
      <c r="G58" s="63" t="e">
        <f t="shared" si="12"/>
        <v>#REF!</v>
      </c>
      <c r="H58" s="63" t="e">
        <f t="shared" si="13"/>
        <v>#REF!</v>
      </c>
      <c r="I58" s="41" t="e">
        <f t="shared" si="14"/>
        <v>#REF!</v>
      </c>
      <c r="J58" s="63" t="e">
        <f t="shared" si="15"/>
        <v>#REF!</v>
      </c>
      <c r="K58" s="63" t="e">
        <f t="shared" si="16"/>
        <v>#REF!</v>
      </c>
      <c r="L58" s="63" t="e">
        <f t="shared" si="17"/>
        <v>#REF!</v>
      </c>
      <c r="M58" s="64" t="e">
        <f t="shared" si="18"/>
        <v>#REF!</v>
      </c>
    </row>
    <row r="59" spans="2:13">
      <c r="C59" t="s">
        <v>51</v>
      </c>
      <c r="E59" s="20" t="e">
        <f>#REF!</f>
        <v>#REF!</v>
      </c>
      <c r="F59" s="65" t="e">
        <f t="shared" si="11"/>
        <v>#REF!</v>
      </c>
      <c r="G59" s="65" t="e">
        <f t="shared" si="12"/>
        <v>#REF!</v>
      </c>
      <c r="H59" s="65" t="e">
        <f t="shared" si="13"/>
        <v>#REF!</v>
      </c>
      <c r="I59" s="43" t="e">
        <f t="shared" si="14"/>
        <v>#REF!</v>
      </c>
      <c r="J59" s="65" t="e">
        <f t="shared" si="15"/>
        <v>#REF!</v>
      </c>
      <c r="K59" s="65" t="e">
        <f t="shared" si="16"/>
        <v>#REF!</v>
      </c>
      <c r="L59" s="65" t="e">
        <f t="shared" si="17"/>
        <v>#REF!</v>
      </c>
      <c r="M59" s="66" t="e">
        <f t="shared" si="18"/>
        <v>#REF!</v>
      </c>
    </row>
    <row r="60" spans="2:13">
      <c r="C60" t="s">
        <v>51</v>
      </c>
    </row>
    <row r="61" spans="2:13">
      <c r="C61" t="s">
        <v>51</v>
      </c>
    </row>
    <row r="62" spans="2:13">
      <c r="C62" t="s">
        <v>0</v>
      </c>
    </row>
    <row r="63" spans="2:13">
      <c r="C63" t="s">
        <v>51</v>
      </c>
    </row>
  </sheetData>
  <phoneticPr fontId="0"/>
  <pageMargins left="0.7" right="0.7" top="0.75" bottom="0.75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4010-435D-B145-A896-1D45B0829C57}">
  <dimension ref="A1:AI27"/>
  <sheetViews>
    <sheetView topLeftCell="S19" zoomScale="138" workbookViewId="0">
      <selection activeCell="D23" sqref="D23"/>
    </sheetView>
  </sheetViews>
  <sheetFormatPr baseColWidth="10" defaultRowHeight="14"/>
  <cols>
    <col min="13" max="13" width="11.42578125" bestFit="1" customWidth="1"/>
  </cols>
  <sheetData>
    <row r="1" spans="1:35" ht="14" customHeight="1">
      <c r="A1" s="195" t="s">
        <v>264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</row>
    <row r="2" spans="1:35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</row>
    <row r="3" spans="1:35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</row>
    <row r="4" spans="1:35" s="167" customFormat="1" ht="75">
      <c r="A4" s="167" t="s">
        <v>229</v>
      </c>
      <c r="B4" s="167" t="s">
        <v>230</v>
      </c>
      <c r="C4" s="167" t="s">
        <v>231</v>
      </c>
      <c r="D4" s="167" t="s">
        <v>232</v>
      </c>
      <c r="E4" s="167" t="s">
        <v>233</v>
      </c>
      <c r="F4" s="167" t="s">
        <v>234</v>
      </c>
      <c r="G4" s="167" t="s">
        <v>235</v>
      </c>
      <c r="H4" s="167" t="s">
        <v>236</v>
      </c>
      <c r="I4" s="167" t="s">
        <v>237</v>
      </c>
      <c r="J4" s="167" t="s">
        <v>238</v>
      </c>
      <c r="K4" s="167" t="s">
        <v>239</v>
      </c>
      <c r="L4" s="167" t="s">
        <v>240</v>
      </c>
      <c r="M4" s="167" t="s">
        <v>241</v>
      </c>
      <c r="N4" s="167" t="s">
        <v>242</v>
      </c>
      <c r="O4" s="167" t="s">
        <v>243</v>
      </c>
      <c r="P4" s="167" t="s">
        <v>244</v>
      </c>
      <c r="Q4" s="167" t="s">
        <v>245</v>
      </c>
      <c r="R4" s="167" t="s">
        <v>246</v>
      </c>
      <c r="S4" s="167" t="s">
        <v>247</v>
      </c>
      <c r="T4" s="167" t="s">
        <v>248</v>
      </c>
      <c r="U4" s="167" t="s">
        <v>249</v>
      </c>
      <c r="V4" s="167" t="s">
        <v>250</v>
      </c>
      <c r="W4" s="167" t="s">
        <v>251</v>
      </c>
      <c r="X4" s="167" t="s">
        <v>252</v>
      </c>
      <c r="Y4" s="167" t="s">
        <v>253</v>
      </c>
      <c r="Z4" s="167" t="s">
        <v>254</v>
      </c>
      <c r="AA4" s="167" t="s">
        <v>255</v>
      </c>
      <c r="AB4" s="167" t="s">
        <v>256</v>
      </c>
      <c r="AC4" s="167" t="s">
        <v>257</v>
      </c>
      <c r="AD4" s="167" t="s">
        <v>258</v>
      </c>
      <c r="AE4" s="167" t="s">
        <v>259</v>
      </c>
      <c r="AF4" s="167" t="s">
        <v>260</v>
      </c>
      <c r="AG4" s="167" t="s">
        <v>261</v>
      </c>
      <c r="AH4" s="167" t="s">
        <v>262</v>
      </c>
      <c r="AI4" s="167" t="s">
        <v>263</v>
      </c>
    </row>
    <row r="5" spans="1:35">
      <c r="A5" s="168">
        <v>-1</v>
      </c>
      <c r="B5" s="169">
        <v>0.30805441147979751</v>
      </c>
      <c r="C5" s="170"/>
      <c r="D5" s="169">
        <v>16.787146342237641</v>
      </c>
      <c r="E5" s="169">
        <v>0.55937314507940228</v>
      </c>
      <c r="F5" s="169">
        <f>D5*B5</f>
        <v>5.1713544868832519</v>
      </c>
      <c r="G5" s="169">
        <f>E5*B5</f>
        <v>0.17231736500503866</v>
      </c>
      <c r="H5" s="169">
        <f>SUM(F5:F39)</f>
        <v>23.805686002135367</v>
      </c>
      <c r="I5" s="169">
        <f>SUM(G5:G39)</f>
        <v>3.1441040400903058</v>
      </c>
      <c r="J5" s="169">
        <f>H$5</f>
        <v>23.805686002135367</v>
      </c>
      <c r="K5" s="169">
        <f>I$5</f>
        <v>3.1441040400903058</v>
      </c>
      <c r="L5" s="168">
        <v>3.1140000000000001E-2</v>
      </c>
      <c r="M5" s="168">
        <f>(1/L5)*LN(J5/H5)</f>
        <v>0</v>
      </c>
      <c r="N5" s="171">
        <f>(K5/(L5*J5))+(I5/(L5*H5))</f>
        <v>8.4825727913160964</v>
      </c>
      <c r="O5" s="171">
        <f>2013-M5</f>
        <v>2013</v>
      </c>
      <c r="P5" s="171">
        <f>(O5+O6)/2</f>
        <v>2009.0674566466503</v>
      </c>
      <c r="Q5" s="169">
        <f t="shared" ref="Q5" si="0">((-A5)-((-A5)-(-A6)))/(M5-(M5-M6))</f>
        <v>0.38143254001823118</v>
      </c>
      <c r="R5" s="169">
        <f>AVERAGE(Q5:Q6)</f>
        <v>0.34761068021708136</v>
      </c>
      <c r="S5" s="169">
        <f>((-A5)-((-A5)-(-A6)))/(N5-(N5-N6))</f>
        <v>0.32042226636590126</v>
      </c>
      <c r="T5" s="172">
        <f>AVERAGE(Q5:Q22)</f>
        <v>0.26842309542876408</v>
      </c>
      <c r="U5" s="172">
        <f>STDEV(Q5:Q22)</f>
        <v>3.3774859948168881E-2</v>
      </c>
      <c r="V5" s="173">
        <f>T5*10</f>
        <v>2.6842309542876408</v>
      </c>
      <c r="W5" s="173">
        <f>U5*10</f>
        <v>0.33774859948168878</v>
      </c>
      <c r="X5" s="14">
        <f>(2*B5)/(M6-M5)*10</f>
        <v>0.78334651089707008</v>
      </c>
      <c r="Y5" s="14">
        <f>AVERAGE(X5:X6)</f>
        <v>0.82355873435282811</v>
      </c>
      <c r="Z5" s="173">
        <f>AVERAGE(X5:X22)</f>
        <v>1.1483534629093002</v>
      </c>
      <c r="AA5" s="173">
        <f>STDEV(X5:X22)</f>
        <v>0.51333765071253812</v>
      </c>
      <c r="AB5" s="174">
        <f>X5*(C5/100)*1000</f>
        <v>0</v>
      </c>
      <c r="AC5" s="174">
        <f>AVERAGE(AB5:AB6)</f>
        <v>0</v>
      </c>
      <c r="AD5" s="175">
        <f>AVERAGE(AB5:AB22)</f>
        <v>0</v>
      </c>
      <c r="AE5" s="175">
        <f>STDEV(AB5:AB22)</f>
        <v>0</v>
      </c>
      <c r="AF5" s="174">
        <f>X5*(1-(C5/100))*1000</f>
        <v>783.34651089707006</v>
      </c>
      <c r="AG5" s="174">
        <f>AVERAGE(AF5:AF6)</f>
        <v>823.5587343528282</v>
      </c>
      <c r="AH5" s="175">
        <f>AVERAGE(AF5:AF22)</f>
        <v>1148.3534629093006</v>
      </c>
      <c r="AI5" s="175">
        <f>STDEV(AF5:AF22)</f>
        <v>513.33765071253765</v>
      </c>
    </row>
    <row r="6" spans="1:35">
      <c r="A6" s="168">
        <v>-3</v>
      </c>
      <c r="B6" s="169">
        <v>0.34849688889132036</v>
      </c>
      <c r="C6" s="170"/>
      <c r="D6" s="169">
        <v>11.880702888312618</v>
      </c>
      <c r="E6" s="169">
        <v>0.4345139094938128</v>
      </c>
      <c r="F6" s="169">
        <f t="shared" ref="F6:F27" si="1">D6*B6</f>
        <v>4.1403879944190711</v>
      </c>
      <c r="G6" s="169">
        <f t="shared" ref="G6:G27" si="2">E6*B6</f>
        <v>0.15142674563859851</v>
      </c>
      <c r="H6" s="169">
        <f t="shared" ref="H6:H27" si="3">SUM(F6:F31)</f>
        <v>18.634331515252111</v>
      </c>
      <c r="I6" s="169">
        <f t="shared" ref="I6:I27" si="4">SUM(G6:G31)</f>
        <v>2.9717866750852666</v>
      </c>
      <c r="J6" s="169">
        <f t="shared" ref="J6:K21" si="5">H$5</f>
        <v>23.805686002135367</v>
      </c>
      <c r="K6" s="169">
        <f t="shared" si="5"/>
        <v>3.1441040400903058</v>
      </c>
      <c r="L6" s="168">
        <v>3.1140000000000001E-2</v>
      </c>
      <c r="M6" s="171">
        <f t="shared" ref="M6:M27" si="6">(1/L6)*LN(J6/H6)</f>
        <v>7.8650867066994605</v>
      </c>
      <c r="N6" s="171">
        <f t="shared" ref="N6:N27" si="7">(K6/(L6*J6))+(I6/(L6*H6))</f>
        <v>9.3626452182140056</v>
      </c>
      <c r="O6" s="171">
        <f t="shared" ref="O6:O27" si="8">2013-M6</f>
        <v>2005.1349132933005</v>
      </c>
      <c r="P6" s="171">
        <f t="shared" ref="P6:P21" si="9">(O6+O7)/2</f>
        <v>2001.1003149343157</v>
      </c>
      <c r="Q6" s="169">
        <f t="shared" ref="Q6:Q26" si="10">((-A6)-((-A6)-(-A7)))/(M6-(M6-M7))</f>
        <v>0.31378882041593154</v>
      </c>
      <c r="R6" s="169">
        <f t="shared" ref="R6:R21" si="11">AVERAGE(Q6:Q7)</f>
        <v>0.29887725061792103</v>
      </c>
      <c r="S6" s="169">
        <f t="shared" ref="S6:S26" si="12">((-A6)-((-A6)-(-A7)))/(N6-(N6-N7))</f>
        <v>0.476638707575542</v>
      </c>
      <c r="X6" s="14">
        <f t="shared" ref="X6:X17" si="13">(2*B6)/(M7-M6)*10</f>
        <v>0.86377095780858626</v>
      </c>
      <c r="Y6" s="14">
        <f t="shared" ref="Y6:Y17" si="14">AVERAGE(X6:X7)</f>
        <v>0.85674209783809663</v>
      </c>
      <c r="AB6" s="174">
        <f t="shared" ref="AB6:AB17" si="15">X6*(C6/100)*1000</f>
        <v>0</v>
      </c>
      <c r="AC6" s="174">
        <f t="shared" ref="AC6:AC17" si="16">AVERAGE(AB6:AB7)</f>
        <v>0</v>
      </c>
      <c r="AF6" s="174">
        <f t="shared" ref="AF6:AF18" si="17">X6*(1-(C6/100))*1000</f>
        <v>863.77095780858622</v>
      </c>
      <c r="AG6" s="174">
        <f t="shared" ref="AG6:AG18" si="18">AVERAGE(AF6:AF7)</f>
        <v>856.74209783809658</v>
      </c>
    </row>
    <row r="7" spans="1:35">
      <c r="A7" s="168">
        <v>-5</v>
      </c>
      <c r="B7" s="169">
        <v>0.37032978816711248</v>
      </c>
      <c r="C7" s="170"/>
      <c r="D7" s="169">
        <v>9.3036627970524375</v>
      </c>
      <c r="E7" s="169">
        <v>0.38054081503397563</v>
      </c>
      <c r="F7" s="169">
        <f t="shared" si="1"/>
        <v>3.4454234728106745</v>
      </c>
      <c r="G7" s="169">
        <f t="shared" si="2"/>
        <v>0.14092559942047253</v>
      </c>
      <c r="H7" s="169">
        <f t="shared" si="3"/>
        <v>14.49394352083304</v>
      </c>
      <c r="I7" s="169">
        <f t="shared" si="4"/>
        <v>2.8203599294466684</v>
      </c>
      <c r="J7" s="169">
        <f t="shared" si="5"/>
        <v>23.805686002135367</v>
      </c>
      <c r="K7" s="169">
        <f t="shared" si="5"/>
        <v>3.1441040400903058</v>
      </c>
      <c r="L7" s="168">
        <v>3.1140000000000001E-2</v>
      </c>
      <c r="M7" s="171">
        <f t="shared" si="6"/>
        <v>15.93428342466895</v>
      </c>
      <c r="N7" s="171">
        <f t="shared" si="7"/>
        <v>10.49012579241176</v>
      </c>
      <c r="O7" s="171">
        <f t="shared" si="8"/>
        <v>1997.065716575331</v>
      </c>
      <c r="P7" s="171">
        <f t="shared" si="9"/>
        <v>1992.7074251934469</v>
      </c>
      <c r="Q7" s="169">
        <f t="shared" si="10"/>
        <v>0.28396568081991053</v>
      </c>
      <c r="R7" s="169">
        <f t="shared" si="11"/>
        <v>0.27082013775726888</v>
      </c>
      <c r="S7" s="169">
        <f t="shared" si="12"/>
        <v>0.58191796243042726</v>
      </c>
      <c r="X7" s="14">
        <f t="shared" si="13"/>
        <v>0.849713237867607</v>
      </c>
      <c r="Y7" s="14">
        <f t="shared" si="14"/>
        <v>0.78103969461116773</v>
      </c>
      <c r="AB7" s="174">
        <f t="shared" si="15"/>
        <v>0</v>
      </c>
      <c r="AC7" s="174">
        <f t="shared" si="16"/>
        <v>0</v>
      </c>
      <c r="AF7" s="174">
        <f t="shared" si="17"/>
        <v>849.71323786760695</v>
      </c>
      <c r="AG7" s="174">
        <f t="shared" si="18"/>
        <v>781.03969461116765</v>
      </c>
    </row>
    <row r="8" spans="1:35">
      <c r="A8" s="168">
        <v>-7</v>
      </c>
      <c r="B8" s="169">
        <v>0.3660460620285465</v>
      </c>
      <c r="C8" s="170"/>
      <c r="D8" s="169">
        <v>8.2662592364164755</v>
      </c>
      <c r="E8" s="169">
        <v>0.35906205362356014</v>
      </c>
      <c r="F8" s="169">
        <f t="shared" si="1"/>
        <v>3.0258316411973505</v>
      </c>
      <c r="G8" s="169">
        <f t="shared" si="2"/>
        <v>0.13143325075278697</v>
      </c>
      <c r="H8" s="169">
        <f t="shared" si="3"/>
        <v>11.048520048022366</v>
      </c>
      <c r="I8" s="169">
        <f t="shared" si="4"/>
        <v>2.6794343300261958</v>
      </c>
      <c r="J8" s="169">
        <f t="shared" si="5"/>
        <v>23.805686002135367</v>
      </c>
      <c r="K8" s="169">
        <f t="shared" si="5"/>
        <v>3.1441040400903058</v>
      </c>
      <c r="L8" s="168">
        <v>3.1140000000000001E-2</v>
      </c>
      <c r="M8" s="171">
        <f t="shared" si="6"/>
        <v>24.650866188436911</v>
      </c>
      <c r="N8" s="171">
        <f t="shared" si="7"/>
        <v>12.029187019359114</v>
      </c>
      <c r="O8" s="171">
        <f t="shared" si="8"/>
        <v>1988.349133811563</v>
      </c>
      <c r="P8" s="171">
        <f t="shared" si="9"/>
        <v>1983.2106799233143</v>
      </c>
      <c r="Q8" s="169">
        <f t="shared" si="10"/>
        <v>0.25767459469462717</v>
      </c>
      <c r="R8" s="169">
        <f t="shared" si="11"/>
        <v>0.24995334930421786</v>
      </c>
      <c r="S8" s="169">
        <f t="shared" si="12"/>
        <v>0.62325280673542982</v>
      </c>
      <c r="X8" s="14">
        <f t="shared" si="13"/>
        <v>0.71236615135472836</v>
      </c>
      <c r="Y8" s="14">
        <f t="shared" si="14"/>
        <v>0.72381133113288942</v>
      </c>
      <c r="AB8" s="174">
        <f t="shared" si="15"/>
        <v>0</v>
      </c>
      <c r="AC8" s="174">
        <f t="shared" si="16"/>
        <v>0</v>
      </c>
      <c r="AF8" s="174">
        <f t="shared" si="17"/>
        <v>712.36615135472834</v>
      </c>
      <c r="AG8" s="174">
        <f t="shared" si="18"/>
        <v>723.81133113288934</v>
      </c>
    </row>
    <row r="9" spans="1:35">
      <c r="A9" s="168">
        <v>-9</v>
      </c>
      <c r="B9" s="169">
        <v>0.38539269559818456</v>
      </c>
      <c r="C9" s="170"/>
      <c r="D9" s="169">
        <v>5.7978797013695438</v>
      </c>
      <c r="E9" s="169">
        <v>0.33386083556896456</v>
      </c>
      <c r="F9" s="169">
        <f t="shared" si="1"/>
        <v>2.2344604868648057</v>
      </c>
      <c r="G9" s="169">
        <f t="shared" si="2"/>
        <v>0.12866752737458551</v>
      </c>
      <c r="H9" s="169">
        <f t="shared" si="3"/>
        <v>8.0226884068250151</v>
      </c>
      <c r="I9" s="169">
        <f t="shared" si="4"/>
        <v>2.5480010792734089</v>
      </c>
      <c r="J9" s="169">
        <f t="shared" si="5"/>
        <v>23.805686002135367</v>
      </c>
      <c r="K9" s="169">
        <f t="shared" si="5"/>
        <v>3.1441040400903058</v>
      </c>
      <c r="L9" s="168">
        <v>3.1140000000000001E-2</v>
      </c>
      <c r="M9" s="171">
        <f t="shared" si="6"/>
        <v>34.92777396493431</v>
      </c>
      <c r="N9" s="171">
        <f t="shared" si="7"/>
        <v>14.440368182442043</v>
      </c>
      <c r="O9" s="171">
        <f t="shared" si="8"/>
        <v>1978.0722260350658</v>
      </c>
      <c r="P9" s="171">
        <f t="shared" si="9"/>
        <v>1972.8306172920074</v>
      </c>
      <c r="Q9" s="169">
        <f t="shared" si="10"/>
        <v>0.24223210391380859</v>
      </c>
      <c r="R9" s="169">
        <f t="shared" si="11"/>
        <v>0.24238853614335326</v>
      </c>
      <c r="S9" s="169">
        <f t="shared" si="12"/>
        <v>0.62274510404573802</v>
      </c>
      <c r="X9" s="14">
        <f t="shared" si="13"/>
        <v>0.73525651091105049</v>
      </c>
      <c r="Y9" s="14">
        <f t="shared" si="14"/>
        <v>0.82966170293278085</v>
      </c>
      <c r="AB9" s="174">
        <f t="shared" si="15"/>
        <v>0</v>
      </c>
      <c r="AC9" s="174">
        <f t="shared" si="16"/>
        <v>0</v>
      </c>
      <c r="AF9" s="174">
        <f t="shared" si="17"/>
        <v>735.25651091105044</v>
      </c>
      <c r="AG9" s="174">
        <f t="shared" si="18"/>
        <v>829.66170293278083</v>
      </c>
    </row>
    <row r="10" spans="1:35">
      <c r="A10" s="168">
        <v>-11</v>
      </c>
      <c r="B10" s="169">
        <v>0.37828142455685648</v>
      </c>
      <c r="C10" s="170"/>
      <c r="D10" s="169">
        <v>3.4435315141295795</v>
      </c>
      <c r="E10" s="169">
        <v>0.27578019054104158</v>
      </c>
      <c r="F10" s="169">
        <f t="shared" si="1"/>
        <v>1.3026240066713664</v>
      </c>
      <c r="G10" s="169">
        <f t="shared" si="2"/>
        <v>0.10432252334242653</v>
      </c>
      <c r="H10" s="169">
        <f t="shared" si="3"/>
        <v>5.788227919960212</v>
      </c>
      <c r="I10" s="169">
        <f t="shared" si="4"/>
        <v>2.419333551898823</v>
      </c>
      <c r="J10" s="169">
        <f t="shared" si="5"/>
        <v>23.805686002135367</v>
      </c>
      <c r="K10" s="169">
        <f t="shared" si="5"/>
        <v>3.1441040400903058</v>
      </c>
      <c r="L10" s="168">
        <v>3.1140000000000001E-2</v>
      </c>
      <c r="M10" s="171">
        <f t="shared" si="6"/>
        <v>45.410991451050755</v>
      </c>
      <c r="N10" s="171">
        <f t="shared" si="7"/>
        <v>17.663727789326941</v>
      </c>
      <c r="O10" s="171">
        <f t="shared" si="8"/>
        <v>1967.5890085489493</v>
      </c>
      <c r="P10" s="171">
        <f t="shared" si="9"/>
        <v>1963.4953501068785</v>
      </c>
      <c r="Q10" s="169">
        <f t="shared" si="10"/>
        <v>0.24254496837289796</v>
      </c>
      <c r="R10" s="169">
        <f t="shared" si="11"/>
        <v>0.24554817503224388</v>
      </c>
      <c r="S10" s="169">
        <f t="shared" si="12"/>
        <v>0.62455681272781782</v>
      </c>
      <c r="X10" s="14">
        <f t="shared" si="13"/>
        <v>0.92406689495451111</v>
      </c>
      <c r="Y10" s="14">
        <f t="shared" si="14"/>
        <v>1.0252423722383792</v>
      </c>
      <c r="AB10" s="174">
        <f t="shared" si="15"/>
        <v>0</v>
      </c>
      <c r="AC10" s="174">
        <f t="shared" si="16"/>
        <v>0</v>
      </c>
      <c r="AF10" s="174">
        <f t="shared" si="17"/>
        <v>924.0668949545111</v>
      </c>
      <c r="AG10" s="174">
        <f t="shared" si="18"/>
        <v>1025.2423722383792</v>
      </c>
    </row>
    <row r="11" spans="1:35">
      <c r="A11" s="168">
        <v>-13</v>
      </c>
      <c r="B11" s="169">
        <v>0.38024410498439587</v>
      </c>
      <c r="C11" s="170"/>
      <c r="D11" s="169">
        <v>2.2367471680151807</v>
      </c>
      <c r="E11" s="169">
        <v>0.28523630679386158</v>
      </c>
      <c r="F11" s="169">
        <f t="shared" si="1"/>
        <v>0.85050992497831457</v>
      </c>
      <c r="G11" s="169">
        <f t="shared" si="2"/>
        <v>0.10845942418588646</v>
      </c>
      <c r="H11" s="169">
        <f t="shared" si="3"/>
        <v>4.4856039132888448</v>
      </c>
      <c r="I11" s="169">
        <f t="shared" si="4"/>
        <v>2.3150110285563965</v>
      </c>
      <c r="J11" s="169">
        <f t="shared" si="5"/>
        <v>23.805686002135367</v>
      </c>
      <c r="K11" s="169">
        <f t="shared" si="5"/>
        <v>3.1441040400903058</v>
      </c>
      <c r="L11" s="168">
        <v>3.1140000000000001E-2</v>
      </c>
      <c r="M11" s="171">
        <f t="shared" si="6"/>
        <v>53.598308335192094</v>
      </c>
      <c r="N11" s="171">
        <f t="shared" si="7"/>
        <v>20.814759738543444</v>
      </c>
      <c r="O11" s="171">
        <f t="shared" si="8"/>
        <v>1959.4016916648079</v>
      </c>
      <c r="P11" s="171">
        <f t="shared" si="9"/>
        <v>1956.0259984871327</v>
      </c>
      <c r="Q11" s="169">
        <f t="shared" si="10"/>
        <v>0.2485513816915898</v>
      </c>
      <c r="R11" s="169">
        <f t="shared" si="11"/>
        <v>0.25521110399646801</v>
      </c>
      <c r="S11" s="169">
        <f t="shared" si="12"/>
        <v>0.63199571432961887</v>
      </c>
      <c r="X11" s="14">
        <f t="shared" si="13"/>
        <v>1.1264178495222472</v>
      </c>
      <c r="Y11" s="14">
        <f t="shared" si="14"/>
        <v>1.4538982096854336</v>
      </c>
      <c r="AB11" s="174">
        <f t="shared" si="15"/>
        <v>0</v>
      </c>
      <c r="AC11" s="174">
        <f t="shared" si="16"/>
        <v>0</v>
      </c>
      <c r="AF11" s="174">
        <f t="shared" si="17"/>
        <v>1126.4178495222473</v>
      </c>
      <c r="AG11" s="174">
        <f t="shared" si="18"/>
        <v>1453.8982096854336</v>
      </c>
    </row>
    <row r="12" spans="1:35">
      <c r="A12" s="168">
        <v>-15</v>
      </c>
      <c r="B12" s="169">
        <v>0.40684973997286905</v>
      </c>
      <c r="C12" s="170"/>
      <c r="D12" s="169">
        <v>1.1846409168585736</v>
      </c>
      <c r="E12" s="169">
        <v>0.23778687470974411</v>
      </c>
      <c r="F12" s="169">
        <f t="shared" si="1"/>
        <v>0.48197084898513187</v>
      </c>
      <c r="G12" s="169">
        <f t="shared" si="2"/>
        <v>9.6743528144620575E-2</v>
      </c>
      <c r="H12" s="169">
        <f t="shared" si="3"/>
        <v>3.6350939883105293</v>
      </c>
      <c r="I12" s="169">
        <f t="shared" si="4"/>
        <v>2.2065516043705102</v>
      </c>
      <c r="J12" s="169">
        <f t="shared" si="5"/>
        <v>23.805686002135367</v>
      </c>
      <c r="K12" s="169">
        <f t="shared" si="5"/>
        <v>3.1441040400903058</v>
      </c>
      <c r="L12" s="168">
        <v>3.1140000000000001E-2</v>
      </c>
      <c r="M12" s="171">
        <f t="shared" si="6"/>
        <v>60.349694690542741</v>
      </c>
      <c r="N12" s="171">
        <f t="shared" si="7"/>
        <v>23.73433816068049</v>
      </c>
      <c r="O12" s="171">
        <f t="shared" si="8"/>
        <v>1952.6503053094573</v>
      </c>
      <c r="P12" s="171">
        <f t="shared" si="9"/>
        <v>1950.3664014450055</v>
      </c>
      <c r="Q12" s="169">
        <f t="shared" si="10"/>
        <v>0.26187082630134623</v>
      </c>
      <c r="R12" s="169">
        <f t="shared" si="11"/>
        <v>0.26707565205150019</v>
      </c>
      <c r="S12" s="169">
        <f t="shared" si="12"/>
        <v>0.6607416604889238</v>
      </c>
      <c r="X12" s="14">
        <f t="shared" si="13"/>
        <v>1.78137856984862</v>
      </c>
      <c r="Y12" s="14">
        <f t="shared" si="14"/>
        <v>1.6620317531392463</v>
      </c>
      <c r="AB12" s="174">
        <f t="shared" si="15"/>
        <v>0</v>
      </c>
      <c r="AC12" s="174">
        <f t="shared" si="16"/>
        <v>0</v>
      </c>
      <c r="AF12" s="174">
        <f t="shared" si="17"/>
        <v>1781.3785698486199</v>
      </c>
      <c r="AG12" s="174">
        <f t="shared" si="18"/>
        <v>1662.0317531392461</v>
      </c>
    </row>
    <row r="13" spans="1:35">
      <c r="A13" s="168">
        <v>-17</v>
      </c>
      <c r="B13" s="169">
        <v>0.37514108355122083</v>
      </c>
      <c r="C13" s="170"/>
      <c r="D13" s="169">
        <v>1.1812465982606106</v>
      </c>
      <c r="E13" s="169">
        <v>0.25108299916819449</v>
      </c>
      <c r="F13" s="169">
        <f t="shared" si="1"/>
        <v>0.44313412881267911</v>
      </c>
      <c r="G13" s="169">
        <f t="shared" si="2"/>
        <v>9.4191548369246758E-2</v>
      </c>
      <c r="H13" s="169">
        <f t="shared" si="3"/>
        <v>3.1531231393253978</v>
      </c>
      <c r="I13" s="169">
        <f t="shared" si="4"/>
        <v>2.1098080762258897</v>
      </c>
      <c r="J13" s="169">
        <f t="shared" si="5"/>
        <v>23.805686002135367</v>
      </c>
      <c r="K13" s="169">
        <f t="shared" si="5"/>
        <v>3.1441040400903058</v>
      </c>
      <c r="L13" s="168">
        <v>3.1140000000000001E-2</v>
      </c>
      <c r="M13" s="171">
        <f t="shared" si="6"/>
        <v>64.917502419446123</v>
      </c>
      <c r="N13" s="171">
        <f t="shared" si="7"/>
        <v>25.728663737383599</v>
      </c>
      <c r="O13" s="171">
        <f t="shared" si="8"/>
        <v>1948.082497580554</v>
      </c>
      <c r="P13" s="171">
        <f t="shared" si="9"/>
        <v>1945.6507561750834</v>
      </c>
      <c r="Q13" s="169">
        <f t="shared" si="10"/>
        <v>0.27228047780165415</v>
      </c>
      <c r="R13" s="169">
        <f t="shared" si="11"/>
        <v>0.27226197713554923</v>
      </c>
      <c r="S13" s="169">
        <f t="shared" si="12"/>
        <v>0.67552924518648483</v>
      </c>
      <c r="X13" s="14">
        <f t="shared" si="13"/>
        <v>1.5426849364298725</v>
      </c>
      <c r="Y13" s="14">
        <f t="shared" si="14"/>
        <v>1.3061277502583022</v>
      </c>
      <c r="AB13" s="174">
        <f t="shared" si="15"/>
        <v>0</v>
      </c>
      <c r="AC13" s="174">
        <f t="shared" si="16"/>
        <v>0</v>
      </c>
      <c r="AF13" s="174">
        <f t="shared" si="17"/>
        <v>1542.6849364298726</v>
      </c>
      <c r="AG13" s="174">
        <f t="shared" si="18"/>
        <v>1306.1277502583023</v>
      </c>
    </row>
    <row r="14" spans="1:35">
      <c r="A14" s="168">
        <v>-19</v>
      </c>
      <c r="B14" s="169">
        <v>0.39337999496389675</v>
      </c>
      <c r="C14" s="170"/>
      <c r="D14" s="169">
        <v>1.4103137460547015</v>
      </c>
      <c r="E14" s="169">
        <v>0.30872102650704097</v>
      </c>
      <c r="F14" s="169">
        <f t="shared" si="1"/>
        <v>0.55478921432051287</v>
      </c>
      <c r="G14" s="169">
        <f t="shared" si="2"/>
        <v>0.12144467585258881</v>
      </c>
      <c r="H14" s="169">
        <f t="shared" si="3"/>
        <v>2.7099890105127193</v>
      </c>
      <c r="I14" s="169">
        <f t="shared" si="4"/>
        <v>2.0156165278566429</v>
      </c>
      <c r="J14" s="169">
        <f t="shared" si="5"/>
        <v>23.805686002135367</v>
      </c>
      <c r="K14" s="169">
        <f t="shared" si="5"/>
        <v>3.1441040400903058</v>
      </c>
      <c r="L14" s="168">
        <v>3.1140000000000001E-2</v>
      </c>
      <c r="M14" s="171">
        <f t="shared" si="6"/>
        <v>69.780985230387202</v>
      </c>
      <c r="N14" s="171">
        <f t="shared" si="7"/>
        <v>28.126095406505918</v>
      </c>
      <c r="O14" s="171">
        <f t="shared" si="8"/>
        <v>1943.2190147696128</v>
      </c>
      <c r="P14" s="171">
        <f t="shared" si="9"/>
        <v>1939.5410901130026</v>
      </c>
      <c r="Q14" s="169">
        <f t="shared" si="10"/>
        <v>0.2722434764694443</v>
      </c>
      <c r="R14" s="169">
        <f t="shared" si="11"/>
        <v>0.26978379498661853</v>
      </c>
      <c r="S14" s="169">
        <f t="shared" si="12"/>
        <v>0.64685165014231805</v>
      </c>
      <c r="X14" s="14">
        <f t="shared" si="13"/>
        <v>1.0695705640867321</v>
      </c>
      <c r="Y14" s="14">
        <f t="shared" si="14"/>
        <v>1.0523051458843917</v>
      </c>
      <c r="AB14" s="174">
        <f t="shared" si="15"/>
        <v>0</v>
      </c>
      <c r="AC14" s="174">
        <f t="shared" si="16"/>
        <v>0</v>
      </c>
      <c r="AF14" s="174">
        <f t="shared" si="17"/>
        <v>1069.570564086732</v>
      </c>
      <c r="AG14" s="174">
        <f t="shared" si="18"/>
        <v>1052.3051458843915</v>
      </c>
    </row>
    <row r="15" spans="1:35">
      <c r="A15" s="168">
        <v>-21</v>
      </c>
      <c r="B15" s="169">
        <v>0.46064678350633076</v>
      </c>
      <c r="C15" s="170"/>
      <c r="D15" s="169">
        <v>1.1326087754238223</v>
      </c>
      <c r="E15" s="169">
        <v>0.18488775789999476</v>
      </c>
      <c r="F15" s="169">
        <f t="shared" si="1"/>
        <v>0.52173258937002787</v>
      </c>
      <c r="G15" s="169">
        <f t="shared" si="2"/>
        <v>8.5167950986329774E-2</v>
      </c>
      <c r="H15" s="169">
        <f t="shared" si="3"/>
        <v>2.155199796192206</v>
      </c>
      <c r="I15" s="169">
        <f t="shared" si="4"/>
        <v>1.894171852004054</v>
      </c>
      <c r="J15" s="169">
        <f t="shared" si="5"/>
        <v>23.805686002135367</v>
      </c>
      <c r="K15" s="169">
        <f t="shared" si="5"/>
        <v>3.1441040400903058</v>
      </c>
      <c r="L15" s="168">
        <v>3.1140000000000001E-2</v>
      </c>
      <c r="M15" s="171">
        <f t="shared" si="6"/>
        <v>77.136834543607407</v>
      </c>
      <c r="N15" s="171">
        <f t="shared" si="7"/>
        <v>32.464939983348039</v>
      </c>
      <c r="O15" s="171">
        <f t="shared" si="8"/>
        <v>1935.8631654563926</v>
      </c>
      <c r="P15" s="171">
        <f t="shared" si="9"/>
        <v>1931.4126427258502</v>
      </c>
      <c r="Q15" s="169">
        <f t="shared" si="10"/>
        <v>0.26732411350379276</v>
      </c>
      <c r="R15" s="169">
        <f t="shared" si="11"/>
        <v>0.26397616109128214</v>
      </c>
      <c r="S15" s="169">
        <f t="shared" si="12"/>
        <v>0.57781285020365802</v>
      </c>
      <c r="X15" s="14">
        <f t="shared" si="13"/>
        <v>1.0350397276820513</v>
      </c>
      <c r="Y15" s="14">
        <f t="shared" si="14"/>
        <v>1.0381212751484379</v>
      </c>
      <c r="AB15" s="174">
        <f t="shared" si="15"/>
        <v>0</v>
      </c>
      <c r="AC15" s="174">
        <f t="shared" si="16"/>
        <v>0</v>
      </c>
      <c r="AF15" s="174">
        <f t="shared" si="17"/>
        <v>1035.0397276820513</v>
      </c>
      <c r="AG15" s="174">
        <f t="shared" si="18"/>
        <v>1038.1212751484379</v>
      </c>
    </row>
    <row r="16" spans="1:35">
      <c r="A16" s="168">
        <v>-23</v>
      </c>
      <c r="B16" s="169">
        <v>0.51457287006247154</v>
      </c>
      <c r="C16" s="170"/>
      <c r="D16" s="169">
        <v>0.84100783809944391</v>
      </c>
      <c r="E16" s="169">
        <v>0.28032417733000492</v>
      </c>
      <c r="F16" s="169">
        <f t="shared" si="1"/>
        <v>0.43275981699586524</v>
      </c>
      <c r="G16" s="169">
        <f t="shared" si="2"/>
        <v>0.14424721647660185</v>
      </c>
      <c r="H16" s="169">
        <f t="shared" si="3"/>
        <v>1.6334672068221785</v>
      </c>
      <c r="I16" s="169">
        <f t="shared" si="4"/>
        <v>1.8090039010177246</v>
      </c>
      <c r="J16" s="169">
        <f t="shared" si="5"/>
        <v>23.805686002135367</v>
      </c>
      <c r="K16" s="169">
        <f t="shared" si="5"/>
        <v>3.1441040400903058</v>
      </c>
      <c r="L16" s="168">
        <v>3.1140000000000001E-2</v>
      </c>
      <c r="M16" s="171">
        <f t="shared" si="6"/>
        <v>86.037880004692056</v>
      </c>
      <c r="N16" s="171">
        <f t="shared" si="7"/>
        <v>39.805276036857499</v>
      </c>
      <c r="O16" s="171">
        <f t="shared" si="8"/>
        <v>1926.9621199953081</v>
      </c>
      <c r="P16" s="171">
        <f t="shared" si="9"/>
        <v>1922.0200197734684</v>
      </c>
      <c r="Q16" s="169">
        <f t="shared" si="10"/>
        <v>0.26062820867877151</v>
      </c>
      <c r="R16" s="169">
        <f t="shared" si="11"/>
        <v>0.26541377801291199</v>
      </c>
      <c r="S16" s="169">
        <f t="shared" si="12"/>
        <v>0.51265889569302725</v>
      </c>
      <c r="X16" s="14">
        <f t="shared" si="13"/>
        <v>1.0412028226148244</v>
      </c>
      <c r="Y16" s="14">
        <f t="shared" si="14"/>
        <v>1.7922819040114482</v>
      </c>
      <c r="AB16" s="174">
        <f t="shared" si="15"/>
        <v>0</v>
      </c>
      <c r="AC16" s="174">
        <f t="shared" si="16"/>
        <v>0</v>
      </c>
      <c r="AF16" s="174">
        <f t="shared" si="17"/>
        <v>1041.2028226148245</v>
      </c>
      <c r="AG16" s="174">
        <f t="shared" si="18"/>
        <v>1792.2819040114482</v>
      </c>
    </row>
    <row r="17" spans="1:33">
      <c r="A17" s="168">
        <v>-25</v>
      </c>
      <c r="B17" s="169">
        <v>0.50919888553369497</v>
      </c>
      <c r="C17" s="170"/>
      <c r="D17" s="169">
        <v>0.27642875533781486</v>
      </c>
      <c r="E17" s="169">
        <v>0.24214990888092158</v>
      </c>
      <c r="F17" s="169">
        <f t="shared" si="1"/>
        <v>0.14075721414748177</v>
      </c>
      <c r="G17" s="169">
        <f t="shared" si="2"/>
        <v>0.12330246373425105</v>
      </c>
      <c r="H17" s="169">
        <f t="shared" si="3"/>
        <v>1.2007073898263132</v>
      </c>
      <c r="I17" s="169">
        <f t="shared" si="4"/>
        <v>1.6647566845411226</v>
      </c>
      <c r="J17" s="169">
        <f t="shared" si="5"/>
        <v>23.805686002135367</v>
      </c>
      <c r="K17" s="169">
        <f t="shared" si="5"/>
        <v>3.1441040400903058</v>
      </c>
      <c r="L17" s="168">
        <v>3.1140000000000001E-2</v>
      </c>
      <c r="M17" s="171">
        <f t="shared" si="6"/>
        <v>95.922080448371204</v>
      </c>
      <c r="N17" s="171">
        <f t="shared" si="7"/>
        <v>48.765368571639179</v>
      </c>
      <c r="O17" s="171">
        <f t="shared" si="8"/>
        <v>1917.0779195516288</v>
      </c>
      <c r="P17" s="171">
        <f t="shared" si="9"/>
        <v>1915.0758487152234</v>
      </c>
      <c r="Q17" s="169">
        <f t="shared" si="10"/>
        <v>0.27019934734705242</v>
      </c>
      <c r="R17" s="169">
        <f t="shared" si="11"/>
        <v>0.27069270541007867</v>
      </c>
      <c r="S17" s="169">
        <f t="shared" si="12"/>
        <v>0.53001110833784781</v>
      </c>
      <c r="X17" s="14">
        <f t="shared" si="13"/>
        <v>2.5433609854080719</v>
      </c>
      <c r="Y17" s="14">
        <f t="shared" si="14"/>
        <v>2.2818577312228454</v>
      </c>
      <c r="AB17" s="174">
        <f t="shared" si="15"/>
        <v>0</v>
      </c>
      <c r="AC17" s="174">
        <f t="shared" si="16"/>
        <v>0</v>
      </c>
      <c r="AF17" s="174">
        <f t="shared" si="17"/>
        <v>2543.3609854080719</v>
      </c>
      <c r="AG17" s="174">
        <f t="shared" si="18"/>
        <v>2281.8577312228454</v>
      </c>
    </row>
    <row r="18" spans="1:33">
      <c r="A18" s="168">
        <v>-27</v>
      </c>
      <c r="B18" s="169">
        <v>0.70827835840831155</v>
      </c>
      <c r="C18" s="170"/>
      <c r="D18" s="169">
        <v>0.29353354754167449</v>
      </c>
      <c r="E18" s="169">
        <v>0.24734275066467221</v>
      </c>
      <c r="F18" s="169">
        <f t="shared" si="1"/>
        <v>0.20790345919058528</v>
      </c>
      <c r="G18" s="169">
        <f t="shared" si="2"/>
        <v>0.17518751740497035</v>
      </c>
      <c r="H18" s="169">
        <f t="shared" si="3"/>
        <v>1.0599501756788317</v>
      </c>
      <c r="I18" s="169">
        <f t="shared" si="4"/>
        <v>1.5414542208068718</v>
      </c>
      <c r="J18" s="169">
        <f t="shared" si="5"/>
        <v>23.805686002135367</v>
      </c>
      <c r="K18" s="169">
        <f t="shared" si="5"/>
        <v>3.1441040400903058</v>
      </c>
      <c r="L18" s="168">
        <v>3.1140000000000001E-2</v>
      </c>
      <c r="M18" s="171">
        <f t="shared" si="6"/>
        <v>99.926222121182121</v>
      </c>
      <c r="N18" s="171">
        <f t="shared" si="7"/>
        <v>50.94232851963028</v>
      </c>
      <c r="O18" s="171">
        <f t="shared" si="8"/>
        <v>1913.073777878818</v>
      </c>
      <c r="P18" s="171">
        <f t="shared" si="9"/>
        <v>1909.568064567326</v>
      </c>
      <c r="Q18" s="169">
        <f t="shared" si="10"/>
        <v>0.27118606347310492</v>
      </c>
      <c r="R18" s="169">
        <f t="shared" si="11"/>
        <v>0.26638298841687613</v>
      </c>
      <c r="S18" s="169">
        <f t="shared" si="12"/>
        <v>0.52032019213685332</v>
      </c>
      <c r="X18" s="14">
        <f t="shared" ref="X18:X22" si="19">(2*B18)/(M19-M18)*10</f>
        <v>2.0203544770376194</v>
      </c>
      <c r="Y18" s="14">
        <f t="shared" ref="Y18:Y21" si="20">AVERAGE(X18:X19)</f>
        <v>1.6458244433520162</v>
      </c>
      <c r="AB18" s="174">
        <f t="shared" ref="AB18:AB22" si="21">X18*(C18/100)*1000</f>
        <v>0</v>
      </c>
      <c r="AC18" s="174">
        <f t="shared" ref="AC18:AC21" si="22">AVERAGE(AB18:AB19)</f>
        <v>0</v>
      </c>
      <c r="AF18" s="174">
        <f t="shared" si="17"/>
        <v>2020.3544770376193</v>
      </c>
      <c r="AG18" s="174">
        <f t="shared" si="18"/>
        <v>1645.824443352016</v>
      </c>
    </row>
    <row r="19" spans="1:33">
      <c r="A19" s="168">
        <v>-29</v>
      </c>
      <c r="B19" s="169">
        <v>0.73563323904986966</v>
      </c>
      <c r="C19" s="170"/>
      <c r="D19" s="169">
        <v>0.35047530826541073</v>
      </c>
      <c r="E19" s="169">
        <v>0.21082984841063418</v>
      </c>
      <c r="F19" s="169">
        <f t="shared" si="1"/>
        <v>0.25782128622628564</v>
      </c>
      <c r="G19" s="169">
        <f t="shared" si="2"/>
        <v>0.15509344427470784</v>
      </c>
      <c r="H19" s="169">
        <f t="shared" si="3"/>
        <v>0.85204671648824615</v>
      </c>
      <c r="I19" s="169">
        <f t="shared" si="4"/>
        <v>1.3662667034019012</v>
      </c>
      <c r="J19" s="169">
        <f t="shared" si="5"/>
        <v>23.805686002135367</v>
      </c>
      <c r="K19" s="169">
        <f t="shared" si="5"/>
        <v>3.1441040400903058</v>
      </c>
      <c r="L19" s="168">
        <v>3.1140000000000001E-2</v>
      </c>
      <c r="M19" s="171">
        <f t="shared" si="6"/>
        <v>106.937648744166</v>
      </c>
      <c r="N19" s="171">
        <f t="shared" si="7"/>
        <v>55.73491176827612</v>
      </c>
      <c r="O19" s="171">
        <f t="shared" si="8"/>
        <v>1906.0623512558341</v>
      </c>
      <c r="P19" s="171">
        <f t="shared" si="9"/>
        <v>1900.275861254333</v>
      </c>
      <c r="Q19" s="169">
        <f t="shared" si="10"/>
        <v>0.26157991336064734</v>
      </c>
      <c r="R19" s="169">
        <f t="shared" si="11"/>
        <v>0.25374844131999696</v>
      </c>
      <c r="S19" s="169">
        <f t="shared" si="12"/>
        <v>0.44479312080818617</v>
      </c>
      <c r="X19" s="14">
        <f t="shared" si="19"/>
        <v>1.2712944096664127</v>
      </c>
      <c r="Y19" s="14">
        <f t="shared" si="20"/>
        <v>0.96290067410335944</v>
      </c>
      <c r="AB19" s="174">
        <f t="shared" si="21"/>
        <v>0</v>
      </c>
      <c r="AC19" s="174">
        <f t="shared" si="22"/>
        <v>0</v>
      </c>
      <c r="AF19" s="174">
        <f t="shared" ref="AF19:AF22" si="23">X19*(1-(C19/100))*1000</f>
        <v>1271.2944096664128</v>
      </c>
      <c r="AG19" s="174">
        <f t="shared" ref="AG19:AG21" si="24">AVERAGE(AF19:AF20)</f>
        <v>962.90067410335951</v>
      </c>
    </row>
    <row r="20" spans="1:33">
      <c r="A20" s="168">
        <v>-31</v>
      </c>
      <c r="B20" s="169">
        <v>0.51316634559027241</v>
      </c>
      <c r="C20" s="170"/>
      <c r="D20" s="169">
        <v>0.44736026211575608</v>
      </c>
      <c r="E20" s="169">
        <v>0.19808776427837421</v>
      </c>
      <c r="F20" s="169">
        <f t="shared" si="1"/>
        <v>0.22957023087224893</v>
      </c>
      <c r="G20" s="169">
        <f t="shared" si="2"/>
        <v>0.1016519741008806</v>
      </c>
      <c r="H20" s="169">
        <f t="shared" si="3"/>
        <v>0.59422543026196051</v>
      </c>
      <c r="I20" s="169">
        <f t="shared" si="4"/>
        <v>1.2111732591271935</v>
      </c>
      <c r="J20" s="169">
        <f t="shared" si="5"/>
        <v>23.805686002135367</v>
      </c>
      <c r="K20" s="169">
        <f t="shared" si="5"/>
        <v>3.1441040400903058</v>
      </c>
      <c r="L20" s="168">
        <v>3.1140000000000001E-2</v>
      </c>
      <c r="M20" s="171">
        <f t="shared" si="6"/>
        <v>118.51062874716781</v>
      </c>
      <c r="N20" s="171">
        <f t="shared" si="7"/>
        <v>69.695322498857905</v>
      </c>
      <c r="O20" s="171">
        <f t="shared" si="8"/>
        <v>1894.4893712528321</v>
      </c>
      <c r="P20" s="171">
        <f t="shared" si="9"/>
        <v>1886.648868496135</v>
      </c>
      <c r="Q20" s="169">
        <f t="shared" si="10"/>
        <v>0.24591696927934661</v>
      </c>
      <c r="R20" s="169">
        <f t="shared" si="11"/>
        <v>0.24466843798025051</v>
      </c>
      <c r="S20" s="169">
        <f t="shared" si="12"/>
        <v>0.32368713659653664</v>
      </c>
      <c r="X20" s="14">
        <f t="shared" si="19"/>
        <v>0.65450693854030628</v>
      </c>
      <c r="Y20" s="14">
        <f t="shared" si="20"/>
        <v>0.83048397410539443</v>
      </c>
      <c r="AB20" s="174">
        <f t="shared" si="21"/>
        <v>0</v>
      </c>
      <c r="AC20" s="174">
        <f t="shared" si="22"/>
        <v>0</v>
      </c>
      <c r="AF20" s="174">
        <f t="shared" si="23"/>
        <v>654.50693854030624</v>
      </c>
      <c r="AG20" s="174">
        <f t="shared" si="24"/>
        <v>830.48397410539451</v>
      </c>
    </row>
    <row r="21" spans="1:33">
      <c r="A21" s="168">
        <v>-33</v>
      </c>
      <c r="B21" s="169">
        <v>0.4827402879936748</v>
      </c>
      <c r="C21" s="170"/>
      <c r="D21" s="169">
        <v>0.19506585069297255</v>
      </c>
      <c r="E21" s="169">
        <v>0.23272837163676452</v>
      </c>
      <c r="F21" s="169">
        <f t="shared" si="1"/>
        <v>9.4166144941256733E-2</v>
      </c>
      <c r="G21" s="169">
        <f t="shared" si="2"/>
        <v>0.11234736114823068</v>
      </c>
      <c r="H21" s="169">
        <f t="shared" si="3"/>
        <v>0.36465519938971153</v>
      </c>
      <c r="I21" s="169">
        <f t="shared" si="4"/>
        <v>1.1095212850263128</v>
      </c>
      <c r="J21" s="169">
        <f t="shared" si="5"/>
        <v>23.805686002135367</v>
      </c>
      <c r="K21" s="169">
        <f t="shared" si="5"/>
        <v>3.1441040400903058</v>
      </c>
      <c r="L21" s="168">
        <v>3.1140000000000001E-2</v>
      </c>
      <c r="M21" s="171">
        <f t="shared" si="6"/>
        <v>134.19163426056224</v>
      </c>
      <c r="N21" s="171">
        <f t="shared" si="7"/>
        <v>101.9502978925394</v>
      </c>
      <c r="O21" s="171">
        <f t="shared" si="8"/>
        <v>1878.8083657394377</v>
      </c>
      <c r="P21" s="171">
        <f t="shared" si="9"/>
        <v>1874.0119525316204</v>
      </c>
      <c r="Q21" s="169">
        <f t="shared" si="10"/>
        <v>0.24341990668115437</v>
      </c>
      <c r="R21" s="169">
        <f t="shared" si="11"/>
        <v>0.23909811578779769</v>
      </c>
      <c r="S21" s="169">
        <f t="shared" si="12"/>
        <v>0.28541628066340169</v>
      </c>
      <c r="X21" s="14">
        <f t="shared" si="19"/>
        <v>1.0064610096704827</v>
      </c>
      <c r="Y21" s="14">
        <f t="shared" si="20"/>
        <v>0.85801539386854986</v>
      </c>
      <c r="AB21" s="174">
        <f t="shared" si="21"/>
        <v>0</v>
      </c>
      <c r="AC21" s="174">
        <f t="shared" si="22"/>
        <v>0</v>
      </c>
      <c r="AF21" s="174">
        <f t="shared" si="23"/>
        <v>1006.4610096704827</v>
      </c>
      <c r="AG21" s="174">
        <f t="shared" si="24"/>
        <v>858.01539386854984</v>
      </c>
    </row>
    <row r="22" spans="1:33">
      <c r="A22" s="168">
        <v>-35</v>
      </c>
      <c r="B22" s="169">
        <v>0.4900413023289194</v>
      </c>
      <c r="C22" s="170"/>
      <c r="D22" s="169">
        <v>0.19295103288226045</v>
      </c>
      <c r="E22" s="169">
        <v>0.22989435904803035</v>
      </c>
      <c r="F22" s="169">
        <f t="shared" si="1"/>
        <v>9.4553975439333068E-2</v>
      </c>
      <c r="G22" s="169">
        <f t="shared" si="2"/>
        <v>0.11265773110596899</v>
      </c>
      <c r="H22" s="169">
        <f t="shared" si="3"/>
        <v>0.27048905444845478</v>
      </c>
      <c r="I22" s="169">
        <f t="shared" si="4"/>
        <v>0.99717392387808224</v>
      </c>
      <c r="J22" s="169">
        <f t="shared" ref="J22:K27" si="25">H$5</f>
        <v>23.805686002135367</v>
      </c>
      <c r="K22" s="169">
        <f t="shared" si="25"/>
        <v>3.1441040400903058</v>
      </c>
      <c r="L22" s="168">
        <v>3.1140000000000001E-2</v>
      </c>
      <c r="M22" s="171">
        <f t="shared" si="6"/>
        <v>143.78446067619706</v>
      </c>
      <c r="N22" s="171">
        <f t="shared" si="7"/>
        <v>122.62790307073037</v>
      </c>
      <c r="O22" s="171">
        <f t="shared" si="8"/>
        <v>1869.2155393238029</v>
      </c>
      <c r="P22" s="171"/>
      <c r="Q22" s="169">
        <f t="shared" si="10"/>
        <v>0.234776324894441</v>
      </c>
      <c r="R22" s="169"/>
      <c r="S22" s="169">
        <f t="shared" si="12"/>
        <v>0.22330851301041207</v>
      </c>
      <c r="X22" s="14">
        <f t="shared" si="19"/>
        <v>0.70956977806661703</v>
      </c>
      <c r="Y22" s="14"/>
      <c r="AB22" s="174">
        <f t="shared" si="21"/>
        <v>0</v>
      </c>
      <c r="AC22" s="174"/>
      <c r="AF22" s="174">
        <f t="shared" si="23"/>
        <v>709.569778066617</v>
      </c>
      <c r="AG22" s="174"/>
    </row>
    <row r="23" spans="1:33">
      <c r="A23" s="178">
        <v>-37</v>
      </c>
      <c r="B23" s="179">
        <v>0.54915716633633416</v>
      </c>
      <c r="C23" s="180"/>
      <c r="D23" s="165">
        <f>EXP((A23+20.52)/7.0594)</f>
        <v>9.6861222789200077E-2</v>
      </c>
      <c r="E23" s="179">
        <f>AVERAGE(E5:E22)</f>
        <v>0.29178906081494416</v>
      </c>
      <c r="F23" s="179">
        <f>D23*B23</f>
        <v>5.319203463478947E-2</v>
      </c>
      <c r="G23" s="179">
        <f>E23*B23</f>
        <v>0.160238053805075</v>
      </c>
      <c r="H23" s="179">
        <f t="shared" si="3"/>
        <v>0.1759350790091217</v>
      </c>
      <c r="I23" s="179">
        <f t="shared" si="4"/>
        <v>0.88451619277211324</v>
      </c>
      <c r="J23" s="179">
        <f t="shared" si="25"/>
        <v>23.805686002135367</v>
      </c>
      <c r="K23" s="179">
        <f t="shared" si="25"/>
        <v>3.1441040400903058</v>
      </c>
      <c r="L23" s="178">
        <v>3.1140000000000001E-2</v>
      </c>
      <c r="M23" s="177">
        <f t="shared" si="6"/>
        <v>157.59681056697588</v>
      </c>
      <c r="N23" s="177">
        <f t="shared" si="7"/>
        <v>165.69005588369495</v>
      </c>
      <c r="O23" s="177">
        <f t="shared" si="8"/>
        <v>1855.4031894330242</v>
      </c>
      <c r="P23" s="177"/>
      <c r="Q23" s="165">
        <f t="shared" si="10"/>
        <v>0.23055339822628168</v>
      </c>
      <c r="R23" s="165"/>
      <c r="S23" s="165">
        <f t="shared" si="12"/>
        <v>0.2013081422588332</v>
      </c>
    </row>
    <row r="24" spans="1:33">
      <c r="A24" s="164">
        <v>-39</v>
      </c>
      <c r="B24" s="165">
        <v>0.5875062757092816</v>
      </c>
      <c r="C24" s="176"/>
      <c r="D24" s="165">
        <f t="shared" ref="D24:D27" si="26">EXP((A24+20.52)/7.0594)</f>
        <v>7.2964211306357274E-2</v>
      </c>
      <c r="E24" s="165">
        <v>0.29178906081494416</v>
      </c>
      <c r="F24" s="165">
        <f t="shared" si="1"/>
        <v>4.286693204466302E-2</v>
      </c>
      <c r="G24" s="165">
        <f t="shared" si="2"/>
        <v>0.1714279044120969</v>
      </c>
      <c r="H24" s="165">
        <f t="shared" si="3"/>
        <v>0.12274304437433223</v>
      </c>
      <c r="I24" s="165">
        <f t="shared" si="4"/>
        <v>0.72427813896703819</v>
      </c>
      <c r="J24" s="165">
        <f t="shared" si="25"/>
        <v>23.805686002135367</v>
      </c>
      <c r="K24" s="165">
        <f t="shared" si="25"/>
        <v>3.1441040400903058</v>
      </c>
      <c r="L24" s="164">
        <v>3.1140000000000001E-2</v>
      </c>
      <c r="M24" s="177">
        <f t="shared" si="6"/>
        <v>169.15820933475288</v>
      </c>
      <c r="N24" s="177">
        <f t="shared" si="7"/>
        <v>193.73284936411318</v>
      </c>
      <c r="O24" s="177">
        <f t="shared" si="8"/>
        <v>1843.8417906652471</v>
      </c>
      <c r="P24" s="177"/>
      <c r="Q24" s="165">
        <f t="shared" si="10"/>
        <v>0.22409944359420653</v>
      </c>
      <c r="R24" s="165"/>
      <c r="S24" s="165">
        <f t="shared" si="12"/>
        <v>0.18101006426437569</v>
      </c>
    </row>
    <row r="25" spans="1:33">
      <c r="A25" s="164">
        <v>-41</v>
      </c>
      <c r="B25" s="165">
        <v>0.60647442118083728</v>
      </c>
      <c r="C25" s="176"/>
      <c r="D25" s="165">
        <f t="shared" si="26"/>
        <v>5.4962925082465017E-2</v>
      </c>
      <c r="E25" s="165">
        <v>0.29178906081494416</v>
      </c>
      <c r="F25" s="165">
        <f t="shared" si="1"/>
        <v>3.3333608175793693E-2</v>
      </c>
      <c r="G25" s="165">
        <f t="shared" si="2"/>
        <v>0.17696260176464337</v>
      </c>
      <c r="H25" s="165">
        <f t="shared" si="3"/>
        <v>7.9876112329669208E-2</v>
      </c>
      <c r="I25" s="165">
        <f t="shared" si="4"/>
        <v>0.55285023455494131</v>
      </c>
      <c r="J25" s="165">
        <f t="shared" si="25"/>
        <v>23.805686002135367</v>
      </c>
      <c r="K25" s="165">
        <f t="shared" si="25"/>
        <v>3.1441040400903058</v>
      </c>
      <c r="L25" s="164">
        <v>3.1140000000000001E-2</v>
      </c>
      <c r="M25" s="177">
        <f t="shared" si="6"/>
        <v>182.9544926235593</v>
      </c>
      <c r="N25" s="177">
        <f t="shared" si="7"/>
        <v>226.50674241028457</v>
      </c>
      <c r="O25" s="177">
        <f t="shared" si="8"/>
        <v>1830.0455073764406</v>
      </c>
      <c r="P25" s="177"/>
      <c r="Q25" s="165">
        <f t="shared" si="10"/>
        <v>0.21467895445330723</v>
      </c>
      <c r="R25" s="165"/>
      <c r="S25" s="165">
        <f t="shared" si="12"/>
        <v>0.16313007312624098</v>
      </c>
    </row>
    <row r="26" spans="1:33">
      <c r="A26" s="164">
        <v>-43</v>
      </c>
      <c r="B26" s="165">
        <v>0.62316272344907608</v>
      </c>
      <c r="C26" s="176"/>
      <c r="D26" s="165">
        <f t="shared" si="26"/>
        <v>4.1402806657316001E-2</v>
      </c>
      <c r="E26" s="165">
        <v>0.29178906081494416</v>
      </c>
      <c r="F26" s="165">
        <f t="shared" si="1"/>
        <v>2.5800685755008577E-2</v>
      </c>
      <c r="G26" s="165">
        <f t="shared" si="2"/>
        <v>0.18183206581008868</v>
      </c>
      <c r="H26" s="165">
        <f t="shared" si="3"/>
        <v>4.6542504153875522E-2</v>
      </c>
      <c r="I26" s="165">
        <f t="shared" si="4"/>
        <v>0.37588763279029791</v>
      </c>
      <c r="J26" s="165">
        <f t="shared" si="25"/>
        <v>23.805686002135367</v>
      </c>
      <c r="K26" s="165">
        <f t="shared" si="25"/>
        <v>3.1441040400903058</v>
      </c>
      <c r="L26" s="164">
        <v>3.1140000000000001E-2</v>
      </c>
      <c r="M26" s="177">
        <f t="shared" si="6"/>
        <v>200.29909363729698</v>
      </c>
      <c r="N26" s="177">
        <f t="shared" si="7"/>
        <v>263.59333491332234</v>
      </c>
      <c r="O26" s="177">
        <f t="shared" si="8"/>
        <v>1812.7009063627031</v>
      </c>
      <c r="P26" s="177"/>
      <c r="Q26" s="165">
        <f t="shared" si="10"/>
        <v>0.19889212378006191</v>
      </c>
      <c r="R26" s="165"/>
      <c r="S26" s="165">
        <f t="shared" si="12"/>
        <v>0.14769434149198529</v>
      </c>
    </row>
    <row r="27" spans="1:33">
      <c r="A27" s="164">
        <v>-45</v>
      </c>
      <c r="B27" s="165">
        <v>0.66505429106295866</v>
      </c>
      <c r="C27" s="176"/>
      <c r="D27" s="165">
        <f t="shared" si="26"/>
        <v>3.1188158136255639E-2</v>
      </c>
      <c r="E27" s="165">
        <v>0.29178906081494416</v>
      </c>
      <c r="F27" s="165">
        <f t="shared" si="1"/>
        <v>2.0741818398866942E-2</v>
      </c>
      <c r="G27" s="165">
        <f t="shared" si="2"/>
        <v>0.1940555669802092</v>
      </c>
      <c r="H27" s="165">
        <f t="shared" si="3"/>
        <v>2.0741818398866942E-2</v>
      </c>
      <c r="I27" s="165">
        <f t="shared" si="4"/>
        <v>0.1940555669802092</v>
      </c>
      <c r="J27" s="165">
        <f t="shared" si="25"/>
        <v>23.805686002135367</v>
      </c>
      <c r="K27" s="165">
        <f t="shared" si="25"/>
        <v>3.1441040400903058</v>
      </c>
      <c r="L27" s="164">
        <v>3.1140000000000001E-2</v>
      </c>
      <c r="M27" s="177">
        <f t="shared" si="6"/>
        <v>226.25330327188684</v>
      </c>
      <c r="N27" s="177">
        <f t="shared" si="7"/>
        <v>304.68330435287493</v>
      </c>
      <c r="O27" s="177">
        <f t="shared" si="8"/>
        <v>1786.7466967281132</v>
      </c>
      <c r="P27" s="177"/>
      <c r="Q27" s="165"/>
      <c r="R27" s="165"/>
      <c r="S27" s="165"/>
    </row>
  </sheetData>
  <mergeCells count="1">
    <mergeCell ref="A1:S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7A71-2A2C-CD4C-9B31-6FF71A0E570D}">
  <dimension ref="A1:F24"/>
  <sheetViews>
    <sheetView workbookViewId="0">
      <selection activeCell="F10" sqref="F10:F11"/>
    </sheetView>
  </sheetViews>
  <sheetFormatPr baseColWidth="10" defaultRowHeight="14"/>
  <sheetData>
    <row r="1" spans="1:6">
      <c r="A1" s="197" t="s">
        <v>19</v>
      </c>
      <c r="B1" s="197" t="s">
        <v>218</v>
      </c>
      <c r="C1" s="197" t="s">
        <v>219</v>
      </c>
      <c r="D1" s="198"/>
      <c r="E1" s="199" t="s">
        <v>220</v>
      </c>
      <c r="F1" s="199"/>
    </row>
    <row r="2" spans="1:6">
      <c r="A2" s="197"/>
      <c r="B2" s="197"/>
      <c r="C2" s="197"/>
      <c r="D2" s="198"/>
      <c r="E2" s="162" t="s">
        <v>221</v>
      </c>
      <c r="F2" s="162" t="s">
        <v>222</v>
      </c>
    </row>
    <row r="3" spans="1:6">
      <c r="A3">
        <f>-'plot data'!B2</f>
        <v>1</v>
      </c>
      <c r="B3" s="14">
        <f>'plot data'!T2</f>
        <v>8.7434009394300283</v>
      </c>
      <c r="C3" s="14">
        <f>'plot data'!U2</f>
        <v>1.3916731069632657</v>
      </c>
      <c r="E3" s="163">
        <f>(A13+1)/(100-54+17)</f>
        <v>0.34920634920634919</v>
      </c>
      <c r="F3" s="163">
        <f>(A8)/(100-63+17)</f>
        <v>0.20370370370370369</v>
      </c>
    </row>
    <row r="4" spans="1:6">
      <c r="A4">
        <f>-'plot data'!B3</f>
        <v>3</v>
      </c>
      <c r="B4" s="14">
        <f>'plot data'!T3</f>
        <v>10.428349683991614</v>
      </c>
      <c r="C4" s="14">
        <f>'plot data'!U3</f>
        <v>1.0981500211834572</v>
      </c>
    </row>
    <row r="5" spans="1:6">
      <c r="A5">
        <f>-'plot data'!B4</f>
        <v>5</v>
      </c>
      <c r="B5" s="14">
        <f>'plot data'!T4</f>
        <v>12.576126329285373</v>
      </c>
      <c r="C5" s="14">
        <f>'plot data'!U4</f>
        <v>1.1968833024866878</v>
      </c>
    </row>
    <row r="6" spans="1:6">
      <c r="A6">
        <f>-'plot data'!B5</f>
        <v>7</v>
      </c>
      <c r="B6" s="14">
        <f>'plot data'!T5</f>
        <v>22.624462305086361</v>
      </c>
      <c r="C6" s="14">
        <f>'plot data'!U5</f>
        <v>1.3958879671664646</v>
      </c>
    </row>
    <row r="7" spans="1:6">
      <c r="A7">
        <f>-'plot data'!B6</f>
        <v>9</v>
      </c>
      <c r="B7" s="14">
        <f>'plot data'!T6</f>
        <v>47.777393189073159</v>
      </c>
      <c r="C7" s="14">
        <f>'plot data'!U6</f>
        <v>1.9101061916422775</v>
      </c>
    </row>
    <row r="8" spans="1:6">
      <c r="A8" s="164">
        <f>-'plot data'!B7</f>
        <v>11</v>
      </c>
      <c r="B8" s="165">
        <f>'plot data'!T7</f>
        <v>104.23939682435204</v>
      </c>
      <c r="C8" s="165">
        <f>'plot data'!U7</f>
        <v>2.4994929437415601</v>
      </c>
    </row>
    <row r="9" spans="1:6">
      <c r="A9">
        <f>-'plot data'!B8</f>
        <v>13</v>
      </c>
      <c r="B9" s="14">
        <f>'plot data'!T8</f>
        <v>97.759330590822501</v>
      </c>
      <c r="C9" s="14">
        <f>'plot data'!U8</f>
        <v>2.7401328184712188</v>
      </c>
    </row>
    <row r="10" spans="1:6">
      <c r="A10">
        <f>-'plot data'!B9</f>
        <v>15</v>
      </c>
      <c r="B10" s="14">
        <f>'plot data'!T9</f>
        <v>13.608016103997491</v>
      </c>
      <c r="C10" s="14">
        <f>'plot data'!U9</f>
        <v>1.0947469313580671</v>
      </c>
    </row>
    <row r="11" spans="1:6">
      <c r="A11">
        <f>-'plot data'!B10</f>
        <v>17</v>
      </c>
      <c r="B11" s="14">
        <f>'plot data'!T10</f>
        <v>6.5525859884913205</v>
      </c>
      <c r="C11" s="14">
        <f>'plot data'!U10</f>
        <v>0.93086739762310755</v>
      </c>
    </row>
    <row r="12" spans="1:6">
      <c r="A12">
        <f>-'plot data'!B11</f>
        <v>19</v>
      </c>
      <c r="B12" s="14">
        <f>'plot data'!T11</f>
        <v>4.3579173729534304</v>
      </c>
      <c r="C12" s="14">
        <f>'plot data'!U11</f>
        <v>1.0268191472130102</v>
      </c>
    </row>
    <row r="13" spans="1:6">
      <c r="A13" s="164">
        <f>-'plot data'!B12</f>
        <v>21</v>
      </c>
      <c r="B13" s="165">
        <f>'plot data'!T12</f>
        <v>1.9212620856821589</v>
      </c>
      <c r="C13" s="165">
        <f>'plot data'!U12</f>
        <v>0.61327917998202952</v>
      </c>
    </row>
    <row r="14" spans="1:6">
      <c r="B14" s="14"/>
      <c r="C14" s="14"/>
    </row>
    <row r="15" spans="1:6">
      <c r="B15" s="14"/>
      <c r="C15" s="14"/>
    </row>
    <row r="16" spans="1:6">
      <c r="B16" s="14"/>
      <c r="C16" s="14"/>
    </row>
    <row r="17" spans="2:3">
      <c r="B17" s="14"/>
      <c r="C17" s="14"/>
    </row>
    <row r="18" spans="2:3">
      <c r="B18" s="14"/>
      <c r="C18" s="14"/>
    </row>
    <row r="19" spans="2:3">
      <c r="B19" s="14"/>
      <c r="C19" s="14"/>
    </row>
    <row r="20" spans="2:3">
      <c r="B20" s="14"/>
      <c r="C20" s="14"/>
    </row>
    <row r="21" spans="2:3">
      <c r="B21" s="14"/>
      <c r="C21" s="14"/>
    </row>
    <row r="22" spans="2:3">
      <c r="B22" s="14"/>
      <c r="C22" s="14"/>
    </row>
    <row r="23" spans="2:3">
      <c r="B23" s="14"/>
      <c r="C23" s="14"/>
    </row>
    <row r="24" spans="2:3">
      <c r="B24" s="14"/>
      <c r="C24" s="14"/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data&amp;corrections</vt:lpstr>
      <vt:lpstr>activity</vt:lpstr>
      <vt:lpstr>plot data</vt:lpstr>
      <vt:lpstr>CIC Method</vt:lpstr>
      <vt:lpstr>CRS Method</vt:lpstr>
      <vt:lpstr>137Cs Method</vt:lpstr>
      <vt:lpstr>210Pb plot</vt:lpstr>
      <vt:lpstr>137Cs plot</vt:lpstr>
      <vt:lpstr>A</vt:lpstr>
    </vt:vector>
  </TitlesOfParts>
  <Company>COAS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</dc:creator>
  <cp:lastModifiedBy>Microsoft Office User</cp:lastModifiedBy>
  <cp:lastPrinted>2001-02-05T18:51:21Z</cp:lastPrinted>
  <dcterms:created xsi:type="dcterms:W3CDTF">2001-02-05T17:14:40Z</dcterms:created>
  <dcterms:modified xsi:type="dcterms:W3CDTF">2020-04-10T21:50:32Z</dcterms:modified>
</cp:coreProperties>
</file>