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C0232FBC-B71A-487C-896A-F8675B7D55B2}" xr6:coauthVersionLast="36" xr6:coauthVersionMax="36" xr10:uidLastSave="{00000000-0000-0000-0000-000000000000}"/>
  <bookViews>
    <workbookView xWindow="0" yWindow="0" windowWidth="22260" windowHeight="12645" xr2:uid="{00000000-000D-0000-FFFF-FFFF00000000}"/>
  </bookViews>
  <sheets>
    <sheet name="readMe" sheetId="1" r:id="rId1"/>
    <sheet name="Scenarios Analysis" sheetId="2" r:id="rId2"/>
    <sheet name="Sensitivity Analysis" sheetId="4" r:id="rId3"/>
    <sheet name="Simplified Budgeting" sheetId="3" r:id="rId4"/>
  </sheets>
  <definedNames>
    <definedName name="solver_eng" localSheetId="2" hidden="1">1</definedName>
    <definedName name="solver_neg" localSheetId="2" hidden="1">1</definedName>
    <definedName name="solver_num" localSheetId="2" hidden="1">0</definedName>
    <definedName name="solver_opt" localSheetId="2" hidden="1">'Sensitivity Analysis'!$H$29</definedName>
    <definedName name="solver_typ" localSheetId="2" hidden="1">1</definedName>
    <definedName name="solver_val" localSheetId="2" hidden="1">0</definedName>
    <definedName name="solver_ver" localSheetId="2"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4" i="4" l="1"/>
  <c r="C36" i="4"/>
  <c r="C35" i="4"/>
  <c r="C34" i="4"/>
  <c r="C32" i="4"/>
  <c r="C31" i="4"/>
  <c r="C30" i="4"/>
  <c r="J29" i="4"/>
  <c r="I29" i="4"/>
  <c r="H29" i="4"/>
  <c r="F29" i="4"/>
  <c r="E29" i="4"/>
  <c r="D29" i="4"/>
  <c r="C25" i="4"/>
  <c r="C24" i="4"/>
  <c r="C23" i="4"/>
  <c r="C21" i="4"/>
  <c r="C20" i="4"/>
  <c r="C19" i="4"/>
  <c r="J18" i="4"/>
  <c r="I18" i="4"/>
  <c r="H18" i="4"/>
  <c r="F18" i="4"/>
  <c r="E18" i="4"/>
  <c r="D18" i="4"/>
  <c r="L33" i="3"/>
  <c r="O9" i="4"/>
  <c r="R8" i="4" s="1"/>
  <c r="C31" i="3"/>
  <c r="L31" i="3"/>
  <c r="L30" i="3"/>
  <c r="I31" i="3"/>
  <c r="I30" i="3"/>
  <c r="F31" i="3"/>
  <c r="C11" i="3"/>
  <c r="C30" i="3" s="1"/>
  <c r="C32" i="3" s="1"/>
  <c r="I23" i="3"/>
  <c r="F23" i="3"/>
  <c r="F26" i="3" s="1"/>
  <c r="C23" i="3"/>
  <c r="C26" i="3" s="1"/>
  <c r="L15" i="3"/>
  <c r="I12" i="3"/>
  <c r="I15" i="3" s="1"/>
  <c r="J16" i="3" s="1"/>
  <c r="F12" i="3"/>
  <c r="C12" i="3"/>
  <c r="R7" i="4"/>
  <c r="C14" i="2" s="1"/>
  <c r="D27" i="3" l="1"/>
  <c r="L32" i="3"/>
  <c r="I32" i="3"/>
  <c r="C8" i="4" l="1"/>
  <c r="D7" i="4"/>
  <c r="R12" i="4"/>
  <c r="R10" i="4"/>
  <c r="C19" i="2" s="1"/>
  <c r="L26" i="3"/>
  <c r="I26" i="3"/>
  <c r="I33" i="3" s="1"/>
  <c r="F11" i="3"/>
  <c r="F15" i="3" l="1"/>
  <c r="F33" i="3" s="1"/>
  <c r="F30" i="3"/>
  <c r="F32" i="3" s="1"/>
  <c r="J27" i="3"/>
  <c r="G27" i="3"/>
  <c r="J7" i="4"/>
  <c r="I7" i="4"/>
  <c r="H7" i="4"/>
  <c r="C12" i="4"/>
  <c r="C14" i="4"/>
  <c r="C13" i="4"/>
  <c r="C10" i="4"/>
  <c r="C9" i="4"/>
  <c r="E7" i="4"/>
  <c r="F7" i="4"/>
  <c r="R9" i="4"/>
  <c r="S9" i="4" s="1"/>
  <c r="G16" i="3" l="1"/>
  <c r="R11" i="4"/>
  <c r="G6" i="2"/>
  <c r="G7" i="2"/>
  <c r="F6" i="2"/>
  <c r="F7" i="2"/>
  <c r="E6" i="2"/>
  <c r="D7" i="2"/>
  <c r="E7" i="2"/>
  <c r="C7" i="2"/>
  <c r="D6" i="2"/>
  <c r="C6" i="2"/>
  <c r="D5" i="2"/>
  <c r="E5" i="2" s="1"/>
  <c r="F5" i="2" s="1"/>
  <c r="G5" i="2" s="1"/>
  <c r="C7" i="4" l="1"/>
  <c r="S11" i="4"/>
  <c r="R13" i="4"/>
  <c r="F8" i="2"/>
  <c r="G8" i="2"/>
  <c r="E8" i="2"/>
  <c r="D8" i="2"/>
  <c r="C8" i="2"/>
  <c r="C15" i="3"/>
  <c r="C18" i="4" l="1"/>
  <c r="R15" i="4"/>
  <c r="R16" i="4" s="1"/>
  <c r="D16" i="3"/>
  <c r="C33" i="3"/>
  <c r="S16" i="4" l="1"/>
  <c r="C29" i="4"/>
</calcChain>
</file>

<file path=xl/sharedStrings.xml><?xml version="1.0" encoding="utf-8"?>
<sst xmlns="http://schemas.openxmlformats.org/spreadsheetml/2006/main" count="128" uniqueCount="71">
  <si>
    <t>Scenario Analysis Model - Generic Manufacturing Company</t>
  </si>
  <si>
    <t>Please consider this analysis as an indicative measure of excel modelling knowledge relating to FP&amp;A and financial analysis activities.</t>
  </si>
  <si>
    <t>Revenue Scenarios</t>
  </si>
  <si>
    <t xml:space="preserve"> - Best Case</t>
  </si>
  <si>
    <t xml:space="preserve"> - Base Case</t>
  </si>
  <si>
    <t xml:space="preserve"> - Worst Case</t>
  </si>
  <si>
    <t>Cost Scenarios</t>
  </si>
  <si>
    <t>Revenue</t>
  </si>
  <si>
    <t>Costs</t>
  </si>
  <si>
    <t>Net Income (Loss)</t>
  </si>
  <si>
    <t>Scenario</t>
  </si>
  <si>
    <t>BASE</t>
  </si>
  <si>
    <t>Estimates</t>
  </si>
  <si>
    <t>&lt;-Pick Scenario</t>
  </si>
  <si>
    <t>Actuals</t>
  </si>
  <si>
    <t xml:space="preserve">Standard Price </t>
  </si>
  <si>
    <t>Flex Budget</t>
  </si>
  <si>
    <t>Static Budget</t>
  </si>
  <si>
    <t>Actual input</t>
  </si>
  <si>
    <t>Standard Input per Output</t>
  </si>
  <si>
    <t>Actual Output</t>
  </si>
  <si>
    <t>Standard Output</t>
  </si>
  <si>
    <t>Tot direct material spending</t>
  </si>
  <si>
    <t>Actual labour cost</t>
  </si>
  <si>
    <t>Standard labour cost</t>
  </si>
  <si>
    <t>Tot labour spending</t>
  </si>
  <si>
    <t>Financial Analysis Model - Generic Manufacturing Company</t>
  </si>
  <si>
    <t>Scenario Analysis</t>
  </si>
  <si>
    <t>Sensitivity Analysis</t>
  </si>
  <si>
    <t>Sensitivity Analysis Model - Generic Manufacturing Company</t>
  </si>
  <si>
    <t>Generic P&amp;L</t>
  </si>
  <si>
    <t>Revenues</t>
  </si>
  <si>
    <t>COGS</t>
  </si>
  <si>
    <t>Gross Profit</t>
  </si>
  <si>
    <t>SG&amp;A</t>
  </si>
  <si>
    <t>EBITDA</t>
  </si>
  <si>
    <t>D&amp;A</t>
  </si>
  <si>
    <t>EBIT</t>
  </si>
  <si>
    <t>Assumptions</t>
  </si>
  <si>
    <t>Unit Solds</t>
  </si>
  <si>
    <t>Unit Cost</t>
  </si>
  <si>
    <t>Unit Sale price (price per unit)</t>
  </si>
  <si>
    <t>Unit Cost (Cost per Unit)</t>
  </si>
  <si>
    <t>Price per unit</t>
  </si>
  <si>
    <t>Actual</t>
  </si>
  <si>
    <t>Standard Mat Cost</t>
  </si>
  <si>
    <t>Unit Mat Costs</t>
  </si>
  <si>
    <t>Unit Lab Cost</t>
  </si>
  <si>
    <t>Direct Materials Budget</t>
  </si>
  <si>
    <t>Direct Labour Budget</t>
  </si>
  <si>
    <t>Simplified COGS budget - Generic Manufacturing Company</t>
  </si>
  <si>
    <t>Standard</t>
  </si>
  <si>
    <t>Flex</t>
  </si>
  <si>
    <t>Static</t>
  </si>
  <si>
    <t>Estimated/Budgeted</t>
  </si>
  <si>
    <t>&lt;- unfavourable variance</t>
  </si>
  <si>
    <t>&lt;- favourable variance</t>
  </si>
  <si>
    <t>Total COGS</t>
  </si>
  <si>
    <t>Feel free to modify the data if you please.</t>
  </si>
  <si>
    <t>This tab contains a table showing price and quantity seisitivity for the product sales and their impact on revenues and EBITDA.
I have also inserted a semplified Profit and Loss statement which extract COGS data from the simplified budget tabs.</t>
  </si>
  <si>
    <t>Taxes</t>
  </si>
  <si>
    <t>Interests</t>
  </si>
  <si>
    <t>Taxes Est</t>
  </si>
  <si>
    <t>Net Income</t>
  </si>
  <si>
    <t>EBITDA - Price and Quantity Sentitivity</t>
  </si>
  <si>
    <t>EBIT - Price and Quantity Sentitivity</t>
  </si>
  <si>
    <t>Net Income (Loss) - Price and Quantity Sentitivity</t>
  </si>
  <si>
    <t>Quantity Sold</t>
  </si>
  <si>
    <t>COGS Budget Analysis</t>
  </si>
  <si>
    <t>This analysis consider three vague scenarios that I have decided to call "best","base" and "worst". This model can be adapted and the scenarios can be altered by modifying the related variables. Base Scenario references the Projected revenues and Costs (COGS+SG&amp;A) from the simplified P&amp;L in the Sensitivity Analysis Tab.</t>
  </si>
  <si>
    <t>This Analysis only showcases the different budgets for direct unit costs related to production. 
Being very basic, it should only be used as a simple showcase of the budgeting process for generating COGS inputs in the aforementioned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</si>
</sst>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0.00\ &quot;€&quot;_-;\-* #,##0.00\ &quot;€&quot;_-;_-* &quot;-&quot;??\ &quot;€&quot;_-;_-@_-"/>
    <numFmt numFmtId="43" formatCode="_-* #,##0.00\ _€_-;\-* #,##0.00\ _€_-;_-* &quot;-&quot;??\ _€_-;_-@_-"/>
    <numFmt numFmtId="164" formatCode="yyyy\E"/>
    <numFmt numFmtId="165" formatCode="_-* #,##0.00\ [$€-410]_-;\-* #,##0.00\ [$€-410]_-;_-* &quot;-&quot;??\ [$€-410]_-;_-@_-"/>
    <numFmt numFmtId="166" formatCode="#,##0_ ;\-#,##0\ "/>
  </numFmts>
  <fonts count="14"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26"/>
      <color theme="0"/>
      <name val="Calibri"/>
      <family val="2"/>
      <scheme val="minor"/>
    </font>
    <font>
      <sz val="11"/>
      <name val="Calibri"/>
      <family val="2"/>
      <scheme val="minor"/>
    </font>
    <font>
      <u/>
      <sz val="11"/>
      <color theme="10"/>
      <name val="Calibri"/>
      <family val="2"/>
      <scheme val="minor"/>
    </font>
    <font>
      <b/>
      <u/>
      <sz val="11"/>
      <color theme="4" tint="0.79998168889431442"/>
      <name val="Calibri"/>
      <family val="2"/>
      <scheme val="minor"/>
    </font>
    <font>
      <b/>
      <sz val="11"/>
      <color rgb="FF002060"/>
      <name val="Calibri"/>
      <family val="2"/>
      <scheme val="minor"/>
    </font>
    <font>
      <b/>
      <sz val="11"/>
      <color rgb="FF0070C0"/>
      <name val="Calibri"/>
      <family val="2"/>
      <scheme val="minor"/>
    </font>
    <font>
      <sz val="11"/>
      <color theme="8" tint="-0.499984740745262"/>
      <name val="Calibri"/>
      <family val="2"/>
      <scheme val="minor"/>
    </font>
    <font>
      <b/>
      <sz val="12"/>
      <color theme="0"/>
      <name val="Calibri"/>
      <family val="2"/>
      <scheme val="minor"/>
    </font>
  </fonts>
  <fills count="26">
    <fill>
      <patternFill patternType="none"/>
    </fill>
    <fill>
      <patternFill patternType="gray125"/>
    </fill>
    <fill>
      <patternFill patternType="solid">
        <fgColor theme="3" tint="-0.499984740745262"/>
        <bgColor indexed="64"/>
      </patternFill>
    </fill>
    <fill>
      <patternFill patternType="solid">
        <fgColor theme="8" tint="-0.49998474074526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2" tint="-0.49998474074526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theme="2"/>
        <bgColor indexed="64"/>
      </patternFill>
    </fill>
    <fill>
      <patternFill patternType="solid">
        <fgColor theme="1" tint="0.499984740745262"/>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749992370372631"/>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4" tint="-0.499984740745262"/>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cellStyleXfs>
  <cellXfs count="120">
    <xf numFmtId="0" fontId="0" fillId="0" borderId="0" xfId="0"/>
    <xf numFmtId="0" fontId="4" fillId="0" borderId="0" xfId="0" applyFont="1"/>
    <xf numFmtId="0" fontId="0" fillId="4" borderId="0" xfId="0" applyFill="1"/>
    <xf numFmtId="0" fontId="4" fillId="4" borderId="0" xfId="0" applyFont="1" applyFill="1"/>
    <xf numFmtId="0" fontId="0" fillId="4" borderId="0" xfId="0" quotePrefix="1" applyFill="1"/>
    <xf numFmtId="0" fontId="0" fillId="7" borderId="0" xfId="0" applyFill="1"/>
    <xf numFmtId="0" fontId="2" fillId="8" borderId="0" xfId="0" applyFont="1" applyFill="1"/>
    <xf numFmtId="164" fontId="2" fillId="8" borderId="0" xfId="0" applyNumberFormat="1" applyFont="1" applyFill="1"/>
    <xf numFmtId="165" fontId="0" fillId="4" borderId="0" xfId="1" applyNumberFormat="1" applyFont="1" applyFill="1"/>
    <xf numFmtId="0" fontId="2" fillId="9" borderId="1" xfId="0" applyFont="1" applyFill="1" applyBorder="1"/>
    <xf numFmtId="165" fontId="7" fillId="10" borderId="0" xfId="1" applyNumberFormat="1" applyFont="1" applyFill="1"/>
    <xf numFmtId="0" fontId="0" fillId="13" borderId="0" xfId="0" applyFill="1"/>
    <xf numFmtId="0" fontId="3" fillId="0" borderId="0" xfId="0" applyFont="1" applyFill="1"/>
    <xf numFmtId="0" fontId="5" fillId="14" borderId="0" xfId="0" applyFont="1" applyFill="1"/>
    <xf numFmtId="165" fontId="10" fillId="16" borderId="1" xfId="1" applyNumberFormat="1" applyFont="1" applyFill="1" applyBorder="1" applyAlignment="1">
      <alignment horizontal="center"/>
    </xf>
    <xf numFmtId="0" fontId="0" fillId="0" borderId="6" xfId="0" applyBorder="1"/>
    <xf numFmtId="0" fontId="0" fillId="0" borderId="7" xfId="0" applyBorder="1"/>
    <xf numFmtId="0" fontId="0" fillId="0" borderId="9" xfId="0" applyBorder="1"/>
    <xf numFmtId="0" fontId="0" fillId="0" borderId="6" xfId="0" applyFont="1" applyBorder="1"/>
    <xf numFmtId="44" fontId="0" fillId="0" borderId="7" xfId="0" applyNumberFormat="1" applyFont="1" applyBorder="1"/>
    <xf numFmtId="44" fontId="0" fillId="0" borderId="7" xfId="0" applyNumberFormat="1" applyBorder="1"/>
    <xf numFmtId="0" fontId="0" fillId="0" borderId="0" xfId="0" applyBorder="1"/>
    <xf numFmtId="0" fontId="0" fillId="0" borderId="8" xfId="0" applyBorder="1"/>
    <xf numFmtId="9" fontId="0" fillId="0" borderId="0" xfId="2" applyFont="1"/>
    <xf numFmtId="0" fontId="4" fillId="17" borderId="12" xfId="0" applyFont="1" applyFill="1" applyBorder="1"/>
    <xf numFmtId="0" fontId="4" fillId="17" borderId="14" xfId="0" applyFont="1" applyFill="1" applyBorder="1"/>
    <xf numFmtId="44" fontId="4" fillId="17" borderId="13" xfId="0" applyNumberFormat="1" applyFont="1" applyFill="1" applyBorder="1"/>
    <xf numFmtId="44" fontId="4" fillId="17" borderId="15" xfId="0" applyNumberFormat="1" applyFont="1" applyFill="1" applyBorder="1"/>
    <xf numFmtId="44" fontId="0" fillId="0" borderId="16" xfId="0" applyNumberFormat="1" applyBorder="1"/>
    <xf numFmtId="44" fontId="0" fillId="0" borderId="21" xfId="0" applyNumberFormat="1" applyBorder="1"/>
    <xf numFmtId="44" fontId="0" fillId="0" borderId="20" xfId="0" applyNumberFormat="1" applyBorder="1"/>
    <xf numFmtId="166" fontId="4" fillId="17" borderId="16" xfId="0" applyNumberFormat="1" applyFont="1" applyFill="1" applyBorder="1" applyAlignment="1">
      <alignment horizontal="right"/>
    </xf>
    <xf numFmtId="166" fontId="4" fillId="17" borderId="21" xfId="0" applyNumberFormat="1" applyFont="1" applyFill="1" applyBorder="1" applyAlignment="1">
      <alignment horizontal="right"/>
    </xf>
    <xf numFmtId="166" fontId="4" fillId="17" borderId="21" xfId="1" applyNumberFormat="1" applyFont="1" applyFill="1" applyBorder="1" applyAlignment="1">
      <alignment horizontal="right"/>
    </xf>
    <xf numFmtId="166" fontId="11" fillId="17" borderId="21" xfId="1" applyNumberFormat="1" applyFont="1" applyFill="1" applyBorder="1" applyAlignment="1">
      <alignment horizontal="right"/>
    </xf>
    <xf numFmtId="44" fontId="0" fillId="13" borderId="19" xfId="0" applyNumberFormat="1" applyFill="1" applyBorder="1"/>
    <xf numFmtId="44" fontId="0" fillId="20" borderId="19" xfId="0" applyNumberFormat="1" applyFill="1" applyBorder="1"/>
    <xf numFmtId="165" fontId="4" fillId="4" borderId="0" xfId="1" applyNumberFormat="1" applyFont="1" applyFill="1"/>
    <xf numFmtId="44" fontId="0" fillId="21" borderId="19" xfId="0" applyNumberFormat="1" applyFill="1" applyBorder="1"/>
    <xf numFmtId="44" fontId="2" fillId="18" borderId="2" xfId="0" applyNumberFormat="1" applyFont="1" applyFill="1" applyBorder="1" applyAlignment="1">
      <alignment horizontal="center"/>
    </xf>
    <xf numFmtId="44" fontId="2" fillId="18" borderId="3" xfId="0" applyNumberFormat="1" applyFont="1" applyFill="1" applyBorder="1" applyAlignment="1">
      <alignment horizontal="center"/>
    </xf>
    <xf numFmtId="44" fontId="2" fillId="18" borderId="8" xfId="0" applyNumberFormat="1" applyFont="1" applyFill="1" applyBorder="1" applyAlignment="1">
      <alignment horizontal="center"/>
    </xf>
    <xf numFmtId="44" fontId="2" fillId="18" borderId="4" xfId="0" applyNumberFormat="1" applyFont="1" applyFill="1" applyBorder="1" applyAlignment="1">
      <alignment horizontal="center"/>
    </xf>
    <xf numFmtId="4" fontId="0" fillId="12" borderId="0" xfId="0" applyNumberFormat="1" applyFill="1"/>
    <xf numFmtId="165" fontId="0" fillId="0" borderId="0" xfId="0" applyNumberFormat="1"/>
    <xf numFmtId="0" fontId="0" fillId="6" borderId="4" xfId="0" applyFill="1" applyBorder="1"/>
    <xf numFmtId="165" fontId="0" fillId="6" borderId="5" xfId="0" applyNumberFormat="1" applyFill="1" applyBorder="1"/>
    <xf numFmtId="0" fontId="0" fillId="6" borderId="6" xfId="0" applyFill="1" applyBorder="1"/>
    <xf numFmtId="165" fontId="0" fillId="6" borderId="7" xfId="0" applyNumberFormat="1" applyFill="1" applyBorder="1"/>
    <xf numFmtId="165" fontId="0" fillId="6" borderId="9" xfId="0" applyNumberFormat="1" applyFill="1" applyBorder="1"/>
    <xf numFmtId="0" fontId="0" fillId="12" borderId="6" xfId="0" applyFill="1" applyBorder="1"/>
    <xf numFmtId="165" fontId="0" fillId="12" borderId="0" xfId="0" applyNumberFormat="1" applyFill="1" applyBorder="1"/>
    <xf numFmtId="0" fontId="0" fillId="13" borderId="0" xfId="0" applyFill="1" applyBorder="1"/>
    <xf numFmtId="165" fontId="0" fillId="13" borderId="0" xfId="0" applyNumberFormat="1" applyFill="1" applyBorder="1"/>
    <xf numFmtId="165" fontId="0" fillId="13" borderId="7" xfId="0" applyNumberFormat="1" applyFill="1" applyBorder="1"/>
    <xf numFmtId="0" fontId="0" fillId="12" borderId="0" xfId="0" applyFill="1" applyBorder="1"/>
    <xf numFmtId="0" fontId="0" fillId="13" borderId="7" xfId="0" applyFill="1" applyBorder="1"/>
    <xf numFmtId="4" fontId="0" fillId="12" borderId="0" xfId="0" applyNumberFormat="1" applyFill="1" applyBorder="1"/>
    <xf numFmtId="4" fontId="0" fillId="13" borderId="7" xfId="0" applyNumberFormat="1" applyFill="1" applyBorder="1"/>
    <xf numFmtId="165" fontId="0" fillId="0" borderId="0" xfId="0" applyNumberFormat="1" applyBorder="1"/>
    <xf numFmtId="165" fontId="0" fillId="0" borderId="7" xfId="0" applyNumberFormat="1" applyBorder="1"/>
    <xf numFmtId="0" fontId="0" fillId="0" borderId="22" xfId="0" applyBorder="1"/>
    <xf numFmtId="165" fontId="0" fillId="0" borderId="22" xfId="0" applyNumberFormat="1" applyBorder="1"/>
    <xf numFmtId="0" fontId="3" fillId="0" borderId="0" xfId="0" applyFont="1" applyFill="1" applyBorder="1"/>
    <xf numFmtId="0" fontId="3" fillId="0" borderId="7" xfId="0" applyFont="1" applyFill="1" applyBorder="1"/>
    <xf numFmtId="0" fontId="4" fillId="6" borderId="4" xfId="0" applyFont="1" applyFill="1" applyBorder="1"/>
    <xf numFmtId="0" fontId="4" fillId="6" borderId="6" xfId="0" applyFont="1" applyFill="1" applyBorder="1"/>
    <xf numFmtId="0" fontId="4" fillId="6" borderId="8" xfId="0" applyFont="1" applyFill="1" applyBorder="1"/>
    <xf numFmtId="165" fontId="0" fillId="23" borderId="7" xfId="0" applyNumberFormat="1" applyFill="1" applyBorder="1"/>
    <xf numFmtId="165" fontId="4" fillId="15" borderId="9" xfId="0" applyNumberFormat="1" applyFont="1" applyFill="1" applyBorder="1"/>
    <xf numFmtId="165" fontId="0" fillId="23" borderId="5" xfId="0" applyNumberFormat="1" applyFill="1" applyBorder="1"/>
    <xf numFmtId="165" fontId="4" fillId="15" borderId="7" xfId="0" applyNumberFormat="1" applyFont="1" applyFill="1" applyBorder="1"/>
    <xf numFmtId="166" fontId="4" fillId="17" borderId="23" xfId="1" applyNumberFormat="1" applyFont="1" applyFill="1" applyBorder="1" applyAlignment="1">
      <alignment horizontal="right"/>
    </xf>
    <xf numFmtId="44" fontId="4" fillId="17" borderId="24" xfId="0" applyNumberFormat="1" applyFont="1" applyFill="1" applyBorder="1"/>
    <xf numFmtId="44" fontId="0" fillId="0" borderId="23" xfId="0" applyNumberFormat="1" applyBorder="1"/>
    <xf numFmtId="44" fontId="4" fillId="17" borderId="25" xfId="0" applyNumberFormat="1" applyFont="1" applyFill="1" applyBorder="1"/>
    <xf numFmtId="44" fontId="0" fillId="0" borderId="26" xfId="0" applyNumberFormat="1" applyBorder="1"/>
    <xf numFmtId="44" fontId="11" fillId="17" borderId="25" xfId="0" applyNumberFormat="1" applyFont="1" applyFill="1" applyBorder="1"/>
    <xf numFmtId="44" fontId="4" fillId="17" borderId="27" xfId="0" applyNumberFormat="1" applyFont="1" applyFill="1" applyBorder="1"/>
    <xf numFmtId="44" fontId="0" fillId="0" borderId="28" xfId="0" applyNumberFormat="1" applyBorder="1"/>
    <xf numFmtId="44" fontId="0" fillId="0" borderId="29" xfId="0" applyNumberFormat="1" applyBorder="1"/>
    <xf numFmtId="44" fontId="0" fillId="0" borderId="30" xfId="0" applyNumberFormat="1" applyBorder="1"/>
    <xf numFmtId="165" fontId="0" fillId="24" borderId="0" xfId="1" applyNumberFormat="1" applyFont="1" applyFill="1"/>
    <xf numFmtId="0" fontId="12" fillId="15" borderId="0" xfId="0" applyFont="1" applyFill="1" applyAlignment="1">
      <alignment vertical="center"/>
    </xf>
    <xf numFmtId="0" fontId="0" fillId="0" borderId="6" xfId="0" applyFill="1" applyBorder="1"/>
    <xf numFmtId="44" fontId="0" fillId="0" borderId="7" xfId="0" applyNumberFormat="1" applyFont="1" applyFill="1" applyBorder="1"/>
    <xf numFmtId="0" fontId="0" fillId="0" borderId="4" xfId="0" applyBorder="1"/>
    <xf numFmtId="4" fontId="0" fillId="0" borderId="5" xfId="1" applyNumberFormat="1" applyFont="1" applyBorder="1" applyAlignment="1"/>
    <xf numFmtId="0" fontId="0" fillId="0" borderId="8" xfId="0" applyFill="1" applyBorder="1"/>
    <xf numFmtId="10" fontId="0" fillId="0" borderId="9" xfId="0" applyNumberFormat="1" applyBorder="1"/>
    <xf numFmtId="44" fontId="0" fillId="0" borderId="5" xfId="0" applyNumberFormat="1" applyBorder="1"/>
    <xf numFmtId="0" fontId="9" fillId="2" borderId="2" xfId="3" applyFont="1" applyFill="1" applyBorder="1" applyAlignment="1">
      <alignment horizontal="center" vertical="center"/>
    </xf>
    <xf numFmtId="0" fontId="9" fillId="2" borderId="17" xfId="3" applyFont="1" applyFill="1" applyBorder="1" applyAlignment="1">
      <alignment horizontal="center" vertical="center"/>
    </xf>
    <xf numFmtId="0" fontId="9" fillId="2" borderId="3" xfId="3" applyFont="1" applyFill="1" applyBorder="1" applyAlignment="1">
      <alignment horizontal="center" vertical="center"/>
    </xf>
    <xf numFmtId="0" fontId="12" fillId="15" borderId="6" xfId="0" applyFont="1" applyFill="1" applyBorder="1" applyAlignment="1">
      <alignment horizontal="left" vertical="center" wrapText="1"/>
    </xf>
    <xf numFmtId="0" fontId="12" fillId="15" borderId="0" xfId="0" applyFont="1" applyFill="1" applyBorder="1" applyAlignment="1">
      <alignment horizontal="left" vertical="center" wrapText="1"/>
    </xf>
    <xf numFmtId="0" fontId="6" fillId="3" borderId="0" xfId="0" applyFont="1" applyFill="1" applyAlignment="1">
      <alignment horizontal="left" vertical="center"/>
    </xf>
    <xf numFmtId="0" fontId="6" fillId="2" borderId="0" xfId="0" applyFont="1" applyFill="1" applyAlignment="1">
      <alignment horizontal="left" vertical="center"/>
    </xf>
    <xf numFmtId="0" fontId="4" fillId="19" borderId="18" xfId="0" applyFont="1" applyFill="1" applyBorder="1" applyAlignment="1">
      <alignment horizontal="center"/>
    </xf>
    <xf numFmtId="0" fontId="4" fillId="19" borderId="11" xfId="0" applyFont="1" applyFill="1" applyBorder="1" applyAlignment="1">
      <alignment horizontal="center"/>
    </xf>
    <xf numFmtId="0" fontId="4" fillId="19" borderId="2" xfId="0" applyFont="1" applyFill="1" applyBorder="1" applyAlignment="1">
      <alignment horizontal="center" vertical="center" textRotation="90" wrapText="1"/>
    </xf>
    <xf numFmtId="0" fontId="4" fillId="19" borderId="17" xfId="0" applyFont="1" applyFill="1" applyBorder="1" applyAlignment="1">
      <alignment horizontal="center" vertical="center" textRotation="90" wrapText="1"/>
    </xf>
    <xf numFmtId="0" fontId="4" fillId="19" borderId="3" xfId="0" applyFont="1" applyFill="1" applyBorder="1" applyAlignment="1">
      <alignment horizontal="center" vertical="center" textRotation="90" wrapText="1"/>
    </xf>
    <xf numFmtId="0" fontId="2" fillId="9" borderId="4" xfId="0" applyFont="1" applyFill="1" applyBorder="1" applyAlignment="1">
      <alignment horizontal="center"/>
    </xf>
    <xf numFmtId="0" fontId="2" fillId="9" borderId="5" xfId="0" applyFont="1" applyFill="1" applyBorder="1" applyAlignment="1">
      <alignment horizontal="center"/>
    </xf>
    <xf numFmtId="0" fontId="2" fillId="9" borderId="10" xfId="0" applyFont="1" applyFill="1" applyBorder="1" applyAlignment="1">
      <alignment horizontal="center"/>
    </xf>
    <xf numFmtId="0" fontId="2" fillId="9" borderId="11" xfId="0" applyFont="1" applyFill="1" applyBorder="1" applyAlignment="1">
      <alignment horizontal="center"/>
    </xf>
    <xf numFmtId="0" fontId="13" fillId="25" borderId="10" xfId="0" applyFont="1" applyFill="1" applyBorder="1" applyAlignment="1">
      <alignment horizontal="center"/>
    </xf>
    <xf numFmtId="0" fontId="13" fillId="25" borderId="18" xfId="0" applyFont="1" applyFill="1" applyBorder="1" applyAlignment="1">
      <alignment horizontal="center"/>
    </xf>
    <xf numFmtId="0" fontId="13" fillId="25" borderId="11" xfId="0" applyFont="1" applyFill="1" applyBorder="1" applyAlignment="1">
      <alignment horizontal="center"/>
    </xf>
    <xf numFmtId="0" fontId="2" fillId="22" borderId="10" xfId="0" applyFont="1" applyFill="1" applyBorder="1" applyAlignment="1">
      <alignment horizontal="center"/>
    </xf>
    <xf numFmtId="0" fontId="2" fillId="22" borderId="18" xfId="0" applyFont="1" applyFill="1" applyBorder="1" applyAlignment="1">
      <alignment horizontal="center"/>
    </xf>
    <xf numFmtId="0" fontId="2" fillId="22" borderId="11" xfId="0" applyFont="1" applyFill="1" applyBorder="1" applyAlignment="1">
      <alignment horizontal="center"/>
    </xf>
    <xf numFmtId="0" fontId="4" fillId="5" borderId="4" xfId="0" applyFont="1" applyFill="1" applyBorder="1" applyAlignment="1">
      <alignment horizontal="center"/>
    </xf>
    <xf numFmtId="0" fontId="4" fillId="5" borderId="5" xfId="0" applyFont="1" applyFill="1" applyBorder="1" applyAlignment="1">
      <alignment horizontal="center"/>
    </xf>
    <xf numFmtId="0" fontId="4" fillId="5" borderId="10" xfId="0" applyFont="1" applyFill="1" applyBorder="1" applyAlignment="1">
      <alignment horizontal="center"/>
    </xf>
    <xf numFmtId="0" fontId="4" fillId="5" borderId="11" xfId="0" applyFont="1" applyFill="1" applyBorder="1" applyAlignment="1">
      <alignment horizontal="center"/>
    </xf>
    <xf numFmtId="0" fontId="0" fillId="11" borderId="6" xfId="0" applyFill="1" applyBorder="1" applyAlignment="1">
      <alignment horizontal="center"/>
    </xf>
    <xf numFmtId="0" fontId="0" fillId="11" borderId="0" xfId="0" applyFill="1" applyBorder="1" applyAlignment="1">
      <alignment horizontal="center"/>
    </xf>
    <xf numFmtId="0" fontId="0" fillId="11" borderId="7" xfId="0" applyFill="1" applyBorder="1" applyAlignment="1">
      <alignment horizontal="center"/>
    </xf>
  </cellXfs>
  <cellStyles count="4">
    <cellStyle name="Collegamento ipertestuale" xfId="3" builtinId="8"/>
    <cellStyle name="Migliaia" xfId="1" builtinId="3"/>
    <cellStyle name="Normale" xfId="0" builtinId="0"/>
    <cellStyle name="Percentuale" xfId="2"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Projected EBITDA</a:t>
            </a:r>
            <a:r>
              <a:rPr lang="it-IT" baseline="0"/>
              <a:t> Scenario Adj.</a:t>
            </a:r>
            <a:endParaRPr lang="it-I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spPr>
            <a:ln w="28575" cap="rnd">
              <a:solidFill>
                <a:schemeClr val="accent1"/>
              </a:solidFill>
              <a:round/>
            </a:ln>
            <a:effectLst/>
          </c:spPr>
          <c:marker>
            <c:symbol val="none"/>
          </c:marker>
          <c:cat>
            <c:numRef>
              <c:f>'Scenarios Analysis'!$C$5:$G$5</c:f>
              <c:numCache>
                <c:formatCode>yyyy\E</c:formatCode>
                <c:ptCount val="5"/>
                <c:pt idx="0">
                  <c:v>44927</c:v>
                </c:pt>
                <c:pt idx="1">
                  <c:v>45292</c:v>
                </c:pt>
                <c:pt idx="2">
                  <c:v>45658</c:v>
                </c:pt>
                <c:pt idx="3">
                  <c:v>46023</c:v>
                </c:pt>
                <c:pt idx="4">
                  <c:v>46388</c:v>
                </c:pt>
              </c:numCache>
            </c:numRef>
          </c:cat>
          <c:val>
            <c:numRef>
              <c:f>'Scenarios Analysis'!$C$8:$G$8</c:f>
              <c:numCache>
                <c:formatCode>_-* #,##0.00\ [$€-410]_-;\-* #,##0.00\ [$€-410]_-;_-* "-"??\ [$€-410]_-;_-@_-</c:formatCode>
                <c:ptCount val="5"/>
                <c:pt idx="0">
                  <c:v>53359.999999999971</c:v>
                </c:pt>
                <c:pt idx="1">
                  <c:v>78972.799999999988</c:v>
                </c:pt>
                <c:pt idx="2">
                  <c:v>94767.359999999986</c:v>
                </c:pt>
                <c:pt idx="3">
                  <c:v>104244.09600000008</c:v>
                </c:pt>
                <c:pt idx="4">
                  <c:v>109456.30080000008</c:v>
                </c:pt>
              </c:numCache>
            </c:numRef>
          </c:val>
          <c:smooth val="0"/>
          <c:extLst>
            <c:ext xmlns:c16="http://schemas.microsoft.com/office/drawing/2014/chart" uri="{C3380CC4-5D6E-409C-BE32-E72D297353CC}">
              <c16:uniqueId val="{00000000-5F59-4CC6-A6AE-A4F9FFB80F31}"/>
            </c:ext>
          </c:extLst>
        </c:ser>
        <c:dLbls>
          <c:showLegendKey val="0"/>
          <c:showVal val="0"/>
          <c:showCatName val="0"/>
          <c:showSerName val="0"/>
          <c:showPercent val="0"/>
          <c:showBubbleSize val="0"/>
        </c:dLbls>
        <c:smooth val="0"/>
        <c:axId val="465019416"/>
        <c:axId val="465019744"/>
      </c:lineChart>
      <c:dateAx>
        <c:axId val="465019416"/>
        <c:scaling>
          <c:orientation val="minMax"/>
        </c:scaling>
        <c:delete val="0"/>
        <c:axPos val="b"/>
        <c:numFmt formatCode="yyyy\E"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65019744"/>
        <c:crosses val="autoZero"/>
        <c:auto val="1"/>
        <c:lblOffset val="100"/>
        <c:baseTimeUnit val="years"/>
      </c:dateAx>
      <c:valAx>
        <c:axId val="465019744"/>
        <c:scaling>
          <c:orientation val="minMax"/>
        </c:scaling>
        <c:delete val="0"/>
        <c:axPos val="l"/>
        <c:majorGridlines>
          <c:spPr>
            <a:ln w="9525" cap="flat" cmpd="sng" algn="ctr">
              <a:solidFill>
                <a:schemeClr val="tx1">
                  <a:lumMod val="15000"/>
                  <a:lumOff val="85000"/>
                </a:schemeClr>
              </a:solidFill>
              <a:round/>
            </a:ln>
            <a:effectLst/>
          </c:spPr>
        </c:majorGridlines>
        <c:numFmt formatCode="_-* #,##0.00\ [$€-410]_-;\-* #,##0.00\ [$€-410]_-;_-* &quot;-&quot;??\ [$€-410]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65019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0</xdr:colOff>
      <xdr:row>4</xdr:row>
      <xdr:rowOff>9525</xdr:rowOff>
    </xdr:from>
    <xdr:to>
      <xdr:col>17</xdr:col>
      <xdr:colOff>28575</xdr:colOff>
      <xdr:row>20</xdr:row>
      <xdr:rowOff>28575</xdr:rowOff>
    </xdr:to>
    <xdr:graphicFrame macro="">
      <xdr:nvGraphicFramePr>
        <xdr:cNvPr id="2" name="Grafico 1">
          <a:extLst>
            <a:ext uri="{FF2B5EF4-FFF2-40B4-BE49-F238E27FC236}">
              <a16:creationId xmlns:a16="http://schemas.microsoft.com/office/drawing/2014/main" id="{55B01046-C615-4E50-9BA2-93D4BFC47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
  <sheetViews>
    <sheetView showGridLines="0" tabSelected="1" workbookViewId="0">
      <selection activeCell="O21" sqref="O21"/>
    </sheetView>
  </sheetViews>
  <sheetFormatPr defaultRowHeight="15" x14ac:dyDescent="0.25"/>
  <cols>
    <col min="1" max="1" width="3.28515625" style="13" customWidth="1"/>
    <col min="2" max="2" width="22.140625" style="13" customWidth="1"/>
    <col min="3" max="16384" width="9.140625" style="13"/>
  </cols>
  <sheetData>
    <row r="1" spans="1:21" s="96" customFormat="1" ht="15" customHeight="1" x14ac:dyDescent="0.25">
      <c r="A1" s="96" t="s">
        <v>26</v>
      </c>
    </row>
    <row r="2" spans="1:21" s="96" customFormat="1" ht="15" customHeight="1" x14ac:dyDescent="0.25"/>
    <row r="3" spans="1:21" s="96" customFormat="1" ht="15" customHeight="1" x14ac:dyDescent="0.25"/>
    <row r="6" spans="1:21" x14ac:dyDescent="0.25">
      <c r="B6" s="13" t="s">
        <v>1</v>
      </c>
    </row>
    <row r="7" spans="1:21" ht="15.75" thickBot="1" x14ac:dyDescent="0.3"/>
    <row r="8" spans="1:21" ht="15" customHeight="1" x14ac:dyDescent="0.25">
      <c r="B8" s="91" t="s">
        <v>27</v>
      </c>
      <c r="C8" s="94" t="s">
        <v>69</v>
      </c>
      <c r="D8" s="95"/>
      <c r="E8" s="95"/>
      <c r="F8" s="95"/>
      <c r="G8" s="95"/>
      <c r="H8" s="95"/>
      <c r="I8" s="95"/>
      <c r="J8" s="95"/>
      <c r="K8" s="95"/>
      <c r="L8" s="95"/>
      <c r="M8" s="95"/>
      <c r="N8" s="95"/>
      <c r="O8" s="95"/>
      <c r="P8" s="95"/>
      <c r="Q8" s="95"/>
      <c r="R8" s="95"/>
      <c r="S8" s="95"/>
      <c r="T8" s="95"/>
      <c r="U8" s="95"/>
    </row>
    <row r="9" spans="1:21" x14ac:dyDescent="0.25">
      <c r="B9" s="92"/>
      <c r="C9" s="94"/>
      <c r="D9" s="95"/>
      <c r="E9" s="95"/>
      <c r="F9" s="95"/>
      <c r="G9" s="95"/>
      <c r="H9" s="95"/>
      <c r="I9" s="95"/>
      <c r="J9" s="95"/>
      <c r="K9" s="95"/>
      <c r="L9" s="95"/>
      <c r="M9" s="95"/>
      <c r="N9" s="95"/>
      <c r="O9" s="95"/>
      <c r="P9" s="95"/>
      <c r="Q9" s="95"/>
      <c r="R9" s="95"/>
      <c r="S9" s="95"/>
      <c r="T9" s="95"/>
      <c r="U9" s="95"/>
    </row>
    <row r="10" spans="1:21" ht="15.75" thickBot="1" x14ac:dyDescent="0.3">
      <c r="B10" s="93"/>
      <c r="C10" s="83" t="s">
        <v>58</v>
      </c>
      <c r="D10" s="83"/>
      <c r="E10" s="83"/>
      <c r="F10" s="83"/>
      <c r="G10" s="83"/>
      <c r="H10" s="83"/>
      <c r="I10" s="83"/>
      <c r="J10" s="83"/>
      <c r="K10" s="83"/>
      <c r="L10" s="83"/>
      <c r="M10" s="83"/>
      <c r="N10" s="83"/>
      <c r="O10" s="83"/>
      <c r="P10" s="83"/>
      <c r="Q10" s="83"/>
      <c r="R10" s="83"/>
      <c r="S10" s="83"/>
      <c r="T10" s="83"/>
      <c r="U10" s="83"/>
    </row>
    <row r="11" spans="1:21" ht="15.75" thickBot="1" x14ac:dyDescent="0.3"/>
    <row r="12" spans="1:21" x14ac:dyDescent="0.25">
      <c r="B12" s="91" t="s">
        <v>28</v>
      </c>
      <c r="C12" s="94" t="s">
        <v>59</v>
      </c>
      <c r="D12" s="95"/>
      <c r="E12" s="95"/>
      <c r="F12" s="95"/>
      <c r="G12" s="95"/>
      <c r="H12" s="95"/>
      <c r="I12" s="95"/>
      <c r="J12" s="95"/>
      <c r="K12" s="95"/>
      <c r="L12" s="95"/>
      <c r="M12" s="95"/>
      <c r="N12" s="95"/>
      <c r="O12" s="95"/>
      <c r="P12" s="95"/>
      <c r="Q12" s="95"/>
      <c r="R12" s="95"/>
      <c r="S12" s="95"/>
      <c r="T12" s="95"/>
      <c r="U12" s="95"/>
    </row>
    <row r="13" spans="1:21" x14ac:dyDescent="0.25">
      <c r="B13" s="92"/>
      <c r="C13" s="94"/>
      <c r="D13" s="95"/>
      <c r="E13" s="95"/>
      <c r="F13" s="95"/>
      <c r="G13" s="95"/>
      <c r="H13" s="95"/>
      <c r="I13" s="95"/>
      <c r="J13" s="95"/>
      <c r="K13" s="95"/>
      <c r="L13" s="95"/>
      <c r="M13" s="95"/>
      <c r="N13" s="95"/>
      <c r="O13" s="95"/>
      <c r="P13" s="95"/>
      <c r="Q13" s="95"/>
      <c r="R13" s="95"/>
      <c r="S13" s="95"/>
      <c r="T13" s="95"/>
      <c r="U13" s="95"/>
    </row>
    <row r="14" spans="1:21" ht="15.75" thickBot="1" x14ac:dyDescent="0.3">
      <c r="B14" s="93"/>
      <c r="C14" s="94"/>
      <c r="D14" s="95"/>
      <c r="E14" s="95"/>
      <c r="F14" s="95"/>
      <c r="G14" s="95"/>
      <c r="H14" s="95"/>
      <c r="I14" s="95"/>
      <c r="J14" s="95"/>
      <c r="K14" s="95"/>
      <c r="L14" s="95"/>
      <c r="M14" s="95"/>
      <c r="N14" s="95"/>
      <c r="O14" s="95"/>
      <c r="P14" s="95"/>
      <c r="Q14" s="95"/>
      <c r="R14" s="95"/>
      <c r="S14" s="95"/>
      <c r="T14" s="95"/>
      <c r="U14" s="95"/>
    </row>
    <row r="15" spans="1:21" ht="15.75" thickBot="1" x14ac:dyDescent="0.3"/>
    <row r="16" spans="1:21" x14ac:dyDescent="0.25">
      <c r="B16" s="91" t="s">
        <v>68</v>
      </c>
      <c r="C16" s="94" t="s">
        <v>70</v>
      </c>
      <c r="D16" s="95"/>
      <c r="E16" s="95"/>
      <c r="F16" s="95"/>
      <c r="G16" s="95"/>
      <c r="H16" s="95"/>
      <c r="I16" s="95"/>
      <c r="J16" s="95"/>
      <c r="K16" s="95"/>
      <c r="L16" s="95"/>
      <c r="M16" s="95"/>
      <c r="N16" s="95"/>
      <c r="O16" s="95"/>
      <c r="P16" s="95"/>
      <c r="Q16" s="95"/>
      <c r="R16" s="95"/>
      <c r="S16" s="95"/>
      <c r="T16" s="95"/>
      <c r="U16" s="95"/>
    </row>
    <row r="17" spans="2:21" x14ac:dyDescent="0.25">
      <c r="B17" s="92"/>
      <c r="C17" s="94"/>
      <c r="D17" s="95"/>
      <c r="E17" s="95"/>
      <c r="F17" s="95"/>
      <c r="G17" s="95"/>
      <c r="H17" s="95"/>
      <c r="I17" s="95"/>
      <c r="J17" s="95"/>
      <c r="K17" s="95"/>
      <c r="L17" s="95"/>
      <c r="M17" s="95"/>
      <c r="N17" s="95"/>
      <c r="O17" s="95"/>
      <c r="P17" s="95"/>
      <c r="Q17" s="95"/>
      <c r="R17" s="95"/>
      <c r="S17" s="95"/>
      <c r="T17" s="95"/>
      <c r="U17" s="95"/>
    </row>
    <row r="18" spans="2:21" ht="15.75" thickBot="1" x14ac:dyDescent="0.3">
      <c r="B18" s="93"/>
      <c r="C18" s="94"/>
      <c r="D18" s="95"/>
      <c r="E18" s="95"/>
      <c r="F18" s="95"/>
      <c r="G18" s="95"/>
      <c r="H18" s="95"/>
      <c r="I18" s="95"/>
      <c r="J18" s="95"/>
      <c r="K18" s="95"/>
      <c r="L18" s="95"/>
      <c r="M18" s="95"/>
      <c r="N18" s="95"/>
      <c r="O18" s="95"/>
      <c r="P18" s="95"/>
      <c r="Q18" s="95"/>
      <c r="R18" s="95"/>
      <c r="S18" s="95"/>
      <c r="T18" s="95"/>
      <c r="U18" s="95"/>
    </row>
  </sheetData>
  <mergeCells count="7">
    <mergeCell ref="B16:B18"/>
    <mergeCell ref="C16:U18"/>
    <mergeCell ref="A1:XFD3"/>
    <mergeCell ref="B8:B10"/>
    <mergeCell ref="B12:B14"/>
    <mergeCell ref="C8:U9"/>
    <mergeCell ref="C12:U14"/>
  </mergeCells>
  <hyperlinks>
    <hyperlink ref="B8:B10" location="'Scenarios Analysis'!A1" display="Scenario Analysis" xr:uid="{E9155891-DCED-4122-A2B2-F90946DBA325}"/>
    <hyperlink ref="B12:B14" location="'Sensitivity Analysis'!A1" display="Sensitivity Analysis" xr:uid="{6B494653-98D8-4C28-BB57-C0EB08C883E3}"/>
    <hyperlink ref="B16:B18" location="'Simplified Budgeting'!A1" display="COGS Budget Analysis" xr:uid="{9D5A0EB1-6DC7-41BA-AA4C-C0E88698D20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C3F79-AF16-4672-90EB-ED81EDC391BB}">
  <dimension ref="A1:G31"/>
  <sheetViews>
    <sheetView showGridLines="0" workbookViewId="0">
      <selection sqref="A1:XFD3"/>
    </sheetView>
  </sheetViews>
  <sheetFormatPr defaultRowHeight="15" x14ac:dyDescent="0.25"/>
  <cols>
    <col min="1" max="1" width="4" customWidth="1"/>
    <col min="2" max="2" width="18" bestFit="1" customWidth="1"/>
    <col min="3" max="7" width="15" customWidth="1"/>
  </cols>
  <sheetData>
    <row r="1" spans="1:7" s="97" customFormat="1" x14ac:dyDescent="0.25">
      <c r="A1" s="97" t="s">
        <v>0</v>
      </c>
    </row>
    <row r="2" spans="1:7" s="97" customFormat="1" x14ac:dyDescent="0.25"/>
    <row r="3" spans="1:7" s="97" customFormat="1" x14ac:dyDescent="0.25"/>
    <row r="5" spans="1:7" x14ac:dyDescent="0.25">
      <c r="B5" s="6" t="s">
        <v>12</v>
      </c>
      <c r="C5" s="7">
        <v>44927</v>
      </c>
      <c r="D5" s="7">
        <f>EDATE(C5,12)</f>
        <v>45292</v>
      </c>
      <c r="E5" s="7">
        <f>EDATE(D5,12)</f>
        <v>45658</v>
      </c>
      <c r="F5" s="7">
        <f>EDATE(E5,12)</f>
        <v>46023</v>
      </c>
      <c r="G5" s="7">
        <f>EDATE(F5,12)</f>
        <v>46388</v>
      </c>
    </row>
    <row r="6" spans="1:7" x14ac:dyDescent="0.25">
      <c r="B6" s="2" t="s">
        <v>7</v>
      </c>
      <c r="C6" s="8">
        <f>IFERROR(CHOOSE(IF($C$10="BEST","1",IF($C$10="BASE","2",IF($C$10="WORST","3",""))),C13,C14,C15),"")</f>
        <v>272160</v>
      </c>
      <c r="D6" s="8">
        <f>IFERROR(CHOOSE(IF($C$10="BEST","1",IF($C$10="BASE","2",IF($C$10="WORST","3",""))),D13,D14,D15),"")</f>
        <v>402796.79999999999</v>
      </c>
      <c r="E6" s="8">
        <f>IFERROR(CHOOSE(IF($C$10="BEST","1",IF($C$10="BASE","2",IF($C$10="WORST","3",""))),E13,E14,E15),"")</f>
        <v>483356.15999999997</v>
      </c>
      <c r="F6" s="8">
        <f>IFERROR(CHOOSE(IF($C$10="BEST","1",IF($C$10="BASE","2",IF($C$10="WORST","3",""))),F13,F14,F15),"")</f>
        <v>531691.77600000007</v>
      </c>
      <c r="G6" s="8">
        <f>IFERROR(CHOOSE(IF($C$10="BEST","1",IF($C$10="BASE","2",IF($C$10="WORST","3",""))),G13,G14,G15),"")</f>
        <v>558276.3648000001</v>
      </c>
    </row>
    <row r="7" spans="1:7" x14ac:dyDescent="0.25">
      <c r="B7" s="2" t="s">
        <v>8</v>
      </c>
      <c r="C7" s="8">
        <f>IFERROR(CHOOSE(IF($C$10="BEST","1",IF($C$10="BASE","2",IF($C$10="WORST","3",""))),C18,C19,C20),"")</f>
        <v>-218800.00000000003</v>
      </c>
      <c r="D7" s="8">
        <f t="shared" ref="D7:E7" si="0">IFERROR(CHOOSE(IF($C$10="BEST","1",IF($C$10="BASE","2",IF($C$10="WORST","3",""))),D18,D19,D20),"")</f>
        <v>-323824</v>
      </c>
      <c r="E7" s="8">
        <f t="shared" si="0"/>
        <v>-388588.79999999999</v>
      </c>
      <c r="F7" s="8">
        <f t="shared" ref="F7:G7" si="1">IFERROR(CHOOSE(IF($C$10="BEST","1",IF($C$10="BASE","2",IF($C$10="WORST","3",""))),F18,F19,F20),"")</f>
        <v>-427447.68</v>
      </c>
      <c r="G7" s="8">
        <f t="shared" si="1"/>
        <v>-448820.06400000001</v>
      </c>
    </row>
    <row r="8" spans="1:7" x14ac:dyDescent="0.25">
      <c r="B8" s="5" t="s">
        <v>35</v>
      </c>
      <c r="C8" s="10">
        <f>+C6+C7</f>
        <v>53359.999999999971</v>
      </c>
      <c r="D8" s="10">
        <f t="shared" ref="D8:G8" si="2">+D6+D7</f>
        <v>78972.799999999988</v>
      </c>
      <c r="E8" s="10">
        <f t="shared" si="2"/>
        <v>94767.359999999986</v>
      </c>
      <c r="F8" s="10">
        <f t="shared" si="2"/>
        <v>104244.09600000008</v>
      </c>
      <c r="G8" s="10">
        <f t="shared" si="2"/>
        <v>109456.30080000008</v>
      </c>
    </row>
    <row r="9" spans="1:7" ht="15.75" thickBot="1" x14ac:dyDescent="0.3">
      <c r="B9" s="2"/>
      <c r="C9" s="8"/>
      <c r="D9" s="8"/>
      <c r="E9" s="8"/>
      <c r="F9" s="8"/>
      <c r="G9" s="8"/>
    </row>
    <row r="10" spans="1:7" ht="15.75" thickBot="1" x14ac:dyDescent="0.3">
      <c r="B10" s="9" t="s">
        <v>10</v>
      </c>
      <c r="C10" s="14" t="s">
        <v>11</v>
      </c>
      <c r="D10" s="37" t="s">
        <v>13</v>
      </c>
      <c r="E10" s="8"/>
      <c r="F10" s="8"/>
      <c r="G10" s="8"/>
    </row>
    <row r="11" spans="1:7" x14ac:dyDescent="0.25">
      <c r="B11" s="2"/>
      <c r="C11" s="8"/>
      <c r="D11" s="8"/>
      <c r="E11" s="8"/>
      <c r="F11" s="8"/>
      <c r="G11" s="8"/>
    </row>
    <row r="12" spans="1:7" x14ac:dyDescent="0.25">
      <c r="B12" s="3" t="s">
        <v>2</v>
      </c>
      <c r="C12" s="8"/>
      <c r="D12" s="8"/>
      <c r="E12" s="8"/>
      <c r="F12" s="8"/>
      <c r="G12" s="8"/>
    </row>
    <row r="13" spans="1:7" x14ac:dyDescent="0.25">
      <c r="B13" s="4" t="s">
        <v>3</v>
      </c>
      <c r="C13" s="8">
        <v>381024</v>
      </c>
      <c r="D13" s="8">
        <v>685843.20000000007</v>
      </c>
      <c r="E13" s="8">
        <v>960180.48</v>
      </c>
      <c r="F13" s="8">
        <v>1200225.6000000001</v>
      </c>
      <c r="G13" s="8">
        <v>1380259.44</v>
      </c>
    </row>
    <row r="14" spans="1:7" x14ac:dyDescent="0.25">
      <c r="B14" s="4" t="s">
        <v>4</v>
      </c>
      <c r="C14" s="82">
        <f>+'Sensitivity Analysis'!R7</f>
        <v>272160</v>
      </c>
      <c r="D14" s="8">
        <v>402796.79999999999</v>
      </c>
      <c r="E14" s="8">
        <v>483356.15999999997</v>
      </c>
      <c r="F14" s="8">
        <v>531691.77600000007</v>
      </c>
      <c r="G14" s="8">
        <v>558276.3648000001</v>
      </c>
    </row>
    <row r="15" spans="1:7" x14ac:dyDescent="0.25">
      <c r="B15" s="4" t="s">
        <v>5</v>
      </c>
      <c r="C15" s="8">
        <v>217728</v>
      </c>
      <c r="D15" s="8">
        <v>226437.12</v>
      </c>
      <c r="E15" s="8">
        <v>230791.67999999999</v>
      </c>
      <c r="F15" s="8">
        <v>233099.5968</v>
      </c>
      <c r="G15" s="8">
        <v>234265.09478399999</v>
      </c>
    </row>
    <row r="16" spans="1:7" x14ac:dyDescent="0.25">
      <c r="B16" s="2"/>
      <c r="C16" s="8"/>
      <c r="D16" s="8"/>
      <c r="E16" s="8"/>
      <c r="F16" s="8"/>
      <c r="G16" s="8"/>
    </row>
    <row r="17" spans="2:7" x14ac:dyDescent="0.25">
      <c r="B17" s="3" t="s">
        <v>6</v>
      </c>
      <c r="C17" s="8"/>
      <c r="D17" s="8"/>
      <c r="E17" s="8"/>
      <c r="F17" s="8"/>
      <c r="G17" s="8"/>
    </row>
    <row r="18" spans="2:7" x14ac:dyDescent="0.25">
      <c r="B18" s="4" t="s">
        <v>3</v>
      </c>
      <c r="C18" s="8">
        <v>-306320</v>
      </c>
      <c r="D18" s="8">
        <v>-453353.6</v>
      </c>
      <c r="E18" s="8">
        <v>-544024.31999999995</v>
      </c>
      <c r="F18" s="8">
        <v>-598426.75199999998</v>
      </c>
      <c r="G18" s="8">
        <v>-628348.08959999995</v>
      </c>
    </row>
    <row r="19" spans="2:7" x14ac:dyDescent="0.25">
      <c r="B19" s="4" t="s">
        <v>4</v>
      </c>
      <c r="C19" s="82">
        <f>+'Sensitivity Analysis'!R8+'Sensitivity Analysis'!R10</f>
        <v>-218800.00000000003</v>
      </c>
      <c r="D19" s="8">
        <v>-323824</v>
      </c>
      <c r="E19" s="8">
        <v>-388588.79999999999</v>
      </c>
      <c r="F19" s="8">
        <v>-427447.68</v>
      </c>
      <c r="G19" s="8">
        <v>-448820.06400000001</v>
      </c>
    </row>
    <row r="20" spans="2:7" x14ac:dyDescent="0.25">
      <c r="B20" s="4" t="s">
        <v>5</v>
      </c>
      <c r="C20" s="8">
        <v>-307687.5</v>
      </c>
      <c r="D20" s="8">
        <v>-319995</v>
      </c>
      <c r="E20" s="8">
        <v>-326148.75</v>
      </c>
      <c r="F20" s="8">
        <v>-329410.23749999999</v>
      </c>
      <c r="G20" s="8">
        <v>-331057.28868749994</v>
      </c>
    </row>
    <row r="24" spans="2:7" x14ac:dyDescent="0.25">
      <c r="D24" s="44"/>
      <c r="E24" s="44"/>
      <c r="F24" s="44"/>
      <c r="G24" s="44"/>
    </row>
    <row r="25" spans="2:7" x14ac:dyDescent="0.25">
      <c r="C25" s="44"/>
      <c r="D25" s="44"/>
      <c r="E25" s="44"/>
      <c r="F25" s="44"/>
      <c r="G25" s="44"/>
    </row>
    <row r="26" spans="2:7" x14ac:dyDescent="0.25">
      <c r="C26" s="44"/>
      <c r="D26" s="44"/>
      <c r="E26" s="44"/>
      <c r="F26" s="44"/>
      <c r="G26" s="44"/>
    </row>
    <row r="29" spans="2:7" x14ac:dyDescent="0.25">
      <c r="C29" s="44"/>
      <c r="D29" s="44"/>
      <c r="E29" s="44"/>
      <c r="F29" s="44"/>
      <c r="G29" s="44"/>
    </row>
    <row r="30" spans="2:7" x14ac:dyDescent="0.25">
      <c r="C30" s="44"/>
      <c r="D30" s="44"/>
      <c r="E30" s="44"/>
      <c r="F30" s="44"/>
      <c r="G30" s="44"/>
    </row>
    <row r="31" spans="2:7" x14ac:dyDescent="0.25">
      <c r="C31" s="44"/>
      <c r="D31" s="44"/>
      <c r="E31" s="44"/>
      <c r="F31" s="44"/>
      <c r="G31" s="44"/>
    </row>
  </sheetData>
  <mergeCells count="1">
    <mergeCell ref="A1:XFD3"/>
  </mergeCells>
  <dataValidations count="1">
    <dataValidation type="list" allowBlank="1" showInputMessage="1" showErrorMessage="1" sqref="C10" xr:uid="{76079205-B38B-4CBD-94AB-EA5842CA1BD5}">
      <formula1>"BEST,BASE,WORST"</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5695-51AA-4049-B08D-211BDFA4DD36}">
  <dimension ref="A1:S36"/>
  <sheetViews>
    <sheetView workbookViewId="0">
      <selection activeCell="O24" sqref="O24"/>
    </sheetView>
  </sheetViews>
  <sheetFormatPr defaultRowHeight="15" x14ac:dyDescent="0.25"/>
  <cols>
    <col min="1" max="1" width="3.85546875" customWidth="1"/>
    <col min="2" max="2" width="4.7109375" customWidth="1"/>
    <col min="3" max="10" width="13.140625" bestFit="1" customWidth="1"/>
    <col min="12" max="12" width="13.140625" bestFit="1" customWidth="1"/>
    <col min="14" max="14" width="34" customWidth="1"/>
    <col min="15" max="15" width="12.85546875" customWidth="1"/>
    <col min="17" max="17" width="32.5703125" customWidth="1"/>
    <col min="18" max="18" width="13.42578125" customWidth="1"/>
  </cols>
  <sheetData>
    <row r="1" spans="1:19" s="97" customFormat="1" x14ac:dyDescent="0.25">
      <c r="A1" s="97" t="s">
        <v>29</v>
      </c>
    </row>
    <row r="2" spans="1:19" s="97" customFormat="1" x14ac:dyDescent="0.25"/>
    <row r="3" spans="1:19" s="97" customFormat="1" x14ac:dyDescent="0.25"/>
    <row r="4" spans="1:19" ht="15.75" thickBot="1" x14ac:dyDescent="0.3"/>
    <row r="5" spans="1:19" ht="16.5" thickBot="1" x14ac:dyDescent="0.3">
      <c r="B5" s="107" t="s">
        <v>64</v>
      </c>
      <c r="C5" s="108"/>
      <c r="D5" s="108"/>
      <c r="E5" s="108"/>
      <c r="F5" s="108"/>
      <c r="G5" s="108"/>
      <c r="H5" s="108"/>
      <c r="I5" s="108"/>
      <c r="J5" s="109"/>
    </row>
    <row r="6" spans="1:19" ht="15.75" thickBot="1" x14ac:dyDescent="0.3">
      <c r="B6" s="42"/>
      <c r="C6" s="39" t="s">
        <v>35</v>
      </c>
      <c r="D6" s="98" t="s">
        <v>67</v>
      </c>
      <c r="E6" s="98"/>
      <c r="F6" s="98"/>
      <c r="G6" s="98"/>
      <c r="H6" s="98"/>
      <c r="I6" s="98"/>
      <c r="J6" s="99"/>
      <c r="N6" s="103" t="s">
        <v>38</v>
      </c>
      <c r="O6" s="104"/>
      <c r="Q6" s="105" t="s">
        <v>30</v>
      </c>
      <c r="R6" s="106"/>
    </row>
    <row r="7" spans="1:19" ht="15.75" thickBot="1" x14ac:dyDescent="0.3">
      <c r="B7" s="41"/>
      <c r="C7" s="40">
        <f>+R11</f>
        <v>53359.999999999971</v>
      </c>
      <c r="D7" s="31">
        <f>+$G$7-($G$7*15%%)</f>
        <v>35946</v>
      </c>
      <c r="E7" s="32">
        <f>+$G$7-($G$7*10%)</f>
        <v>32400</v>
      </c>
      <c r="F7" s="33">
        <f>+G7-(G7*5%)</f>
        <v>34200</v>
      </c>
      <c r="G7" s="34">
        <v>36000</v>
      </c>
      <c r="H7" s="33">
        <f>+G7+(G7*5%)</f>
        <v>37800</v>
      </c>
      <c r="I7" s="33">
        <f>+$G$7+($G$7*10%)</f>
        <v>39600</v>
      </c>
      <c r="J7" s="72">
        <f>+$G$7+($G$7*15%)</f>
        <v>41400</v>
      </c>
      <c r="N7" s="86" t="s">
        <v>39</v>
      </c>
      <c r="O7" s="87">
        <v>36000</v>
      </c>
      <c r="Q7" s="86" t="s">
        <v>31</v>
      </c>
      <c r="R7" s="90">
        <f>+O7*O8</f>
        <v>272160</v>
      </c>
    </row>
    <row r="8" spans="1:19" ht="15" customHeight="1" x14ac:dyDescent="0.25">
      <c r="B8" s="100" t="s">
        <v>43</v>
      </c>
      <c r="C8" s="73">
        <f>+$C$11-$C$11*15%</f>
        <v>6.4260000000000002</v>
      </c>
      <c r="D8" s="28">
        <f t="dataTable" ref="D8:J14" dt2D="1" dtr="1" r1="O7" r2="O8" ca="1"/>
        <v>12434.695999999996</v>
      </c>
      <c r="E8" s="29">
        <v>5782.3999999999651</v>
      </c>
      <c r="F8" s="29">
        <v>9159.1999999999825</v>
      </c>
      <c r="G8" s="29">
        <v>12535.999999999971</v>
      </c>
      <c r="H8" s="29">
        <v>15912.799999999988</v>
      </c>
      <c r="I8" s="29">
        <v>19289.599999999977</v>
      </c>
      <c r="J8" s="74">
        <v>22666.399999999994</v>
      </c>
      <c r="N8" s="18" t="s">
        <v>41</v>
      </c>
      <c r="O8" s="19">
        <v>7.56</v>
      </c>
      <c r="Q8" s="15" t="s">
        <v>32</v>
      </c>
      <c r="R8" s="20">
        <f>+O9*-O7</f>
        <v>-163800.00000000003</v>
      </c>
    </row>
    <row r="9" spans="1:19" x14ac:dyDescent="0.25">
      <c r="B9" s="101"/>
      <c r="C9" s="75">
        <f>+$C$11-$C$11*10%</f>
        <v>6.8039999999999994</v>
      </c>
      <c r="D9" s="30">
        <v>26022.283999999956</v>
      </c>
      <c r="E9" s="35">
        <v>18029.599999999948</v>
      </c>
      <c r="F9" s="35">
        <v>22086.799999999959</v>
      </c>
      <c r="G9" s="35">
        <v>26143.999999999942</v>
      </c>
      <c r="H9" s="35">
        <v>30201.199999999953</v>
      </c>
      <c r="I9" s="35">
        <v>34258.399999999936</v>
      </c>
      <c r="J9" s="76">
        <v>38315.599999999948</v>
      </c>
      <c r="N9" s="18" t="s">
        <v>42</v>
      </c>
      <c r="O9" s="19">
        <f>+'Simplified Budgeting'!C32</f>
        <v>4.5500000000000007</v>
      </c>
      <c r="Q9" s="24" t="s">
        <v>33</v>
      </c>
      <c r="R9" s="26">
        <f>+R7+R8</f>
        <v>108359.99999999997</v>
      </c>
      <c r="S9" s="23">
        <f>+R9/$R$7</f>
        <v>0.39814814814814803</v>
      </c>
    </row>
    <row r="10" spans="1:19" x14ac:dyDescent="0.25">
      <c r="B10" s="101"/>
      <c r="C10" s="75">
        <f>+$C$11-$C$11*5%</f>
        <v>7.1819999999999995</v>
      </c>
      <c r="D10" s="30">
        <v>39609.871999999974</v>
      </c>
      <c r="E10" s="35">
        <v>30276.799999999959</v>
      </c>
      <c r="F10" s="36">
        <v>35014.399999999965</v>
      </c>
      <c r="G10" s="36">
        <v>39751.999999999942</v>
      </c>
      <c r="H10" s="36">
        <v>44489.599999999948</v>
      </c>
      <c r="I10" s="35">
        <v>49227.199999999924</v>
      </c>
      <c r="J10" s="76">
        <v>53964.799999999959</v>
      </c>
      <c r="N10" s="18" t="s">
        <v>34</v>
      </c>
      <c r="O10" s="19">
        <v>55000</v>
      </c>
      <c r="Q10" s="15" t="s">
        <v>34</v>
      </c>
      <c r="R10" s="20">
        <f>-O10</f>
        <v>-55000</v>
      </c>
    </row>
    <row r="11" spans="1:19" x14ac:dyDescent="0.25">
      <c r="B11" s="101"/>
      <c r="C11" s="77">
        <v>7.56</v>
      </c>
      <c r="D11" s="30">
        <v>53197.459999999992</v>
      </c>
      <c r="E11" s="35">
        <v>42523.999999999971</v>
      </c>
      <c r="F11" s="36">
        <v>47941.999999999971</v>
      </c>
      <c r="G11" s="38">
        <v>53359.999999999971</v>
      </c>
      <c r="H11" s="36">
        <v>58777.999999999971</v>
      </c>
      <c r="I11" s="35">
        <v>64195.999999999971</v>
      </c>
      <c r="J11" s="76">
        <v>69613.999999999971</v>
      </c>
      <c r="N11" s="15" t="s">
        <v>36</v>
      </c>
      <c r="O11" s="85">
        <v>12250</v>
      </c>
      <c r="Q11" s="24" t="s">
        <v>35</v>
      </c>
      <c r="R11" s="26">
        <f>+R9+R10</f>
        <v>53359.999999999971</v>
      </c>
      <c r="S11" s="23">
        <f>+R11/$R$7</f>
        <v>0.19606114050558485</v>
      </c>
    </row>
    <row r="12" spans="1:19" x14ac:dyDescent="0.25">
      <c r="B12" s="101"/>
      <c r="C12" s="75">
        <f>+$C$11+$C$11*5%</f>
        <v>7.9379999999999997</v>
      </c>
      <c r="D12" s="30">
        <v>66785.047999999981</v>
      </c>
      <c r="E12" s="35">
        <v>54771.199999999953</v>
      </c>
      <c r="F12" s="36">
        <v>60869.599999999948</v>
      </c>
      <c r="G12" s="36">
        <v>66967.999999999971</v>
      </c>
      <c r="H12" s="36">
        <v>73066.399999999936</v>
      </c>
      <c r="I12" s="35">
        <v>79164.799999999959</v>
      </c>
      <c r="J12" s="76">
        <v>85263.199999999983</v>
      </c>
      <c r="N12" s="84" t="s">
        <v>61</v>
      </c>
      <c r="O12" s="85">
        <v>-597</v>
      </c>
      <c r="Q12" s="15" t="s">
        <v>36</v>
      </c>
      <c r="R12" s="20">
        <f>-O11</f>
        <v>-12250</v>
      </c>
    </row>
    <row r="13" spans="1:19" ht="15.75" thickBot="1" x14ac:dyDescent="0.3">
      <c r="B13" s="101"/>
      <c r="C13" s="75">
        <f>+$C$11+$C$11*10%</f>
        <v>8.3159999999999989</v>
      </c>
      <c r="D13" s="30">
        <v>80372.635999999969</v>
      </c>
      <c r="E13" s="35">
        <v>67018.399999999936</v>
      </c>
      <c r="F13" s="35">
        <v>73797.199999999924</v>
      </c>
      <c r="G13" s="35">
        <v>80575.999999999913</v>
      </c>
      <c r="H13" s="35">
        <v>87354.799999999959</v>
      </c>
      <c r="I13" s="35">
        <v>94133.599999999948</v>
      </c>
      <c r="J13" s="76">
        <v>100912.39999999994</v>
      </c>
      <c r="N13" s="88" t="s">
        <v>62</v>
      </c>
      <c r="O13" s="89">
        <v>0.27900000000000003</v>
      </c>
      <c r="Q13" s="24" t="s">
        <v>37</v>
      </c>
      <c r="R13" s="26">
        <f>+R12+R11</f>
        <v>41109.999999999971</v>
      </c>
    </row>
    <row r="14" spans="1:19" ht="15.75" thickBot="1" x14ac:dyDescent="0.3">
      <c r="B14" s="102"/>
      <c r="C14" s="78">
        <f>+$C$11+$C$11*15%</f>
        <v>8.6939999999999991</v>
      </c>
      <c r="D14" s="79">
        <v>93960.223999999958</v>
      </c>
      <c r="E14" s="80">
        <v>79265.599999999948</v>
      </c>
      <c r="F14" s="80">
        <v>86724.799999999959</v>
      </c>
      <c r="G14" s="80">
        <v>94183.999999999913</v>
      </c>
      <c r="H14" s="80">
        <v>101643.19999999992</v>
      </c>
      <c r="I14" s="80">
        <v>109102.39999999994</v>
      </c>
      <c r="J14" s="81">
        <v>116561.59999999995</v>
      </c>
      <c r="Q14" s="84" t="s">
        <v>61</v>
      </c>
      <c r="R14" s="20">
        <f>+O12</f>
        <v>-597</v>
      </c>
    </row>
    <row r="15" spans="1:19" ht="15.75" thickBot="1" x14ac:dyDescent="0.3">
      <c r="Q15" s="84" t="s">
        <v>60</v>
      </c>
      <c r="R15" s="20">
        <f>IF(R13+R14&gt;0,(R13+R14)*O13*-1,0)</f>
        <v>-11303.126999999993</v>
      </c>
    </row>
    <row r="16" spans="1:19" ht="16.5" thickBot="1" x14ac:dyDescent="0.3">
      <c r="B16" s="107" t="s">
        <v>65</v>
      </c>
      <c r="C16" s="108"/>
      <c r="D16" s="108"/>
      <c r="E16" s="108"/>
      <c r="F16" s="108"/>
      <c r="G16" s="108"/>
      <c r="H16" s="108"/>
      <c r="I16" s="108"/>
      <c r="J16" s="109"/>
      <c r="Q16" s="25" t="s">
        <v>9</v>
      </c>
      <c r="R16" s="27">
        <f>+SUM(R13:R15)</f>
        <v>29209.872999999978</v>
      </c>
      <c r="S16" s="23">
        <f>+R16/$R$7</f>
        <v>0.1073261059670781</v>
      </c>
    </row>
    <row r="17" spans="2:15" ht="15.75" thickBot="1" x14ac:dyDescent="0.3">
      <c r="B17" s="42"/>
      <c r="C17" s="39" t="s">
        <v>37</v>
      </c>
      <c r="D17" s="98" t="s">
        <v>67</v>
      </c>
      <c r="E17" s="98"/>
      <c r="F17" s="98"/>
      <c r="G17" s="98"/>
      <c r="H17" s="98"/>
      <c r="I17" s="98"/>
      <c r="J17" s="99"/>
    </row>
    <row r="18" spans="2:15" ht="15.75" thickBot="1" x14ac:dyDescent="0.3">
      <c r="B18" s="41"/>
      <c r="C18" s="40">
        <f>+R13</f>
        <v>41109.999999999971</v>
      </c>
      <c r="D18" s="31">
        <f>+$G$7-($G$7*15%%)</f>
        <v>35946</v>
      </c>
      <c r="E18" s="32">
        <f>+$G$7-($G$7*10%)</f>
        <v>32400</v>
      </c>
      <c r="F18" s="33">
        <f>+G18-(G18*5%)</f>
        <v>34200</v>
      </c>
      <c r="G18" s="34">
        <v>36000</v>
      </c>
      <c r="H18" s="33">
        <f>+G18+(G18*5%)</f>
        <v>37800</v>
      </c>
      <c r="I18" s="33">
        <f>+$G$7+($G$7*10%)</f>
        <v>39600</v>
      </c>
      <c r="J18" s="72">
        <f>+$G$7+($G$7*15%)</f>
        <v>41400</v>
      </c>
    </row>
    <row r="19" spans="2:15" ht="15" customHeight="1" x14ac:dyDescent="0.25">
      <c r="B19" s="100" t="s">
        <v>43</v>
      </c>
      <c r="C19" s="73">
        <f>+$C$11-$C$11*15%</f>
        <v>6.4260000000000002</v>
      </c>
      <c r="D19" s="28">
        <f t="dataTable" ref="D19:J25" dt2D="1" dtr="1" r1="O7" r2="O8" ca="1"/>
        <v>184.69599999999627</v>
      </c>
      <c r="E19" s="29">
        <v>-6467.6000000000349</v>
      </c>
      <c r="F19" s="29">
        <v>-3090.8000000000175</v>
      </c>
      <c r="G19" s="29">
        <v>285.9999999999709</v>
      </c>
      <c r="H19" s="29">
        <v>3662.7999999999884</v>
      </c>
      <c r="I19" s="29">
        <v>7039.5999999999767</v>
      </c>
      <c r="J19" s="74">
        <v>10416.399999999994</v>
      </c>
    </row>
    <row r="20" spans="2:15" x14ac:dyDescent="0.25">
      <c r="B20" s="101"/>
      <c r="C20" s="75">
        <f>+$C$11-$C$11*10%</f>
        <v>6.8039999999999994</v>
      </c>
      <c r="D20" s="30">
        <v>13772.283999999956</v>
      </c>
      <c r="E20" s="35">
        <v>5779.5999999999476</v>
      </c>
      <c r="F20" s="35">
        <v>9836.7999999999593</v>
      </c>
      <c r="G20" s="35">
        <v>13893.999999999942</v>
      </c>
      <c r="H20" s="35">
        <v>17951.199999999953</v>
      </c>
      <c r="I20" s="35">
        <v>22008.399999999936</v>
      </c>
      <c r="J20" s="76">
        <v>26065.599999999948</v>
      </c>
      <c r="N20" s="21"/>
      <c r="O20" s="21"/>
    </row>
    <row r="21" spans="2:15" x14ac:dyDescent="0.25">
      <c r="B21" s="101"/>
      <c r="C21" s="75">
        <f>+$C$11-$C$11*5%</f>
        <v>7.1819999999999995</v>
      </c>
      <c r="D21" s="30">
        <v>27359.871999999974</v>
      </c>
      <c r="E21" s="35">
        <v>18026.799999999959</v>
      </c>
      <c r="F21" s="36">
        <v>22764.399999999965</v>
      </c>
      <c r="G21" s="36">
        <v>27501.999999999942</v>
      </c>
      <c r="H21" s="36">
        <v>32239.599999999948</v>
      </c>
      <c r="I21" s="35">
        <v>36977.199999999924</v>
      </c>
      <c r="J21" s="76">
        <v>41714.799999999959</v>
      </c>
      <c r="N21" s="21"/>
      <c r="O21" s="21"/>
    </row>
    <row r="22" spans="2:15" x14ac:dyDescent="0.25">
      <c r="B22" s="101"/>
      <c r="C22" s="77">
        <v>7.56</v>
      </c>
      <c r="D22" s="30">
        <v>40947.459999999992</v>
      </c>
      <c r="E22" s="35">
        <v>30273.999999999971</v>
      </c>
      <c r="F22" s="36">
        <v>35691.999999999971</v>
      </c>
      <c r="G22" s="38">
        <v>41109.999999999971</v>
      </c>
      <c r="H22" s="36">
        <v>46527.999999999971</v>
      </c>
      <c r="I22" s="35">
        <v>51945.999999999971</v>
      </c>
      <c r="J22" s="76">
        <v>57363.999999999971</v>
      </c>
    </row>
    <row r="23" spans="2:15" x14ac:dyDescent="0.25">
      <c r="B23" s="101"/>
      <c r="C23" s="75">
        <f>+$C$11+$C$11*5%</f>
        <v>7.9379999999999997</v>
      </c>
      <c r="D23" s="30">
        <v>54535.047999999981</v>
      </c>
      <c r="E23" s="35">
        <v>42521.199999999953</v>
      </c>
      <c r="F23" s="36">
        <v>48619.599999999948</v>
      </c>
      <c r="G23" s="36">
        <v>54717.999999999971</v>
      </c>
      <c r="H23" s="36">
        <v>60816.399999999936</v>
      </c>
      <c r="I23" s="35">
        <v>66914.799999999959</v>
      </c>
      <c r="J23" s="76">
        <v>73013.199999999983</v>
      </c>
    </row>
    <row r="24" spans="2:15" x14ac:dyDescent="0.25">
      <c r="B24" s="101"/>
      <c r="C24" s="75">
        <f>+$C$11+$C$11*10%</f>
        <v>8.3159999999999989</v>
      </c>
      <c r="D24" s="30">
        <v>68122.635999999969</v>
      </c>
      <c r="E24" s="35">
        <v>54768.399999999936</v>
      </c>
      <c r="F24" s="35">
        <v>61547.199999999924</v>
      </c>
      <c r="G24" s="35">
        <v>68325.999999999913</v>
      </c>
      <c r="H24" s="35">
        <v>75104.799999999959</v>
      </c>
      <c r="I24" s="35">
        <v>81883.599999999948</v>
      </c>
      <c r="J24" s="76">
        <v>88662.399999999936</v>
      </c>
    </row>
    <row r="25" spans="2:15" ht="15.75" thickBot="1" x14ac:dyDescent="0.3">
      <c r="B25" s="102"/>
      <c r="C25" s="78">
        <f>+$C$11+$C$11*15%</f>
        <v>8.6939999999999991</v>
      </c>
      <c r="D25" s="79">
        <v>81710.223999999958</v>
      </c>
      <c r="E25" s="80">
        <v>67015.599999999948</v>
      </c>
      <c r="F25" s="80">
        <v>74474.799999999959</v>
      </c>
      <c r="G25" s="80">
        <v>81933.999999999913</v>
      </c>
      <c r="H25" s="80">
        <v>89393.199999999924</v>
      </c>
      <c r="I25" s="80">
        <v>96852.399999999936</v>
      </c>
      <c r="J25" s="81">
        <v>104311.59999999995</v>
      </c>
    </row>
    <row r="26" spans="2:15" ht="15.75" thickBot="1" x14ac:dyDescent="0.3"/>
    <row r="27" spans="2:15" ht="16.5" thickBot="1" x14ac:dyDescent="0.3">
      <c r="B27" s="107" t="s">
        <v>66</v>
      </c>
      <c r="C27" s="108"/>
      <c r="D27" s="108"/>
      <c r="E27" s="108"/>
      <c r="F27" s="108"/>
      <c r="G27" s="108"/>
      <c r="H27" s="108"/>
      <c r="I27" s="108"/>
      <c r="J27" s="109"/>
    </row>
    <row r="28" spans="2:15" ht="15.75" thickBot="1" x14ac:dyDescent="0.3">
      <c r="B28" s="42"/>
      <c r="C28" s="39" t="s">
        <v>63</v>
      </c>
      <c r="D28" s="98" t="s">
        <v>67</v>
      </c>
      <c r="E28" s="98"/>
      <c r="F28" s="98"/>
      <c r="G28" s="98"/>
      <c r="H28" s="98"/>
      <c r="I28" s="98"/>
      <c r="J28" s="99"/>
    </row>
    <row r="29" spans="2:15" ht="15.75" thickBot="1" x14ac:dyDescent="0.3">
      <c r="B29" s="41"/>
      <c r="C29" s="40">
        <f>+R16</f>
        <v>29209.872999999978</v>
      </c>
      <c r="D29" s="31">
        <f>+$G$7-($G$7*15%%)</f>
        <v>35946</v>
      </c>
      <c r="E29" s="32">
        <f>+$G$7-($G$7*10%)</f>
        <v>32400</v>
      </c>
      <c r="F29" s="33">
        <f>+G29-(G29*5%)</f>
        <v>34200</v>
      </c>
      <c r="G29" s="34">
        <v>36000</v>
      </c>
      <c r="H29" s="33">
        <f>+G29+(G29*5%)</f>
        <v>37800</v>
      </c>
      <c r="I29" s="33">
        <f>+$G$7+($G$7*10%)</f>
        <v>39600</v>
      </c>
      <c r="J29" s="72">
        <f>+$G$7+($G$7*15%)</f>
        <v>41400</v>
      </c>
    </row>
    <row r="30" spans="2:15" ht="15" customHeight="1" x14ac:dyDescent="0.25">
      <c r="B30" s="100" t="s">
        <v>43</v>
      </c>
      <c r="C30" s="73">
        <f>+$C$11-$C$11*15%</f>
        <v>6.4260000000000002</v>
      </c>
      <c r="D30" s="28">
        <f t="dataTable" ref="D30:J36" dt2D="1" dtr="1" r1="O7" r2="O8"/>
        <v>-412.30400000000373</v>
      </c>
      <c r="E30" s="29">
        <v>-7064.6000000000349</v>
      </c>
      <c r="F30" s="29">
        <v>-3687.8000000000175</v>
      </c>
      <c r="G30" s="29">
        <v>-311.0000000000291</v>
      </c>
      <c r="H30" s="29">
        <v>2210.4417999999914</v>
      </c>
      <c r="I30" s="29">
        <v>4645.1145999999826</v>
      </c>
      <c r="J30" s="74">
        <v>7079.7873999999956</v>
      </c>
    </row>
    <row r="31" spans="2:15" x14ac:dyDescent="0.25">
      <c r="B31" s="101"/>
      <c r="C31" s="75">
        <f>+$C$11-$C$11*10%</f>
        <v>6.8039999999999994</v>
      </c>
      <c r="D31" s="30">
        <v>9499.3797639999684</v>
      </c>
      <c r="E31" s="35">
        <v>3736.6545999999621</v>
      </c>
      <c r="F31" s="35">
        <v>6661.8957999999702</v>
      </c>
      <c r="G31" s="35">
        <v>9587.1369999999588</v>
      </c>
      <c r="H31" s="35">
        <v>12512.378199999966</v>
      </c>
      <c r="I31" s="35">
        <v>15437.619399999952</v>
      </c>
      <c r="J31" s="76">
        <v>18362.860599999964</v>
      </c>
    </row>
    <row r="32" spans="2:15" x14ac:dyDescent="0.25">
      <c r="B32" s="101"/>
      <c r="C32" s="75">
        <f>+$C$11-$C$11*5%</f>
        <v>7.1819999999999995</v>
      </c>
      <c r="D32" s="30">
        <v>19296.030711999982</v>
      </c>
      <c r="E32" s="35">
        <v>12566.885799999971</v>
      </c>
      <c r="F32" s="36">
        <v>15982.695399999975</v>
      </c>
      <c r="G32" s="36">
        <v>19398.504999999957</v>
      </c>
      <c r="H32" s="36">
        <v>22814.314599999962</v>
      </c>
      <c r="I32" s="35">
        <v>26230.124199999944</v>
      </c>
      <c r="J32" s="76">
        <v>29645.93379999997</v>
      </c>
    </row>
    <row r="33" spans="2:10" x14ac:dyDescent="0.25">
      <c r="B33" s="101"/>
      <c r="C33" s="77">
        <v>7.56</v>
      </c>
      <c r="D33" s="30">
        <v>29092.681659999995</v>
      </c>
      <c r="E33" s="35">
        <v>21397.116999999977</v>
      </c>
      <c r="F33" s="36">
        <v>25303.494999999981</v>
      </c>
      <c r="G33" s="38">
        <v>29209.872999999978</v>
      </c>
      <c r="H33" s="36">
        <v>33116.250999999975</v>
      </c>
      <c r="I33" s="35">
        <v>37022.628999999979</v>
      </c>
      <c r="J33" s="76">
        <v>40929.006999999976</v>
      </c>
    </row>
    <row r="34" spans="2:10" x14ac:dyDescent="0.25">
      <c r="B34" s="101"/>
      <c r="C34" s="75">
        <f>+$C$11+$C$11*5%</f>
        <v>7.9379999999999997</v>
      </c>
      <c r="D34" s="30">
        <v>38889.332607999982</v>
      </c>
      <c r="E34" s="35">
        <v>30227.348199999964</v>
      </c>
      <c r="F34" s="36">
        <v>34624.294599999965</v>
      </c>
      <c r="G34" s="36">
        <v>39021.24099999998</v>
      </c>
      <c r="H34" s="36">
        <v>43418.187399999952</v>
      </c>
      <c r="I34" s="35">
        <v>47815.133799999967</v>
      </c>
      <c r="J34" s="76">
        <v>52212.080199999982</v>
      </c>
    </row>
    <row r="35" spans="2:10" x14ac:dyDescent="0.25">
      <c r="B35" s="101"/>
      <c r="C35" s="75">
        <f>+$C$11+$C$11*10%</f>
        <v>8.3159999999999989</v>
      </c>
      <c r="D35" s="30">
        <v>48685.983555999977</v>
      </c>
      <c r="E35" s="35">
        <v>39057.579399999951</v>
      </c>
      <c r="F35" s="35">
        <v>43945.094199999949</v>
      </c>
      <c r="G35" s="35">
        <v>48832.608999999939</v>
      </c>
      <c r="H35" s="35">
        <v>53720.123799999972</v>
      </c>
      <c r="I35" s="35">
        <v>58607.638599999962</v>
      </c>
      <c r="J35" s="76">
        <v>63495.153399999952</v>
      </c>
    </row>
    <row r="36" spans="2:10" ht="15.75" thickBot="1" x14ac:dyDescent="0.3">
      <c r="B36" s="102"/>
      <c r="C36" s="78">
        <f>+$C$11+$C$11*15%</f>
        <v>8.6939999999999991</v>
      </c>
      <c r="D36" s="79">
        <v>58482.634503999972</v>
      </c>
      <c r="E36" s="80">
        <v>47887.810599999961</v>
      </c>
      <c r="F36" s="80">
        <v>53265.893799999969</v>
      </c>
      <c r="G36" s="80">
        <v>58643.976999999933</v>
      </c>
      <c r="H36" s="80">
        <v>64022.060199999942</v>
      </c>
      <c r="I36" s="80">
        <v>69400.143399999943</v>
      </c>
      <c r="J36" s="81">
        <v>74778.226599999965</v>
      </c>
    </row>
  </sheetData>
  <mergeCells count="12">
    <mergeCell ref="D28:J28"/>
    <mergeCell ref="B30:B36"/>
    <mergeCell ref="A1:XFD3"/>
    <mergeCell ref="D6:J6"/>
    <mergeCell ref="N6:O6"/>
    <mergeCell ref="Q6:R6"/>
    <mergeCell ref="B8:B14"/>
    <mergeCell ref="B5:J5"/>
    <mergeCell ref="B27:J27"/>
    <mergeCell ref="B16:J16"/>
    <mergeCell ref="D17:J17"/>
    <mergeCell ref="B19:B25"/>
  </mergeCells>
  <pageMargins left="0.7" right="0.7" top="0.75" bottom="0.75" header="0.3" footer="0.3"/>
  <ignoredErrors>
    <ignoredError sqref="R10"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AFDC8-1504-496C-BF2A-E9CF6DC9E626}">
  <dimension ref="A1:Q33"/>
  <sheetViews>
    <sheetView workbookViewId="0">
      <selection sqref="A1:XFD3"/>
    </sheetView>
  </sheetViews>
  <sheetFormatPr defaultRowHeight="15" x14ac:dyDescent="0.25"/>
  <cols>
    <col min="2" max="2" width="19.42578125" customWidth="1"/>
    <col min="3" max="3" width="14.85546875" customWidth="1"/>
    <col min="4" max="4" width="11.85546875" customWidth="1"/>
    <col min="5" max="5" width="19.42578125" customWidth="1"/>
    <col min="6" max="6" width="14.85546875" customWidth="1"/>
    <col min="7" max="7" width="11.85546875" customWidth="1"/>
    <col min="8" max="8" width="19.42578125" customWidth="1"/>
    <col min="9" max="9" width="14.85546875" customWidth="1"/>
    <col min="10" max="10" width="11.85546875" customWidth="1"/>
    <col min="11" max="11" width="19.42578125" customWidth="1"/>
    <col min="12" max="12" width="14.85546875" customWidth="1"/>
  </cols>
  <sheetData>
    <row r="1" spans="1:17" s="97" customFormat="1" x14ac:dyDescent="0.25">
      <c r="A1" s="97" t="s">
        <v>50</v>
      </c>
    </row>
    <row r="2" spans="1:17" s="97" customFormat="1" x14ac:dyDescent="0.25"/>
    <row r="3" spans="1:17" s="97" customFormat="1" x14ac:dyDescent="0.25"/>
    <row r="5" spans="1:17" x14ac:dyDescent="0.25">
      <c r="B5" s="11"/>
      <c r="C5" t="s">
        <v>54</v>
      </c>
    </row>
    <row r="6" spans="1:17" x14ac:dyDescent="0.25">
      <c r="B6" s="43"/>
      <c r="C6" t="s">
        <v>44</v>
      </c>
    </row>
    <row r="7" spans="1:17" ht="15.75" thickBot="1" x14ac:dyDescent="0.3"/>
    <row r="8" spans="1:17" ht="15.75" thickBot="1" x14ac:dyDescent="0.3">
      <c r="B8" s="110" t="s">
        <v>48</v>
      </c>
      <c r="C8" s="111"/>
      <c r="D8" s="111"/>
      <c r="E8" s="111"/>
      <c r="F8" s="111"/>
      <c r="G8" s="111"/>
      <c r="H8" s="111"/>
      <c r="I8" s="111"/>
      <c r="J8" s="111"/>
      <c r="K8" s="111"/>
      <c r="L8" s="112"/>
    </row>
    <row r="9" spans="1:17" x14ac:dyDescent="0.25">
      <c r="B9" s="117" t="s">
        <v>14</v>
      </c>
      <c r="C9" s="118"/>
      <c r="D9" s="21"/>
      <c r="E9" s="118" t="s">
        <v>15</v>
      </c>
      <c r="F9" s="118"/>
      <c r="G9" s="21"/>
      <c r="H9" s="118" t="s">
        <v>16</v>
      </c>
      <c r="I9" s="118"/>
      <c r="J9" s="21"/>
      <c r="K9" s="118" t="s">
        <v>17</v>
      </c>
      <c r="L9" s="119"/>
    </row>
    <row r="10" spans="1:17" x14ac:dyDescent="0.25">
      <c r="B10" s="50" t="s">
        <v>45</v>
      </c>
      <c r="C10" s="51">
        <v>8.1417624521072859E-2</v>
      </c>
      <c r="D10" s="21"/>
      <c r="E10" s="52" t="s">
        <v>45</v>
      </c>
      <c r="F10" s="53">
        <v>0.06</v>
      </c>
      <c r="G10" s="21"/>
      <c r="H10" s="52" t="s">
        <v>45</v>
      </c>
      <c r="I10" s="53">
        <v>0.06</v>
      </c>
      <c r="J10" s="21"/>
      <c r="K10" s="52" t="s">
        <v>45</v>
      </c>
      <c r="L10" s="54">
        <v>0.06</v>
      </c>
    </row>
    <row r="11" spans="1:17" x14ac:dyDescent="0.25">
      <c r="B11" s="50" t="s">
        <v>18</v>
      </c>
      <c r="C11" s="55">
        <f>26100/4250</f>
        <v>6.1411764705882357</v>
      </c>
      <c r="D11" s="21"/>
      <c r="E11" s="55" t="s">
        <v>18</v>
      </c>
      <c r="F11" s="55">
        <f>26100/4250</f>
        <v>6.1411764705882357</v>
      </c>
      <c r="G11" s="21"/>
      <c r="H11" s="52" t="s">
        <v>19</v>
      </c>
      <c r="I11" s="52">
        <v>6</v>
      </c>
      <c r="J11" s="21"/>
      <c r="K11" s="52" t="s">
        <v>19</v>
      </c>
      <c r="L11" s="56">
        <v>6</v>
      </c>
    </row>
    <row r="12" spans="1:17" x14ac:dyDescent="0.25">
      <c r="B12" s="50" t="s">
        <v>20</v>
      </c>
      <c r="C12" s="57">
        <f>+'Sensitivity Analysis'!O7</f>
        <v>36000</v>
      </c>
      <c r="D12" s="21"/>
      <c r="E12" s="55" t="s">
        <v>20</v>
      </c>
      <c r="F12" s="57">
        <f>+'Sensitivity Analysis'!O7</f>
        <v>36000</v>
      </c>
      <c r="G12" s="21"/>
      <c r="H12" s="55" t="s">
        <v>20</v>
      </c>
      <c r="I12" s="57">
        <f>+'Sensitivity Analysis'!O7</f>
        <v>36000</v>
      </c>
      <c r="J12" s="21"/>
      <c r="K12" s="52" t="s">
        <v>21</v>
      </c>
      <c r="L12" s="58">
        <v>40000</v>
      </c>
    </row>
    <row r="13" spans="1:17" x14ac:dyDescent="0.25">
      <c r="B13" s="15"/>
      <c r="C13" s="21"/>
      <c r="D13" s="21"/>
      <c r="E13" s="21"/>
      <c r="F13" s="21"/>
      <c r="G13" s="21"/>
      <c r="H13" s="21"/>
      <c r="I13" s="21"/>
      <c r="J13" s="21"/>
      <c r="K13" s="21"/>
      <c r="L13" s="16"/>
      <c r="Q13" s="1"/>
    </row>
    <row r="14" spans="1:17" ht="6" customHeight="1" x14ac:dyDescent="0.25">
      <c r="B14" s="15"/>
      <c r="C14" s="21"/>
      <c r="D14" s="21"/>
      <c r="E14" s="21"/>
      <c r="F14" s="21"/>
      <c r="G14" s="21"/>
      <c r="H14" s="21"/>
      <c r="I14" s="21"/>
      <c r="J14" s="21"/>
      <c r="K14" s="21"/>
      <c r="L14" s="16"/>
    </row>
    <row r="15" spans="1:17" x14ac:dyDescent="0.25">
      <c r="B15" s="15" t="s">
        <v>22</v>
      </c>
      <c r="C15" s="59">
        <f>+C10*C11*C12</f>
        <v>18000.000000000015</v>
      </c>
      <c r="D15" s="21"/>
      <c r="E15" s="21" t="s">
        <v>22</v>
      </c>
      <c r="F15" s="59">
        <f>+F10*F11*F12</f>
        <v>13264.941176470587</v>
      </c>
      <c r="G15" s="21"/>
      <c r="H15" s="21" t="s">
        <v>22</v>
      </c>
      <c r="I15" s="59">
        <f>+I10*I11*I12</f>
        <v>12960</v>
      </c>
      <c r="J15" s="21"/>
      <c r="K15" s="21" t="s">
        <v>22</v>
      </c>
      <c r="L15" s="60">
        <f>+L10*L11*L12</f>
        <v>14400</v>
      </c>
    </row>
    <row r="16" spans="1:17" ht="15.75" thickBot="1" x14ac:dyDescent="0.3">
      <c r="B16" s="22"/>
      <c r="C16" s="61"/>
      <c r="D16" s="62">
        <f>+C15-F15</f>
        <v>4735.0588235294272</v>
      </c>
      <c r="E16" s="62" t="s">
        <v>55</v>
      </c>
      <c r="F16" s="61"/>
      <c r="G16" s="62">
        <f>+F15-I15</f>
        <v>304.94117647058738</v>
      </c>
      <c r="H16" s="62" t="s">
        <v>55</v>
      </c>
      <c r="I16" s="61"/>
      <c r="J16" s="62">
        <f>+I15-L15</f>
        <v>-1440</v>
      </c>
      <c r="K16" s="62" t="s">
        <v>56</v>
      </c>
      <c r="L16" s="17"/>
    </row>
    <row r="18" spans="2:17" ht="15.75" thickBot="1" x14ac:dyDescent="0.3"/>
    <row r="19" spans="2:17" ht="15.75" thickBot="1" x14ac:dyDescent="0.3">
      <c r="B19" s="110" t="s">
        <v>49</v>
      </c>
      <c r="C19" s="111"/>
      <c r="D19" s="111"/>
      <c r="E19" s="111"/>
      <c r="F19" s="111"/>
      <c r="G19" s="111"/>
      <c r="H19" s="111"/>
      <c r="I19" s="111"/>
      <c r="J19" s="111"/>
      <c r="K19" s="111"/>
      <c r="L19" s="112"/>
    </row>
    <row r="20" spans="2:17" x14ac:dyDescent="0.25">
      <c r="B20" s="117" t="s">
        <v>14</v>
      </c>
      <c r="C20" s="118"/>
      <c r="D20" s="21"/>
      <c r="E20" s="118" t="s">
        <v>15</v>
      </c>
      <c r="F20" s="118"/>
      <c r="G20" s="21"/>
      <c r="H20" s="118" t="s">
        <v>16</v>
      </c>
      <c r="I20" s="118"/>
      <c r="J20" s="21"/>
      <c r="K20" s="118" t="s">
        <v>17</v>
      </c>
      <c r="L20" s="119"/>
    </row>
    <row r="21" spans="2:17" x14ac:dyDescent="0.25">
      <c r="B21" s="50" t="s">
        <v>23</v>
      </c>
      <c r="C21" s="51">
        <v>27</v>
      </c>
      <c r="D21" s="21"/>
      <c r="E21" s="52" t="s">
        <v>24</v>
      </c>
      <c r="F21" s="53">
        <v>28.3</v>
      </c>
      <c r="G21" s="21"/>
      <c r="H21" s="52" t="s">
        <v>24</v>
      </c>
      <c r="I21" s="53">
        <v>28.3</v>
      </c>
      <c r="J21" s="21"/>
      <c r="K21" s="52" t="s">
        <v>24</v>
      </c>
      <c r="L21" s="54">
        <v>28.3</v>
      </c>
    </row>
    <row r="22" spans="2:17" x14ac:dyDescent="0.25">
      <c r="B22" s="50" t="s">
        <v>18</v>
      </c>
      <c r="C22" s="55">
        <v>0.15</v>
      </c>
      <c r="D22" s="21"/>
      <c r="E22" s="55" t="s">
        <v>18</v>
      </c>
      <c r="F22" s="55">
        <v>0.15</v>
      </c>
      <c r="G22" s="21"/>
      <c r="H22" s="52" t="s">
        <v>19</v>
      </c>
      <c r="I22" s="52">
        <v>0.18</v>
      </c>
      <c r="J22" s="21"/>
      <c r="K22" s="52" t="s">
        <v>19</v>
      </c>
      <c r="L22" s="56">
        <v>0.18</v>
      </c>
    </row>
    <row r="23" spans="2:17" x14ac:dyDescent="0.25">
      <c r="B23" s="50" t="s">
        <v>20</v>
      </c>
      <c r="C23" s="57">
        <f>+'Sensitivity Analysis'!O7</f>
        <v>36000</v>
      </c>
      <c r="D23" s="21"/>
      <c r="E23" s="55" t="s">
        <v>20</v>
      </c>
      <c r="F23" s="57">
        <f>+'Sensitivity Analysis'!O7</f>
        <v>36000</v>
      </c>
      <c r="G23" s="21"/>
      <c r="H23" s="55" t="s">
        <v>20</v>
      </c>
      <c r="I23" s="57">
        <f>+'Sensitivity Analysis'!O7</f>
        <v>36000</v>
      </c>
      <c r="J23" s="21"/>
      <c r="K23" s="52" t="s">
        <v>21</v>
      </c>
      <c r="L23" s="58">
        <v>40000</v>
      </c>
      <c r="Q23" s="1"/>
    </row>
    <row r="24" spans="2:17" s="12" customFormat="1" x14ac:dyDescent="0.25">
      <c r="B24" s="15"/>
      <c r="C24" s="21"/>
      <c r="D24" s="63"/>
      <c r="E24" s="21"/>
      <c r="F24" s="21"/>
      <c r="G24" s="63"/>
      <c r="H24" s="21"/>
      <c r="I24" s="21"/>
      <c r="J24" s="63"/>
      <c r="K24" s="63"/>
      <c r="L24" s="64"/>
    </row>
    <row r="25" spans="2:17" ht="6" customHeight="1" x14ac:dyDescent="0.25">
      <c r="B25" s="15"/>
      <c r="C25" s="21"/>
      <c r="D25" s="21"/>
      <c r="E25" s="21"/>
      <c r="F25" s="21"/>
      <c r="G25" s="21"/>
      <c r="H25" s="21"/>
      <c r="I25" s="21"/>
      <c r="J25" s="21"/>
      <c r="K25" s="21"/>
      <c r="L25" s="16"/>
    </row>
    <row r="26" spans="2:17" x14ac:dyDescent="0.25">
      <c r="B26" s="15" t="s">
        <v>25</v>
      </c>
      <c r="C26" s="59">
        <f>+C21*C22*C23</f>
        <v>145800</v>
      </c>
      <c r="D26" s="21"/>
      <c r="E26" s="21" t="s">
        <v>25</v>
      </c>
      <c r="F26" s="59">
        <f>+F21*F22*F23</f>
        <v>152820</v>
      </c>
      <c r="G26" s="21"/>
      <c r="H26" s="21" t="s">
        <v>25</v>
      </c>
      <c r="I26" s="59">
        <f>+I21*I22*I23</f>
        <v>183384</v>
      </c>
      <c r="J26" s="21"/>
      <c r="K26" s="21" t="s">
        <v>25</v>
      </c>
      <c r="L26" s="60">
        <f>+L21*L22*L23</f>
        <v>203760</v>
      </c>
    </row>
    <row r="27" spans="2:17" ht="15.75" thickBot="1" x14ac:dyDescent="0.3">
      <c r="B27" s="22"/>
      <c r="C27" s="61"/>
      <c r="D27" s="62">
        <f>+C26-F26</f>
        <v>-7020</v>
      </c>
      <c r="E27" s="62" t="s">
        <v>56</v>
      </c>
      <c r="F27" s="62"/>
      <c r="G27" s="62">
        <f>+F26-I26</f>
        <v>-30564</v>
      </c>
      <c r="H27" s="62" t="s">
        <v>56</v>
      </c>
      <c r="I27" s="62"/>
      <c r="J27" s="62">
        <f>+I26-L26</f>
        <v>-20376</v>
      </c>
      <c r="K27" s="62" t="s">
        <v>56</v>
      </c>
      <c r="L27" s="17"/>
    </row>
    <row r="28" spans="2:17" ht="15.75" thickBot="1" x14ac:dyDescent="0.3"/>
    <row r="29" spans="2:17" ht="15.75" thickBot="1" x14ac:dyDescent="0.3">
      <c r="B29" s="113" t="s">
        <v>14</v>
      </c>
      <c r="C29" s="114"/>
      <c r="E29" s="115" t="s">
        <v>51</v>
      </c>
      <c r="F29" s="116"/>
      <c r="H29" s="113" t="s">
        <v>52</v>
      </c>
      <c r="I29" s="114"/>
      <c r="K29" s="115" t="s">
        <v>53</v>
      </c>
      <c r="L29" s="116"/>
    </row>
    <row r="30" spans="2:17" x14ac:dyDescent="0.25">
      <c r="B30" s="65" t="s">
        <v>46</v>
      </c>
      <c r="C30" s="70">
        <f>+C10*C11</f>
        <v>0.50000000000000044</v>
      </c>
      <c r="E30" s="45" t="s">
        <v>46</v>
      </c>
      <c r="F30" s="46">
        <f>+F10*F11</f>
        <v>0.36847058823529411</v>
      </c>
      <c r="H30" s="45" t="s">
        <v>46</v>
      </c>
      <c r="I30" s="46">
        <f>+I10*I11</f>
        <v>0.36</v>
      </c>
      <c r="K30" s="45" t="s">
        <v>46</v>
      </c>
      <c r="L30" s="46">
        <f>+L10*L11</f>
        <v>0.36</v>
      </c>
    </row>
    <row r="31" spans="2:17" x14ac:dyDescent="0.25">
      <c r="B31" s="66" t="s">
        <v>47</v>
      </c>
      <c r="C31" s="68">
        <f>+C22*C21</f>
        <v>4.05</v>
      </c>
      <c r="E31" s="47" t="s">
        <v>47</v>
      </c>
      <c r="F31" s="48">
        <f>+F22*F21</f>
        <v>4.2450000000000001</v>
      </c>
      <c r="H31" s="47" t="s">
        <v>47</v>
      </c>
      <c r="I31" s="48">
        <f>+I22*I21</f>
        <v>5.0940000000000003</v>
      </c>
      <c r="K31" s="47" t="s">
        <v>47</v>
      </c>
      <c r="L31" s="48">
        <f>+L22*L21</f>
        <v>5.0940000000000003</v>
      </c>
    </row>
    <row r="32" spans="2:17" x14ac:dyDescent="0.25">
      <c r="B32" s="66" t="s">
        <v>40</v>
      </c>
      <c r="C32" s="71">
        <f>+C30+C31</f>
        <v>4.5500000000000007</v>
      </c>
      <c r="E32" s="47" t="s">
        <v>40</v>
      </c>
      <c r="F32" s="48">
        <f>+F30+F31</f>
        <v>4.6134705882352947</v>
      </c>
      <c r="H32" s="47" t="s">
        <v>40</v>
      </c>
      <c r="I32" s="48">
        <f>+I30+I31</f>
        <v>5.4540000000000006</v>
      </c>
      <c r="K32" s="47" t="s">
        <v>40</v>
      </c>
      <c r="L32" s="48">
        <f>+L30+L31</f>
        <v>5.4540000000000006</v>
      </c>
    </row>
    <row r="33" spans="2:12" ht="15.75" thickBot="1" x14ac:dyDescent="0.3">
      <c r="B33" s="67" t="s">
        <v>57</v>
      </c>
      <c r="C33" s="69">
        <f>+C26+C15</f>
        <v>163800</v>
      </c>
      <c r="E33" s="67" t="s">
        <v>57</v>
      </c>
      <c r="F33" s="49">
        <f>+F26+F15</f>
        <v>166084.9411764706</v>
      </c>
      <c r="H33" s="67" t="s">
        <v>57</v>
      </c>
      <c r="I33" s="49">
        <f>+I26+I15</f>
        <v>196344</v>
      </c>
      <c r="K33" s="67" t="s">
        <v>57</v>
      </c>
      <c r="L33" s="49">
        <f>+L26+L15</f>
        <v>218160</v>
      </c>
    </row>
  </sheetData>
  <mergeCells count="15">
    <mergeCell ref="B8:L8"/>
    <mergeCell ref="B19:L19"/>
    <mergeCell ref="A1:XFD3"/>
    <mergeCell ref="B29:C29"/>
    <mergeCell ref="E29:F29"/>
    <mergeCell ref="H29:I29"/>
    <mergeCell ref="K29:L29"/>
    <mergeCell ref="B9:C9"/>
    <mergeCell ref="E9:F9"/>
    <mergeCell ref="H9:I9"/>
    <mergeCell ref="K9:L9"/>
    <mergeCell ref="B20:C20"/>
    <mergeCell ref="E20:F20"/>
    <mergeCell ref="H20:I20"/>
    <mergeCell ref="K20:L20"/>
  </mergeCells>
  <conditionalFormatting sqref="D16 G16 J16 J27 G27 D27">
    <cfRule type="cellIs" dxfId="1" priority="1" operator="greaterThan">
      <formula>0</formula>
    </cfRule>
    <cfRule type="cellIs" dxfId="0" priority="2" operator="less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readMe</vt:lpstr>
      <vt:lpstr>Scenarios Analysis</vt:lpstr>
      <vt:lpstr>Sensitivity Analysis</vt:lpstr>
      <vt:lpstr>Simplified Budgeting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2023-11-02T13:54:39Z</dcterms:modified>
</cp:coreProperties>
</file>