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edrolet/Library/Mobile Documents/com~apple~CloudDocs/HEC/Session 4/# Placements/"/>
    </mc:Choice>
  </mc:AlternateContent>
  <xr:revisionPtr revIDLastSave="0" documentId="13_ncr:1_{EB3E23DF-A592-2846-AE4C-962C50F4DAF7}" xr6:coauthVersionLast="47" xr6:coauthVersionMax="47" xr10:uidLastSave="{00000000-0000-0000-0000-000000000000}"/>
  <bookViews>
    <workbookView xWindow="0" yWindow="500" windowWidth="28800" windowHeight="17500" activeTab="2" xr2:uid="{7FAEB4D3-05F3-4DEC-8321-D679BEE3239C}"/>
  </bookViews>
  <sheets>
    <sheet name="Beta" sheetId="1" r:id="rId1"/>
    <sheet name="Modèle" sheetId="4" r:id="rId2"/>
    <sheet name="Analyse Compagnie" sheetId="6" r:id="rId3"/>
  </sheets>
  <definedNames>
    <definedName name="_xlnm._FilterDatabase" localSheetId="0" hidden="1">Beta!$B$9:$E$70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2" i="4" l="1"/>
  <c r="F18" i="6"/>
  <c r="G18" i="6"/>
  <c r="C5" i="4"/>
  <c r="C8" i="4"/>
  <c r="G5" i="4"/>
  <c r="G8" i="4"/>
  <c r="E5" i="4"/>
  <c r="E8" i="4"/>
  <c r="I65" i="4"/>
  <c r="I31" i="4"/>
  <c r="J16" i="6"/>
  <c r="J14" i="6"/>
  <c r="J12" i="6"/>
  <c r="J10" i="6"/>
  <c r="J19" i="6"/>
  <c r="R7" i="6"/>
  <c r="R8" i="6" s="1"/>
  <c r="R11" i="6"/>
  <c r="J23" i="6"/>
  <c r="F22" i="6"/>
  <c r="G22" i="6" s="1"/>
  <c r="H22" i="6" s="1"/>
  <c r="I22" i="6" s="1"/>
  <c r="R9" i="6"/>
  <c r="I9" i="6" s="1"/>
  <c r="Q9" i="6"/>
  <c r="H9" i="6" s="1"/>
  <c r="H15" i="6"/>
  <c r="G15" i="6"/>
  <c r="F15" i="6"/>
  <c r="E15" i="6"/>
  <c r="D15" i="6"/>
  <c r="Q8" i="6"/>
  <c r="P8" i="6"/>
  <c r="O8" i="6"/>
  <c r="N8" i="6"/>
  <c r="D14" i="6"/>
  <c r="H13" i="6"/>
  <c r="G13" i="6"/>
  <c r="F13" i="6"/>
  <c r="E13" i="6"/>
  <c r="D13" i="6"/>
  <c r="G11" i="6"/>
  <c r="F11" i="6"/>
  <c r="E11" i="6"/>
  <c r="D11" i="6"/>
  <c r="G9" i="6"/>
  <c r="F9" i="6"/>
  <c r="E9" i="6"/>
  <c r="D9" i="6"/>
  <c r="F8" i="6"/>
  <c r="G8" i="6" s="1"/>
  <c r="I5" i="6"/>
  <c r="E3" i="6"/>
  <c r="F3" i="6" s="1"/>
  <c r="B5" i="4"/>
  <c r="D5" i="4"/>
  <c r="K11" i="4"/>
  <c r="K10" i="4"/>
  <c r="H33" i="4"/>
  <c r="K3" i="4" s="1"/>
  <c r="B6" i="4" l="1"/>
  <c r="G6" i="4"/>
  <c r="E6" i="4"/>
  <c r="F6" i="4"/>
  <c r="I13" i="6"/>
  <c r="J13" i="6" s="1"/>
  <c r="I15" i="6"/>
  <c r="J15" i="6" s="1"/>
  <c r="I11" i="6"/>
  <c r="J9" i="6"/>
  <c r="H11" i="6"/>
  <c r="J11" i="6" l="1"/>
  <c r="K2" i="4"/>
  <c r="K66" i="4"/>
  <c r="D73" i="4" l="1"/>
  <c r="C73" i="4" s="1"/>
  <c r="D55" i="4"/>
  <c r="C55" i="4" s="1"/>
  <c r="F55" i="4"/>
  <c r="G55" i="4" s="1"/>
  <c r="D64" i="4"/>
  <c r="C64" i="4" s="1"/>
  <c r="F64" i="4"/>
  <c r="G64" i="4" s="1"/>
  <c r="F73" i="4"/>
  <c r="G73" i="4" s="1"/>
  <c r="G84" i="4"/>
  <c r="G83" i="4"/>
  <c r="G82" i="4"/>
  <c r="E84" i="4"/>
  <c r="E83" i="4"/>
  <c r="E82" i="4"/>
  <c r="K19" i="4"/>
  <c r="B77" i="4"/>
  <c r="B78" i="4" s="1"/>
  <c r="B75" i="4"/>
  <c r="B74" i="4" s="1"/>
  <c r="B68" i="4"/>
  <c r="B69" i="4" s="1"/>
  <c r="B66" i="4"/>
  <c r="B65" i="4" s="1"/>
  <c r="G4" i="4"/>
  <c r="F4" i="4"/>
  <c r="E4" i="4"/>
  <c r="D4" i="4"/>
  <c r="B19" i="4"/>
  <c r="C19" i="4" s="1"/>
  <c r="D19" i="4" s="1"/>
  <c r="E19" i="4" s="1"/>
  <c r="F19" i="4" s="1"/>
  <c r="G19" i="4" s="1"/>
  <c r="H19" i="4" s="1"/>
  <c r="H34" i="4"/>
  <c r="H35" i="4"/>
  <c r="K4" i="4" s="1"/>
  <c r="H32" i="4"/>
  <c r="K12" i="4"/>
  <c r="C4" i="4"/>
  <c r="B4" i="4"/>
  <c r="F5" i="4"/>
  <c r="C6" i="4"/>
  <c r="D6" i="4" s="1"/>
  <c r="C15" i="4"/>
  <c r="D15" i="4" s="1"/>
  <c r="E15" i="4" s="1"/>
  <c r="H12" i="4"/>
  <c r="F12" i="4"/>
  <c r="B12" i="4"/>
  <c r="B17" i="4"/>
  <c r="B16" i="4"/>
  <c r="C16" i="4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G11" i="1"/>
  <c r="H70" i="1"/>
  <c r="L70" i="1"/>
  <c r="G70" i="1"/>
  <c r="K55" i="1"/>
  <c r="K11" i="1"/>
  <c r="H69" i="1"/>
  <c r="H68" i="1"/>
  <c r="L68" i="1"/>
  <c r="H67" i="1"/>
  <c r="H66" i="1"/>
  <c r="H65" i="1"/>
  <c r="H64" i="1"/>
  <c r="H63" i="1"/>
  <c r="H62" i="1"/>
  <c r="H61" i="1"/>
  <c r="H60" i="1"/>
  <c r="L60" i="1"/>
  <c r="H59" i="1"/>
  <c r="H58" i="1"/>
  <c r="H57" i="1"/>
  <c r="H56" i="1"/>
  <c r="H55" i="1"/>
  <c r="H54" i="1"/>
  <c r="H53" i="1"/>
  <c r="H52" i="1"/>
  <c r="L52" i="1"/>
  <c r="H51" i="1"/>
  <c r="H50" i="1"/>
  <c r="H49" i="1"/>
  <c r="H48" i="1"/>
  <c r="H47" i="1"/>
  <c r="H46" i="1"/>
  <c r="H45" i="1"/>
  <c r="H44" i="1"/>
  <c r="L44" i="1"/>
  <c r="H43" i="1"/>
  <c r="H42" i="1"/>
  <c r="H41" i="1"/>
  <c r="H40" i="1"/>
  <c r="H39" i="1"/>
  <c r="H38" i="1"/>
  <c r="H37" i="1"/>
  <c r="H36" i="1"/>
  <c r="L36" i="1"/>
  <c r="H35" i="1"/>
  <c r="H34" i="1"/>
  <c r="H33" i="1"/>
  <c r="H32" i="1"/>
  <c r="H31" i="1"/>
  <c r="H30" i="1"/>
  <c r="H29" i="1"/>
  <c r="H28" i="1"/>
  <c r="L28" i="1"/>
  <c r="H27" i="1"/>
  <c r="H26" i="1"/>
  <c r="H25" i="1"/>
  <c r="H24" i="1"/>
  <c r="H23" i="1"/>
  <c r="H22" i="1"/>
  <c r="H21" i="1"/>
  <c r="H20" i="1"/>
  <c r="L20" i="1"/>
  <c r="H19" i="1"/>
  <c r="H18" i="1"/>
  <c r="H17" i="1"/>
  <c r="H16" i="1"/>
  <c r="H15" i="1"/>
  <c r="H14" i="1"/>
  <c r="H13" i="1"/>
  <c r="H12" i="1"/>
  <c r="L12" i="1"/>
  <c r="H11" i="1"/>
  <c r="L11" i="1"/>
  <c r="G69" i="1"/>
  <c r="G68" i="1"/>
  <c r="K68" i="1"/>
  <c r="G67" i="1"/>
  <c r="G66" i="1"/>
  <c r="G65" i="1"/>
  <c r="G64" i="1"/>
  <c r="G63" i="1"/>
  <c r="G62" i="1"/>
  <c r="G61" i="1"/>
  <c r="G60" i="1"/>
  <c r="K60" i="1"/>
  <c r="G59" i="1"/>
  <c r="G58" i="1"/>
  <c r="G57" i="1"/>
  <c r="G56" i="1"/>
  <c r="G55" i="1"/>
  <c r="G54" i="1"/>
  <c r="G53" i="1"/>
  <c r="G52" i="1"/>
  <c r="K52" i="1"/>
  <c r="G51" i="1"/>
  <c r="G50" i="1"/>
  <c r="G49" i="1"/>
  <c r="G48" i="1"/>
  <c r="G47" i="1"/>
  <c r="G46" i="1"/>
  <c r="G45" i="1"/>
  <c r="K45" i="1"/>
  <c r="G44" i="1"/>
  <c r="K44" i="1"/>
  <c r="G43" i="1"/>
  <c r="G42" i="1"/>
  <c r="G41" i="1"/>
  <c r="G40" i="1"/>
  <c r="G39" i="1"/>
  <c r="G38" i="1"/>
  <c r="G37" i="1"/>
  <c r="K37" i="1"/>
  <c r="G36" i="1"/>
  <c r="K36" i="1"/>
  <c r="G35" i="1"/>
  <c r="G34" i="1"/>
  <c r="G33" i="1"/>
  <c r="G32" i="1"/>
  <c r="G31" i="1"/>
  <c r="G30" i="1"/>
  <c r="G29" i="1"/>
  <c r="K29" i="1"/>
  <c r="G28" i="1"/>
  <c r="K28" i="1"/>
  <c r="G27" i="1"/>
  <c r="G26" i="1"/>
  <c r="G25" i="1"/>
  <c r="G24" i="1"/>
  <c r="G23" i="1"/>
  <c r="G22" i="1"/>
  <c r="G21" i="1"/>
  <c r="K21" i="1"/>
  <c r="G20" i="1"/>
  <c r="K20" i="1"/>
  <c r="G19" i="1"/>
  <c r="G18" i="1"/>
  <c r="G17" i="1"/>
  <c r="G16" i="1"/>
  <c r="G15" i="1"/>
  <c r="G14" i="1"/>
  <c r="G13" i="1"/>
  <c r="G12" i="1"/>
  <c r="C5" i="1"/>
  <c r="C4" i="1"/>
  <c r="L64" i="1"/>
  <c r="L13" i="1"/>
  <c r="L21" i="1"/>
  <c r="L57" i="1"/>
  <c r="K17" i="1"/>
  <c r="K25" i="1"/>
  <c r="K33" i="1"/>
  <c r="K41" i="1"/>
  <c r="K49" i="1"/>
  <c r="K57" i="1"/>
  <c r="K65" i="1"/>
  <c r="L41" i="1"/>
  <c r="L66" i="1"/>
  <c r="L58" i="1"/>
  <c r="L14" i="1"/>
  <c r="L22" i="1"/>
  <c r="L30" i="1"/>
  <c r="L38" i="1"/>
  <c r="L46" i="1"/>
  <c r="L54" i="1"/>
  <c r="L62" i="1"/>
  <c r="K70" i="1"/>
  <c r="L56" i="1"/>
  <c r="L48" i="1"/>
  <c r="L40" i="1"/>
  <c r="L32" i="1"/>
  <c r="L24" i="1"/>
  <c r="L16" i="1"/>
  <c r="K69" i="1"/>
  <c r="K61" i="1"/>
  <c r="K53" i="1"/>
  <c r="L17" i="1"/>
  <c r="L25" i="1"/>
  <c r="L33" i="1"/>
  <c r="L49" i="1"/>
  <c r="L65" i="1"/>
  <c r="K23" i="1"/>
  <c r="K39" i="1"/>
  <c r="K63" i="1"/>
  <c r="L34" i="1"/>
  <c r="L26" i="1"/>
  <c r="L18" i="1"/>
  <c r="L47" i="1"/>
  <c r="L31" i="1"/>
  <c r="K15" i="1"/>
  <c r="K31" i="1"/>
  <c r="K47" i="1"/>
  <c r="L29" i="1"/>
  <c r="L37" i="1"/>
  <c r="L45" i="1"/>
  <c r="L53" i="1"/>
  <c r="L61" i="1"/>
  <c r="L69" i="1"/>
  <c r="L55" i="1"/>
  <c r="L15" i="1"/>
  <c r="K13" i="1"/>
  <c r="K12" i="1"/>
  <c r="L63" i="1"/>
  <c r="L39" i="1"/>
  <c r="L23" i="1"/>
  <c r="K14" i="1"/>
  <c r="K22" i="1"/>
  <c r="K30" i="1"/>
  <c r="K38" i="1"/>
  <c r="K46" i="1"/>
  <c r="K54" i="1"/>
  <c r="K62" i="1"/>
  <c r="K67" i="1"/>
  <c r="K59" i="1"/>
  <c r="L51" i="1"/>
  <c r="L43" i="1"/>
  <c r="K35" i="1"/>
  <c r="L27" i="1"/>
  <c r="L19" i="1"/>
  <c r="K50" i="1"/>
  <c r="K42" i="1"/>
  <c r="K51" i="1"/>
  <c r="K18" i="1"/>
  <c r="K26" i="1"/>
  <c r="K34" i="1"/>
  <c r="K58" i="1"/>
  <c r="K66" i="1"/>
  <c r="L42" i="1"/>
  <c r="L50" i="1"/>
  <c r="K19" i="1"/>
  <c r="K27" i="1"/>
  <c r="K43" i="1"/>
  <c r="L35" i="1"/>
  <c r="L59" i="1"/>
  <c r="L67" i="1"/>
  <c r="K16" i="1"/>
  <c r="K24" i="1"/>
  <c r="K32" i="1"/>
  <c r="K40" i="1"/>
  <c r="K48" i="1"/>
  <c r="K56" i="1"/>
  <c r="K64" i="1"/>
  <c r="G7" i="4" l="1"/>
  <c r="B18" i="4"/>
  <c r="K8" i="4"/>
  <c r="K9" i="4" s="1"/>
  <c r="B7" i="4" s="1"/>
  <c r="C7" i="4" s="1"/>
  <c r="D7" i="4" s="1"/>
  <c r="B20" i="4"/>
  <c r="C20" i="4" s="1"/>
  <c r="D20" i="4" s="1"/>
  <c r="E20" i="4" s="1"/>
  <c r="F20" i="4" s="1"/>
  <c r="G20" i="4" s="1"/>
  <c r="H20" i="4" s="1"/>
  <c r="F7" i="4"/>
  <c r="E7" i="4"/>
  <c r="D16" i="4"/>
  <c r="E16" i="4" s="1"/>
  <c r="F16" i="4" s="1"/>
  <c r="G16" i="4" s="1"/>
  <c r="H16" i="4" s="1"/>
  <c r="F8" i="4"/>
  <c r="B8" i="4"/>
  <c r="F84" i="4"/>
  <c r="F83" i="4"/>
  <c r="G85" i="4"/>
  <c r="L65" i="4" s="1"/>
  <c r="F82" i="4"/>
  <c r="E85" i="4"/>
  <c r="J65" i="4" s="1"/>
  <c r="F15" i="4"/>
  <c r="C17" i="4" l="1"/>
  <c r="C18" i="4"/>
  <c r="C21" i="4" s="1"/>
  <c r="C22" i="4" s="1"/>
  <c r="D17" i="4"/>
  <c r="F85" i="4"/>
  <c r="K65" i="4" s="1"/>
  <c r="G15" i="4"/>
  <c r="D8" i="4"/>
  <c r="D18" i="4" l="1"/>
  <c r="D21" i="4" s="1"/>
  <c r="D22" i="4" s="1"/>
  <c r="E17" i="4"/>
  <c r="H15" i="4"/>
  <c r="F17" i="4" l="1"/>
  <c r="E18" i="4"/>
  <c r="E21" i="4" s="1"/>
  <c r="E22" i="4" s="1"/>
  <c r="G17" i="4" l="1"/>
  <c r="F18" i="4"/>
  <c r="F21" i="4" s="1"/>
  <c r="F22" i="4" s="1"/>
  <c r="H17" i="4" l="1"/>
  <c r="H18" i="4" s="1"/>
  <c r="H21" i="4" s="1"/>
  <c r="H22" i="4" s="1"/>
  <c r="G18" i="4"/>
  <c r="G21" i="4" s="1"/>
  <c r="G22" i="4" s="1"/>
  <c r="B2" i="4" l="1"/>
  <c r="B73" i="4" s="1"/>
  <c r="B55" i="4" l="1"/>
  <c r="B64" i="4"/>
</calcChain>
</file>

<file path=xl/sharedStrings.xml><?xml version="1.0" encoding="utf-8"?>
<sst xmlns="http://schemas.openxmlformats.org/spreadsheetml/2006/main" count="162" uniqueCount="130">
  <si>
    <t>Date</t>
  </si>
  <si>
    <t>Dernier Prix</t>
  </si>
  <si>
    <t>Cascade Inc.</t>
  </si>
  <si>
    <t>SP/TSX</t>
  </si>
  <si>
    <t>TBBC3M</t>
  </si>
  <si>
    <t>Start Date</t>
  </si>
  <si>
    <t>End Date</t>
  </si>
  <si>
    <t>Rendement</t>
  </si>
  <si>
    <t>Ri</t>
  </si>
  <si>
    <t>Ri-Rf</t>
  </si>
  <si>
    <t>Rcas-Rf</t>
  </si>
  <si>
    <t>Rind-Rf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</si>
  <si>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</si>
  <si>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</si>
  <si>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</si>
  <si>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</si>
  <si>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</si>
  <si>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</si>
  <si>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</si>
  <si>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</si>
  <si>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</si>
  <si>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</si>
  <si>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</si>
  <si>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</si>
  <si>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</si>
  <si>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</si>
  <si>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</si>
  <si>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</si>
  <si>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</si>
  <si>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</si>
  <si>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</si>
  <si>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</si>
  <si>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</si>
  <si>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</si>
  <si>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</si>
  <si>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Variable X 1</t>
  </si>
  <si>
    <t>Variation</t>
  </si>
  <si>
    <t>ROE</t>
  </si>
  <si>
    <t>Ventes</t>
  </si>
  <si>
    <t>Benefice Net</t>
  </si>
  <si>
    <t>BPA</t>
  </si>
  <si>
    <t>Actif</t>
  </si>
  <si>
    <t>En millions de CAD</t>
  </si>
  <si>
    <t>FY 2016</t>
  </si>
  <si>
    <t>FY 2017</t>
  </si>
  <si>
    <t>FY 2018</t>
  </si>
  <si>
    <t>FY 2019</t>
  </si>
  <si>
    <t>FY 2020</t>
  </si>
  <si>
    <t>FY 2021</t>
  </si>
  <si>
    <t>12 mois se terminant</t>
  </si>
  <si>
    <t>12/31/2016</t>
  </si>
  <si>
    <t>12/31/2017</t>
  </si>
  <si>
    <t>12/31/2018</t>
  </si>
  <si>
    <t>12/31/2019</t>
  </si>
  <si>
    <t>12/31/2020</t>
  </si>
  <si>
    <t>12/31/2021</t>
  </si>
  <si>
    <t>Moyenne de 5 ans</t>
  </si>
  <si>
    <t>Médiane 5 ans</t>
  </si>
  <si>
    <t>Dépenses en capital</t>
  </si>
  <si>
    <t xml:space="preserve">    Croiss</t>
  </si>
  <si>
    <t xml:space="preserve">  Dépréciation et amortissement</t>
  </si>
  <si>
    <t>Comptes clients et effets à recevevoir</t>
  </si>
  <si>
    <t>Stocks</t>
  </si>
  <si>
    <t>Comptes fourniss et charges à payer</t>
  </si>
  <si>
    <t>Compagnie</t>
  </si>
  <si>
    <t>La valeur intrinsèque</t>
  </si>
  <si>
    <t>Stabilité</t>
  </si>
  <si>
    <t>Le taux de croissance de BPA</t>
  </si>
  <si>
    <t>Le taux de croissance de dépense d'investissement</t>
  </si>
  <si>
    <t>Le taux de croissance d'amortissement</t>
  </si>
  <si>
    <t>Le taux de rendement exigé</t>
  </si>
  <si>
    <t>Medaf</t>
  </si>
  <si>
    <t>Le ratio d'endettement</t>
  </si>
  <si>
    <t>Dép. Inv.</t>
  </si>
  <si>
    <t>Amortissement</t>
  </si>
  <si>
    <t>(1-δ)(Inv.-Amort.)</t>
  </si>
  <si>
    <t>Var. FDR</t>
  </si>
  <si>
    <t>(1-δ)(Var. FDR)</t>
  </si>
  <si>
    <t>FMDAO</t>
  </si>
  <si>
    <t>VA(FMDAO)</t>
  </si>
  <si>
    <t>2022 Est</t>
  </si>
  <si>
    <t xml:space="preserve">Dividende </t>
  </si>
  <si>
    <t>Marge nette</t>
  </si>
  <si>
    <t>Fonds prores</t>
  </si>
  <si>
    <t>Rotation d'actif</t>
  </si>
  <si>
    <t>Levier Financier</t>
  </si>
  <si>
    <t xml:space="preserve">Marge d'exploitation </t>
  </si>
  <si>
    <t>Ratio</t>
  </si>
  <si>
    <t>Ratio d'endettement</t>
  </si>
  <si>
    <t>Moyenne</t>
  </si>
  <si>
    <t>g pour valeur terminal</t>
  </si>
  <si>
    <t>Taux sans risque TBB3M</t>
  </si>
  <si>
    <t>Rendement Espéré S&amp;P/TSX</t>
  </si>
  <si>
    <t>Beta</t>
  </si>
  <si>
    <t>Rendement Exigé (K)</t>
  </si>
  <si>
    <t>Ralentissement</t>
  </si>
  <si>
    <t>Reprise</t>
  </si>
  <si>
    <t>2021 (Actuel)</t>
  </si>
  <si>
    <t>Reprise 2025</t>
  </si>
  <si>
    <t>Reprise 2024</t>
  </si>
  <si>
    <t>Changes in account receivables (unité)</t>
  </si>
  <si>
    <t>Changes in inventory (unité)</t>
  </si>
  <si>
    <t>Changes in account payable (unité)</t>
  </si>
  <si>
    <t>Variation du FDR (unité)</t>
  </si>
  <si>
    <t>Nb d'action (+  dilué)</t>
  </si>
  <si>
    <t>BPA dilué</t>
  </si>
  <si>
    <t>Rendement exigé</t>
  </si>
  <si>
    <t>Analyse de sensibilitée (période de ralentissement)</t>
  </si>
  <si>
    <t>Croissance du bpa</t>
  </si>
  <si>
    <t>Analyse de sensibilitée (période de reprise)</t>
  </si>
  <si>
    <t>span</t>
  </si>
  <si>
    <t>Min</t>
  </si>
  <si>
    <t>Max</t>
  </si>
  <si>
    <t>Analyst Recommendation</t>
  </si>
  <si>
    <t>Pro Rata</t>
  </si>
  <si>
    <t>Pro rata prime Amort.</t>
  </si>
  <si>
    <t>Médiane 5 ans BPA</t>
  </si>
  <si>
    <t>Moyenne 5 ans Amort.</t>
  </si>
  <si>
    <t xml:space="preserve">Moyenne 5 ans Capex </t>
  </si>
  <si>
    <t>Données</t>
  </si>
  <si>
    <t>Cascades Inc</t>
  </si>
  <si>
    <t>Croissance vente</t>
  </si>
  <si>
    <t>Croissance du FDR</t>
  </si>
  <si>
    <t>Ratio Cascades</t>
  </si>
  <si>
    <t xml:space="preserve">     Industrie</t>
  </si>
  <si>
    <t xml:space="preserve">    Industrie</t>
  </si>
  <si>
    <t>Span</t>
  </si>
  <si>
    <t>Phase</t>
  </si>
  <si>
    <t>Average FMDAO</t>
  </si>
  <si>
    <t>Analyse de sensibilitée (période de stabilité)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</si>
</sst>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)_ ;_ * \(#,##0.00\)_ ;_ * &quot;-&quot;??_)_ ;_ @_ "/>
    <numFmt numFmtId="164" formatCode="0.0%"/>
    <numFmt numFmtId="165" formatCode="#,##0.00\ &quot;$&quot;_-"/>
    <numFmt numFmtId="166" formatCode="#,##0.00\ &quot;$&quot;"/>
    <numFmt numFmtId="167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Book Antiqua"/>
      <family val="1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6CC99"/>
        <bgColor indexed="64"/>
      </patternFill>
    </fill>
    <fill>
      <patternFill patternType="solid">
        <fgColor rgb="FFF4CC0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01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/>
    <xf numFmtId="10" fontId="4" fillId="0" borderId="7" xfId="0" applyNumberFormat="1" applyFont="1" applyBorder="1"/>
    <xf numFmtId="0" fontId="4" fillId="0" borderId="8" xfId="0" applyFont="1" applyBorder="1"/>
    <xf numFmtId="0" fontId="4" fillId="0" borderId="1" xfId="0" applyFont="1" applyBorder="1"/>
    <xf numFmtId="0" fontId="4" fillId="0" borderId="9" xfId="0" applyFont="1" applyBorder="1"/>
    <xf numFmtId="0" fontId="5" fillId="2" borderId="0" xfId="0" applyFont="1" applyFill="1"/>
    <xf numFmtId="0" fontId="6" fillId="2" borderId="0" xfId="0" applyFont="1" applyFill="1"/>
    <xf numFmtId="0" fontId="6" fillId="0" borderId="0" xfId="0" applyFont="1"/>
    <xf numFmtId="165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center"/>
    </xf>
    <xf numFmtId="10" fontId="6" fillId="3" borderId="0" xfId="0" applyNumberFormat="1" applyFont="1" applyFill="1" applyAlignment="1">
      <alignment horizontal="center"/>
    </xf>
    <xf numFmtId="10" fontId="6" fillId="4" borderId="0" xfId="0" applyNumberFormat="1" applyFont="1" applyFill="1" applyAlignment="1">
      <alignment horizontal="center"/>
    </xf>
    <xf numFmtId="10" fontId="6" fillId="5" borderId="0" xfId="0" applyNumberFormat="1" applyFont="1" applyFill="1" applyAlignment="1">
      <alignment horizontal="center"/>
    </xf>
    <xf numFmtId="0" fontId="6" fillId="2" borderId="10" xfId="0" applyFont="1" applyFill="1" applyBorder="1"/>
    <xf numFmtId="0" fontId="7" fillId="5" borderId="13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0" fontId="5" fillId="2" borderId="18" xfId="0" applyFont="1" applyFill="1" applyBorder="1"/>
    <xf numFmtId="165" fontId="6" fillId="3" borderId="19" xfId="0" applyNumberFormat="1" applyFont="1" applyFill="1" applyBorder="1" applyAlignment="1">
      <alignment horizontal="center"/>
    </xf>
    <xf numFmtId="0" fontId="5" fillId="2" borderId="14" xfId="0" applyFont="1" applyFill="1" applyBorder="1"/>
    <xf numFmtId="165" fontId="6" fillId="3" borderId="21" xfId="0" applyNumberFormat="1" applyFont="1" applyFill="1" applyBorder="1" applyAlignment="1">
      <alignment horizontal="center"/>
    </xf>
    <xf numFmtId="0" fontId="5" fillId="2" borderId="22" xfId="0" applyFont="1" applyFill="1" applyBorder="1"/>
    <xf numFmtId="165" fontId="6" fillId="3" borderId="15" xfId="0" applyNumberFormat="1" applyFont="1" applyFill="1" applyBorder="1" applyAlignment="1">
      <alignment horizontal="center"/>
    </xf>
    <xf numFmtId="165" fontId="5" fillId="3" borderId="15" xfId="0" applyNumberFormat="1" applyFont="1" applyFill="1" applyBorder="1" applyAlignment="1">
      <alignment horizontal="center"/>
    </xf>
    <xf numFmtId="0" fontId="5" fillId="2" borderId="24" xfId="0" applyFont="1" applyFill="1" applyBorder="1"/>
    <xf numFmtId="165" fontId="6" fillId="3" borderId="25" xfId="0" applyNumberFormat="1" applyFont="1" applyFill="1" applyBorder="1" applyAlignment="1">
      <alignment horizontal="center"/>
    </xf>
    <xf numFmtId="165" fontId="6" fillId="5" borderId="26" xfId="0" applyNumberFormat="1" applyFont="1" applyFill="1" applyBorder="1" applyAlignment="1">
      <alignment horizontal="center"/>
    </xf>
    <xf numFmtId="0" fontId="8" fillId="0" borderId="0" xfId="0" applyFont="1"/>
    <xf numFmtId="0" fontId="2" fillId="0" borderId="15" xfId="0" applyFont="1" applyBorder="1"/>
    <xf numFmtId="0" fontId="0" fillId="0" borderId="15" xfId="0" applyBorder="1"/>
    <xf numFmtId="10" fontId="0" fillId="0" borderId="15" xfId="1" applyNumberFormat="1" applyFont="1" applyBorder="1"/>
    <xf numFmtId="2" fontId="0" fillId="0" borderId="15" xfId="0" applyNumberFormat="1" applyBorder="1"/>
    <xf numFmtId="0" fontId="2" fillId="0" borderId="15" xfId="0" applyFont="1" applyBorder="1" applyAlignment="1">
      <alignment horizontal="center" vertical="center"/>
    </xf>
    <xf numFmtId="10" fontId="0" fillId="0" borderId="15" xfId="0" applyNumberFormat="1" applyBorder="1"/>
    <xf numFmtId="10" fontId="6" fillId="0" borderId="15" xfId="0" applyNumberFormat="1" applyFont="1" applyBorder="1"/>
    <xf numFmtId="43" fontId="6" fillId="0" borderId="15" xfId="2" applyFont="1" applyBorder="1"/>
    <xf numFmtId="10" fontId="6" fillId="0" borderId="15" xfId="1" applyNumberFormat="1" applyFont="1" applyBorder="1"/>
    <xf numFmtId="0" fontId="6" fillId="0" borderId="15" xfId="0" applyFont="1" applyBorder="1" applyAlignment="1">
      <alignment horizontal="right"/>
    </xf>
    <xf numFmtId="0" fontId="4" fillId="0" borderId="0" xfId="0" applyFont="1"/>
    <xf numFmtId="0" fontId="9" fillId="0" borderId="4" xfId="0" applyFont="1" applyBorder="1" applyAlignment="1">
      <alignment horizontal="center" vertical="center"/>
    </xf>
    <xf numFmtId="0" fontId="4" fillId="0" borderId="27" xfId="0" applyFont="1" applyBorder="1"/>
    <xf numFmtId="0" fontId="4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8" xfId="0" applyFont="1" applyBorder="1"/>
    <xf numFmtId="10" fontId="4" fillId="0" borderId="0" xfId="0" applyNumberFormat="1" applyFont="1"/>
    <xf numFmtId="164" fontId="4" fillId="0" borderId="0" xfId="0" applyNumberFormat="1" applyFont="1"/>
    <xf numFmtId="164" fontId="4" fillId="0" borderId="28" xfId="0" applyNumberFormat="1" applyFont="1" applyBorder="1"/>
    <xf numFmtId="10" fontId="4" fillId="0" borderId="28" xfId="0" applyNumberFormat="1" applyFont="1" applyBorder="1"/>
    <xf numFmtId="0" fontId="4" fillId="0" borderId="29" xfId="0" applyFont="1" applyBorder="1"/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4" fillId="0" borderId="0" xfId="0" applyNumberFormat="1" applyFont="1"/>
    <xf numFmtId="10" fontId="4" fillId="0" borderId="7" xfId="1" applyNumberFormat="1" applyFont="1" applyBorder="1"/>
    <xf numFmtId="10" fontId="4" fillId="0" borderId="0" xfId="0" applyNumberFormat="1" applyFont="1" applyAlignment="1">
      <alignment horizontal="right"/>
    </xf>
    <xf numFmtId="0" fontId="6" fillId="2" borderId="18" xfId="0" applyFont="1" applyFill="1" applyBorder="1"/>
    <xf numFmtId="0" fontId="5" fillId="3" borderId="17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10" fontId="6" fillId="6" borderId="0" xfId="0" applyNumberFormat="1" applyFont="1" applyFill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165" fontId="6" fillId="8" borderId="17" xfId="0" applyNumberFormat="1" applyFont="1" applyFill="1" applyBorder="1" applyAlignment="1">
      <alignment horizontal="center"/>
    </xf>
    <xf numFmtId="165" fontId="6" fillId="8" borderId="19" xfId="0" applyNumberFormat="1" applyFont="1" applyFill="1" applyBorder="1" applyAlignment="1">
      <alignment horizontal="center"/>
    </xf>
    <xf numFmtId="165" fontId="6" fillId="8" borderId="21" xfId="0" applyNumberFormat="1" applyFont="1" applyFill="1" applyBorder="1" applyAlignment="1">
      <alignment horizontal="center"/>
    </xf>
    <xf numFmtId="165" fontId="5" fillId="8" borderId="15" xfId="0" applyNumberFormat="1" applyFont="1" applyFill="1" applyBorder="1" applyAlignment="1">
      <alignment horizontal="center"/>
    </xf>
    <xf numFmtId="165" fontId="6" fillId="8" borderId="25" xfId="0" applyNumberFormat="1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20" xfId="0" applyFont="1" applyFill="1" applyBorder="1" applyAlignment="1">
      <alignment horizontal="center"/>
    </xf>
    <xf numFmtId="165" fontId="6" fillId="9" borderId="31" xfId="0" applyNumberFormat="1" applyFont="1" applyFill="1" applyBorder="1" applyAlignment="1">
      <alignment horizontal="center"/>
    </xf>
    <xf numFmtId="165" fontId="6" fillId="9" borderId="20" xfId="0" applyNumberFormat="1" applyFont="1" applyFill="1" applyBorder="1" applyAlignment="1">
      <alignment horizontal="center"/>
    </xf>
    <xf numFmtId="165" fontId="5" fillId="9" borderId="23" xfId="0" applyNumberFormat="1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6" fillId="2" borderId="14" xfId="0" applyFont="1" applyFill="1" applyBorder="1"/>
    <xf numFmtId="165" fontId="6" fillId="9" borderId="16" xfId="0" applyNumberFormat="1" applyFont="1" applyFill="1" applyBorder="1" applyAlignment="1">
      <alignment horizontal="center"/>
    </xf>
    <xf numFmtId="0" fontId="6" fillId="10" borderId="0" xfId="0" applyFont="1" applyFill="1"/>
    <xf numFmtId="0" fontId="5" fillId="9" borderId="16" xfId="0" applyFont="1" applyFill="1" applyBorder="1" applyAlignment="1">
      <alignment horizontal="center"/>
    </xf>
    <xf numFmtId="164" fontId="6" fillId="0" borderId="15" xfId="0" applyNumberFormat="1" applyFont="1" applyBorder="1"/>
    <xf numFmtId="167" fontId="10" fillId="0" borderId="15" xfId="0" applyNumberFormat="1" applyFont="1" applyBorder="1"/>
    <xf numFmtId="9" fontId="2" fillId="13" borderId="15" xfId="0" applyNumberFormat="1" applyFont="1" applyFill="1" applyBorder="1" applyAlignment="1">
      <alignment horizontal="center" vertical="center"/>
    </xf>
    <xf numFmtId="10" fontId="2" fillId="13" borderId="15" xfId="0" applyNumberFormat="1" applyFont="1" applyFill="1" applyBorder="1" applyAlignment="1">
      <alignment horizontal="center" vertical="center"/>
    </xf>
    <xf numFmtId="2" fontId="0" fillId="14" borderId="15" xfId="0" applyNumberFormat="1" applyFill="1" applyBorder="1"/>
    <xf numFmtId="2" fontId="2" fillId="13" borderId="21" xfId="0" applyNumberFormat="1" applyFont="1" applyFill="1" applyBorder="1"/>
    <xf numFmtId="164" fontId="2" fillId="13" borderId="15" xfId="0" applyNumberFormat="1" applyFont="1" applyFill="1" applyBorder="1" applyAlignment="1">
      <alignment horizontal="center" vertical="center"/>
    </xf>
    <xf numFmtId="2" fontId="6" fillId="0" borderId="15" xfId="0" applyNumberFormat="1" applyFont="1" applyBorder="1"/>
    <xf numFmtId="0" fontId="5" fillId="16" borderId="15" xfId="0" applyFont="1" applyFill="1" applyBorder="1"/>
    <xf numFmtId="10" fontId="6" fillId="0" borderId="15" xfId="2" applyNumberFormat="1" applyFont="1" applyBorder="1"/>
    <xf numFmtId="0" fontId="5" fillId="0" borderId="0" xfId="0" applyFont="1"/>
    <xf numFmtId="10" fontId="6" fillId="0" borderId="0" xfId="1" applyNumberFormat="1" applyFont="1" applyFill="1" applyBorder="1"/>
    <xf numFmtId="0" fontId="6" fillId="0" borderId="0" xfId="0" applyFont="1" applyAlignment="1">
      <alignment horizontal="right"/>
    </xf>
    <xf numFmtId="0" fontId="0" fillId="0" borderId="15" xfId="0" applyBorder="1" applyAlignment="1">
      <alignment horizontal="right"/>
    </xf>
    <xf numFmtId="164" fontId="0" fillId="0" borderId="0" xfId="0" applyNumberFormat="1"/>
    <xf numFmtId="9" fontId="6" fillId="0" borderId="0" xfId="1" applyFont="1"/>
    <xf numFmtId="10" fontId="6" fillId="0" borderId="15" xfId="1" applyNumberFormat="1" applyFont="1" applyBorder="1" applyAlignment="1">
      <alignment horizontal="right"/>
    </xf>
    <xf numFmtId="165" fontId="6" fillId="9" borderId="19" xfId="0" applyNumberFormat="1" applyFont="1" applyFill="1" applyBorder="1" applyAlignment="1">
      <alignment horizontal="center"/>
    </xf>
    <xf numFmtId="10" fontId="0" fillId="0" borderId="0" xfId="1" applyNumberFormat="1" applyFont="1" applyBorder="1"/>
    <xf numFmtId="2" fontId="0" fillId="0" borderId="0" xfId="0" applyNumberFormat="1"/>
    <xf numFmtId="10" fontId="1" fillId="0" borderId="15" xfId="1" applyNumberFormat="1" applyFont="1" applyBorder="1"/>
    <xf numFmtId="10" fontId="1" fillId="0" borderId="15" xfId="0" applyNumberFormat="1" applyFont="1" applyBorder="1"/>
    <xf numFmtId="0" fontId="1" fillId="0" borderId="15" xfId="0" applyFont="1" applyBorder="1"/>
    <xf numFmtId="2" fontId="1" fillId="0" borderId="15" xfId="0" applyNumberFormat="1" applyFont="1" applyBorder="1"/>
    <xf numFmtId="10" fontId="1" fillId="0" borderId="15" xfId="1" applyNumberFormat="1" applyFont="1" applyFill="1" applyBorder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12" fillId="0" borderId="0" xfId="0" applyFont="1"/>
    <xf numFmtId="10" fontId="13" fillId="0" borderId="0" xfId="0" applyNumberFormat="1" applyFont="1"/>
    <xf numFmtId="10" fontId="12" fillId="0" borderId="0" xfId="0" applyNumberFormat="1" applyFont="1"/>
    <xf numFmtId="0" fontId="0" fillId="0" borderId="0" xfId="0" applyAlignment="1">
      <alignment horizontal="right" vertical="center"/>
    </xf>
    <xf numFmtId="10" fontId="1" fillId="0" borderId="0" xfId="1" applyNumberFormat="1" applyFont="1" applyFill="1" applyBorder="1"/>
    <xf numFmtId="10" fontId="11" fillId="0" borderId="0" xfId="1" applyNumberFormat="1" applyFont="1" applyBorder="1"/>
    <xf numFmtId="0" fontId="2" fillId="12" borderId="15" xfId="0" applyFont="1" applyFill="1" applyBorder="1"/>
    <xf numFmtId="0" fontId="2" fillId="12" borderId="15" xfId="0" applyFont="1" applyFill="1" applyBorder="1" applyAlignment="1">
      <alignment horizontal="right"/>
    </xf>
    <xf numFmtId="0" fontId="0" fillId="14" borderId="15" xfId="0" applyFill="1" applyBorder="1"/>
    <xf numFmtId="10" fontId="2" fillId="14" borderId="15" xfId="1" applyNumberFormat="1" applyFont="1" applyFill="1" applyBorder="1"/>
    <xf numFmtId="0" fontId="2" fillId="14" borderId="15" xfId="0" applyFont="1" applyFill="1" applyBorder="1"/>
    <xf numFmtId="10" fontId="2" fillId="14" borderId="15" xfId="0" applyNumberFormat="1" applyFont="1" applyFill="1" applyBorder="1"/>
    <xf numFmtId="166" fontId="6" fillId="0" borderId="0" xfId="0" applyNumberFormat="1" applyFont="1"/>
    <xf numFmtId="2" fontId="6" fillId="0" borderId="17" xfId="0" applyNumberFormat="1" applyFont="1" applyBorder="1"/>
    <xf numFmtId="0" fontId="6" fillId="0" borderId="39" xfId="0" applyFont="1" applyBorder="1"/>
    <xf numFmtId="2" fontId="6" fillId="0" borderId="39" xfId="0" applyNumberFormat="1" applyFont="1" applyBorder="1"/>
    <xf numFmtId="0" fontId="5" fillId="12" borderId="15" xfId="0" applyFont="1" applyFill="1" applyBorder="1"/>
    <xf numFmtId="0" fontId="5" fillId="12" borderId="15" xfId="0" applyFont="1" applyFill="1" applyBorder="1" applyAlignment="1">
      <alignment horizontal="center" vertical="center"/>
    </xf>
    <xf numFmtId="0" fontId="5" fillId="14" borderId="15" xfId="0" applyFont="1" applyFill="1" applyBorder="1"/>
    <xf numFmtId="0" fontId="2" fillId="0" borderId="38" xfId="0" applyFont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 textRotation="90"/>
    </xf>
    <xf numFmtId="0" fontId="2" fillId="12" borderId="36" xfId="0" applyFont="1" applyFill="1" applyBorder="1" applyAlignment="1">
      <alignment horizontal="center" vertical="center" textRotation="90"/>
    </xf>
    <xf numFmtId="0" fontId="2" fillId="12" borderId="37" xfId="0" applyFont="1" applyFill="1" applyBorder="1" applyAlignment="1">
      <alignment horizontal="center" vertical="center" textRotation="90"/>
    </xf>
    <xf numFmtId="0" fontId="2" fillId="12" borderId="34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2" borderId="33" xfId="0" applyFont="1" applyFill="1" applyBorder="1" applyAlignment="1">
      <alignment horizontal="center" vertical="center" textRotation="90"/>
    </xf>
    <xf numFmtId="0" fontId="2" fillId="12" borderId="15" xfId="0" applyFont="1" applyFill="1" applyBorder="1" applyAlignment="1">
      <alignment horizontal="center" vertical="center" textRotation="90"/>
    </xf>
    <xf numFmtId="0" fontId="5" fillId="15" borderId="15" xfId="0" applyFont="1" applyFill="1" applyBorder="1" applyAlignment="1">
      <alignment horizontal="center"/>
    </xf>
    <xf numFmtId="0" fontId="5" fillId="15" borderId="38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10" fontId="6" fillId="7" borderId="0" xfId="0" applyNumberFormat="1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5" fillId="15" borderId="33" xfId="0" applyFont="1" applyFill="1" applyBorder="1" applyAlignment="1">
      <alignment horizontal="center"/>
    </xf>
    <xf numFmtId="0" fontId="5" fillId="15" borderId="3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14" fillId="0" borderId="15" xfId="0" applyFont="1" applyBorder="1"/>
    <xf numFmtId="164" fontId="14" fillId="0" borderId="15" xfId="1" applyNumberFormat="1" applyFont="1" applyBorder="1"/>
    <xf numFmtId="0" fontId="15" fillId="12" borderId="15" xfId="0" applyFont="1" applyFill="1" applyBorder="1"/>
    <xf numFmtId="0" fontId="15" fillId="12" borderId="15" xfId="0" applyFont="1" applyFill="1" applyBorder="1" applyAlignment="1">
      <alignment horizontal="left"/>
    </xf>
    <xf numFmtId="0" fontId="2" fillId="12" borderId="15" xfId="0" applyFont="1" applyFill="1" applyBorder="1" applyAlignment="1">
      <alignment horizontal="center" vertical="center"/>
    </xf>
    <xf numFmtId="0" fontId="15" fillId="12" borderId="15" xfId="0" applyFont="1" applyFill="1" applyBorder="1" applyAlignment="1">
      <alignment horizontal="right"/>
    </xf>
    <xf numFmtId="0" fontId="6" fillId="14" borderId="15" xfId="0" applyFont="1" applyFill="1" applyBorder="1"/>
    <xf numFmtId="0" fontId="6" fillId="14" borderId="17" xfId="0" applyFont="1" applyFill="1" applyBorder="1"/>
    <xf numFmtId="14" fontId="0" fillId="0" borderId="15" xfId="0" applyNumberFormat="1" applyBorder="1"/>
    <xf numFmtId="14" fontId="2" fillId="0" borderId="15" xfId="0" applyNumberFormat="1" applyFont="1" applyBorder="1"/>
  </cellXfs>
  <cellStyles count="3">
    <cellStyle name="Milliers" xfId="2" builtinId="3"/>
    <cellStyle name="Normal" xfId="0" builtinId="0"/>
    <cellStyle name="Pourcentage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6CC99"/>
      <color rgb="FF99CCFF"/>
      <color rgb="FF234746"/>
      <color rgb="FFFFCC01"/>
      <color rgb="FFDDAE52"/>
      <color rgb="FF244746"/>
      <color rgb="FFCCFFCC"/>
      <color rgb="FFF4CC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Analyse sensibilité CAS.TO</a:t>
            </a:r>
          </a:p>
        </c:rich>
      </c:tx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Modèle!$I$65:$I$66</c:f>
              <c:strCache>
                <c:ptCount val="2"/>
                <c:pt idx="0">
                  <c:v>Average FMDAO</c:v>
                </c:pt>
                <c:pt idx="1">
                  <c:v>Analyst Recommendation</c:v>
                </c:pt>
              </c:strCache>
            </c:strRef>
          </c:cat>
          <c:val>
            <c:numRef>
              <c:f>Modèle!$J$65:$J$66</c:f>
              <c:numCache>
                <c:formatCode>0.00</c:formatCode>
                <c:ptCount val="2"/>
                <c:pt idx="0">
                  <c:v>12.217588198022568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B443-8A83-33265FE36C50}"/>
            </c:ext>
          </c:extLst>
        </c:ser>
        <c:ser>
          <c:idx val="1"/>
          <c:order val="1"/>
          <c:spPr>
            <a:solidFill>
              <a:schemeClr val="accent1"/>
            </a:solidFill>
            <a:ln w="12700" cap="flat" cmpd="sng" algn="ctr">
              <a:noFill/>
              <a:prstDash val="solid"/>
              <a:miter lim="800000"/>
            </a:ln>
            <a:effectLst/>
          </c:spPr>
          <c:invertIfNegative val="0"/>
          <c:cat>
            <c:strRef>
              <c:f>Modèle!$I$65:$I$66</c:f>
              <c:strCache>
                <c:ptCount val="2"/>
                <c:pt idx="0">
                  <c:v>Average FMDAO</c:v>
                </c:pt>
                <c:pt idx="1">
                  <c:v>Analyst Recommendation</c:v>
                </c:pt>
              </c:strCache>
            </c:strRef>
          </c:cat>
          <c:val>
            <c:numRef>
              <c:f>Modèle!$K$65:$K$66</c:f>
              <c:numCache>
                <c:formatCode>0.00</c:formatCode>
                <c:ptCount val="2"/>
                <c:pt idx="0">
                  <c:v>12.904048139453764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5-B443-8A83-33265FE36C50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Modèle!$I$65:$I$66</c:f>
              <c:strCache>
                <c:ptCount val="2"/>
                <c:pt idx="0">
                  <c:v>Average FMDAO</c:v>
                </c:pt>
                <c:pt idx="1">
                  <c:v>Analyst Recommendation</c:v>
                </c:pt>
              </c:strCache>
            </c:strRef>
          </c:cat>
          <c:val>
            <c:numRef>
              <c:f>Modèle!$L$65:$L$66</c:f>
              <c:numCache>
                <c:formatCode>0.00</c:formatCode>
                <c:ptCount val="2"/>
                <c:pt idx="0">
                  <c:v>25.121636337476332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15-B443-8A83-33265FE36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618767"/>
        <c:axId val="1048620415"/>
      </c:barChart>
      <c:catAx>
        <c:axId val="1048618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8620415"/>
        <c:crosses val="autoZero"/>
        <c:auto val="1"/>
        <c:lblAlgn val="ctr"/>
        <c:lblOffset val="100"/>
        <c:noMultiLvlLbl val="0"/>
      </c:catAx>
      <c:valAx>
        <c:axId val="1048620415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861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Marge d'exploitation en</a:t>
            </a:r>
            <a:r>
              <a:rPr lang="fr-CA" baseline="0"/>
              <a:t> % des ventes entre 2017 et 2021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'Analyse Compagnie'!$E$18:$I$18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'Analyse Compagnie'!$E$19:$I$19</c:f>
              <c:numCache>
                <c:formatCode>0.00%</c:formatCode>
                <c:ptCount val="5"/>
                <c:pt idx="0">
                  <c:v>0.04</c:v>
                </c:pt>
                <c:pt idx="1">
                  <c:v>4.9000000000000002E-2</c:v>
                </c:pt>
                <c:pt idx="2">
                  <c:v>5.1999999999999998E-2</c:v>
                </c:pt>
                <c:pt idx="3">
                  <c:v>7.0999999999999994E-2</c:v>
                </c:pt>
                <c:pt idx="4">
                  <c:v>3.3000000000000002E-2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2-2D4B-9A81-BA38972DC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185760"/>
        <c:axId val="770187440"/>
      </c:barChart>
      <c:catAx>
        <c:axId val="77018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Année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0187440"/>
        <c:crosses val="autoZero"/>
        <c:auto val="1"/>
        <c:lblAlgn val="ctr"/>
        <c:lblOffset val="100"/>
        <c:noMultiLvlLbl val="0"/>
      </c:catAx>
      <c:valAx>
        <c:axId val="7701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Marge d'exploitation</a:t>
                </a:r>
                <a:r>
                  <a:rPr lang="fr-CA" baseline="0"/>
                  <a:t> en % des ventes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018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Chiffre</a:t>
            </a:r>
            <a:r>
              <a:rPr lang="fr-CA" baseline="0"/>
              <a:t> d'affaire entre 2017 et 2021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'Analyse Compagnie'!$N$6:$R$6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'Analyse Compagnie'!$N$7:$R$7</c:f>
              <c:numCache>
                <c:formatCode>General</c:formatCode>
                <c:ptCount val="5"/>
                <c:pt idx="0">
                  <c:v>4321</c:v>
                </c:pt>
                <c:pt idx="1">
                  <c:v>4649</c:v>
                </c:pt>
                <c:pt idx="2">
                  <c:v>4996</c:v>
                </c:pt>
                <c:pt idx="3">
                  <c:v>5157</c:v>
                </c:pt>
                <c:pt idx="4">
                  <c:v>4850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5-1841-93C3-7EC2D6962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71248"/>
        <c:axId val="430572896"/>
      </c:barChart>
      <c:catAx>
        <c:axId val="43057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Année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0572896"/>
        <c:crosses val="autoZero"/>
        <c:auto val="1"/>
        <c:lblAlgn val="ctr"/>
        <c:lblOffset val="100"/>
        <c:noMultiLvlLbl val="0"/>
      </c:catAx>
      <c:valAx>
        <c:axId val="4305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Ventes en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057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183563</xdr:colOff>
      <xdr:row>33</xdr:row>
      <xdr:rowOff>193113</xdr:rowOff>
    </xdr:from>
    <xdr:to>
      <xdr:col>16</xdr:col>
      <xdr:colOff>713241</xdr:colOff>
      <xdr:row>53</xdr:row>
      <xdr:rowOff>50169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3AB75FC-485D-3146-B93B-67AFB196F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695103</xdr:colOff>
      <xdr:row>26</xdr:row>
      <xdr:rowOff>173444</xdr:rowOff>
    </xdr:from>
    <xdr:to>
      <xdr:col>6</xdr:col>
      <xdr:colOff>975091</xdr:colOff>
      <xdr:row>44</xdr:row>
      <xdr:rowOff>23158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9DBBE6A-B75F-F84C-AFD5-4E10028AF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1154008</xdr:colOff>
      <xdr:row>26</xdr:row>
      <xdr:rowOff>116960</xdr:rowOff>
    </xdr:from>
    <xdr:to>
      <xdr:col>13</xdr:col>
      <xdr:colOff>1008970</xdr:colOff>
      <xdr:row>45</xdr:row>
      <xdr:rowOff>178704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E9D8084-E24E-9746-9AE6-EE550E34F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2138218</xdr:colOff>
      <xdr:row>26</xdr:row>
      <xdr:rowOff>41727</xdr:rowOff>
    </xdr:from>
    <xdr:to>
      <xdr:col>19</xdr:col>
      <xdr:colOff>579369</xdr:colOff>
      <xdr:row>43</xdr:row>
      <xdr:rowOff>107051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AFDF0C4-B6C0-BF4C-8BD2-7C29FA7D1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279" y="5044757"/>
          <a:ext cx="5984181" cy="3336536"/>
        </a:xfrm>
        <a:prstGeom prst="rect">
          <a:avLst/>
        </a:prstGeom>
        <a:solidFill>
          <a:schemeClr val="accent2"/>
        </a:solidFill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F7EE-DF52-413B-8918-65A9E9066E0C}">
  <dimension ref="B2:V140"/>
  <sheetViews>
    <sheetView showGridLines="0" zoomScale="91" workbookViewId="0">
      <selection activeCell="H3" sqref="H3"/>
    </sheetView>
  </sheetViews>
  <sheetFormatPr baseColWidth="10" defaultColWidth="8.83203125" defaultRowHeight="15" x14ac:dyDescent="0.2"/>
  <cols>
    <col min="2" max="2" width="10.1640625" bestFit="1" customWidth="1"/>
    <col min="3" max="5" width="15.6640625" bestFit="1" customWidth="1"/>
    <col min="7" max="7" width="10.5" bestFit="1" customWidth="1"/>
    <col min="8" max="9" width="10.33203125" bestFit="1" customWidth="1"/>
    <col min="11" max="11" width="10.5" bestFit="1" customWidth="1"/>
    <col min="12" max="12" width="7.5" bestFit="1" customWidth="1"/>
    <col min="14" max="14" width="30" bestFit="1" customWidth="1"/>
    <col min="15" max="15" width="13.83203125" bestFit="1" customWidth="1"/>
    <col min="16" max="16" width="15.5" bestFit="1" customWidth="1"/>
    <col min="17" max="17" width="17" bestFit="1" customWidth="1"/>
    <col min="18" max="18" width="12.1640625" bestFit="1" customWidth="1"/>
    <col min="19" max="19" width="37.33203125" bestFit="1" customWidth="1"/>
    <col min="20" max="20" width="38" bestFit="1" customWidth="1"/>
    <col min="21" max="21" width="39.33203125" bestFit="1" customWidth="1"/>
    <col min="22" max="22" width="40.1640625" bestFit="1" customWidth="1"/>
  </cols>
  <sheetData>
    <row r="2" spans="2:19" x14ac:dyDescent="0.2">
      <c r="N2" t="s">
        <v>12</v>
      </c>
    </row>
    <row r="3" spans="2:19" ht="16" thickBot="1" x14ac:dyDescent="0.25"/>
    <row r="4" spans="2:19" x14ac:dyDescent="0.2">
      <c r="B4" s="42" t="s">
        <v>5</v>
      </c>
      <c r="C4" s="166">
        <f>B69</f>
        <v>44620</v>
      </c>
      <c r="N4" s="7" t="s">
        <v>13</v>
      </c>
      <c r="O4" s="7"/>
    </row>
    <row r="5" spans="2:19" x14ac:dyDescent="0.2">
      <c r="B5" s="42" t="s">
        <v>6</v>
      </c>
      <c r="C5" s="166">
        <f>B10</f>
        <v>42825</v>
      </c>
      <c r="N5" t="s">
        <v>14</v>
      </c>
      <c r="O5">
        <v>0.43692011140298431</v>
      </c>
    </row>
    <row r="6" spans="2:19" x14ac:dyDescent="0.2">
      <c r="G6" s="2" t="s">
        <v>8</v>
      </c>
      <c r="K6" s="2" t="s">
        <v>9</v>
      </c>
      <c r="L6" s="1"/>
      <c r="N6" t="s">
        <v>15</v>
      </c>
      <c r="O6">
        <v>0.19089918374839621</v>
      </c>
    </row>
    <row r="7" spans="2:19" x14ac:dyDescent="0.2">
      <c r="B7" s="2"/>
      <c r="C7" s="3" t="s">
        <v>2</v>
      </c>
      <c r="D7" s="3" t="s">
        <v>3</v>
      </c>
      <c r="E7" s="3" t="s">
        <v>4</v>
      </c>
      <c r="G7" s="3" t="s">
        <v>2</v>
      </c>
      <c r="H7" s="3" t="s">
        <v>3</v>
      </c>
      <c r="I7" s="3" t="s">
        <v>4</v>
      </c>
      <c r="K7" s="3" t="s">
        <v>2</v>
      </c>
      <c r="L7" s="3" t="s">
        <v>3</v>
      </c>
      <c r="M7" s="3"/>
      <c r="N7" t="s">
        <v>15</v>
      </c>
      <c r="O7">
        <v>0.17694916967509269</v>
      </c>
    </row>
    <row r="8" spans="2:19" x14ac:dyDescent="0.2">
      <c r="B8" s="2"/>
      <c r="C8" s="2"/>
      <c r="D8" s="2"/>
      <c r="E8" s="2"/>
      <c r="L8" s="1"/>
      <c r="N8" t="s">
        <v>16</v>
      </c>
      <c r="O8">
        <v>0.10439241495421191</v>
      </c>
    </row>
    <row r="9" spans="2:19" ht="16" thickBot="1" x14ac:dyDescent="0.25">
      <c r="B9" s="42" t="s">
        <v>0</v>
      </c>
      <c r="C9" s="46" t="s">
        <v>1</v>
      </c>
      <c r="D9" s="46" t="s">
        <v>1</v>
      </c>
      <c r="E9" s="46" t="s">
        <v>1</v>
      </c>
      <c r="G9" s="46" t="s">
        <v>7</v>
      </c>
      <c r="H9" s="46" t="s">
        <v>7</v>
      </c>
      <c r="I9" s="46" t="s">
        <v>7</v>
      </c>
      <c r="K9" s="46" t="s">
        <v>10</v>
      </c>
      <c r="L9" s="167" t="s">
        <v>11</v>
      </c>
      <c r="N9" s="5" t="s">
        <v>17</v>
      </c>
      <c r="O9" s="5">
        <v>60</v>
      </c>
    </row>
    <row r="10" spans="2:19" x14ac:dyDescent="0.2">
      <c r="B10" s="166">
        <v>42825</v>
      </c>
      <c r="C10" s="43">
        <v>13.71</v>
      </c>
      <c r="D10" s="43">
        <v>15547.75</v>
      </c>
      <c r="E10" s="43">
        <v>0.52</v>
      </c>
      <c r="G10" s="43"/>
      <c r="H10" s="43"/>
      <c r="I10" s="43"/>
      <c r="K10" s="43"/>
      <c r="L10" s="166"/>
    </row>
    <row r="11" spans="2:19" ht="16" thickBot="1" x14ac:dyDescent="0.25">
      <c r="B11" s="166">
        <v>42853</v>
      </c>
      <c r="C11" s="43">
        <v>16.440000000000001</v>
      </c>
      <c r="D11" s="43">
        <v>15586.13</v>
      </c>
      <c r="E11" s="43">
        <v>0.52</v>
      </c>
      <c r="G11" s="44">
        <f>C11/C10-1</f>
        <v>0.19912472647702417</v>
      </c>
      <c r="H11" s="44">
        <f t="shared" ref="H11" si="0">D11/D10-1</f>
        <v>2.4685243845572469E-3</v>
      </c>
      <c r="I11" s="44">
        <f>E11/12</f>
        <v>4.3333333333333335E-2</v>
      </c>
      <c r="K11" s="47">
        <f>G11-I11</f>
        <v>0.15579139314369084</v>
      </c>
      <c r="L11" s="47">
        <f>H11-I11</f>
        <v>-4.0864808948776088E-2</v>
      </c>
      <c r="N11" t="s">
        <v>18</v>
      </c>
    </row>
    <row r="12" spans="2:19" x14ac:dyDescent="0.2">
      <c r="B12" s="166">
        <v>42886</v>
      </c>
      <c r="C12" s="43">
        <v>16.41</v>
      </c>
      <c r="D12" s="43">
        <v>15349.91</v>
      </c>
      <c r="E12" s="43">
        <v>0.52</v>
      </c>
      <c r="G12" s="44">
        <f t="shared" ref="G12:G70" si="1">C12/C11-1</f>
        <v>-1.8248175182482562E-3</v>
      </c>
      <c r="H12" s="44">
        <f t="shared" ref="H12:H70" si="2">D12/D11-1</f>
        <v>-1.5155782737600654E-2</v>
      </c>
      <c r="I12" s="44">
        <f t="shared" ref="I12:I70" si="3">E12/12</f>
        <v>4.3333333333333335E-2</v>
      </c>
      <c r="K12" s="47">
        <f t="shared" ref="K12:K70" si="4">G12-I12</f>
        <v>-4.5158150851581591E-2</v>
      </c>
      <c r="L12" s="47">
        <f t="shared" ref="L12:L70" si="5">H12-I12</f>
        <v>-5.8489116070933989E-2</v>
      </c>
      <c r="N12" s="6"/>
      <c r="O12" s="6" t="s">
        <v>23</v>
      </c>
      <c r="P12" s="6" t="s">
        <v>24</v>
      </c>
      <c r="Q12" s="6" t="s">
        <v>25</v>
      </c>
      <c r="R12" s="6" t="s">
        <v>26</v>
      </c>
      <c r="S12" s="6" t="s">
        <v>27</v>
      </c>
    </row>
    <row r="13" spans="2:19" x14ac:dyDescent="0.2">
      <c r="B13" s="166">
        <v>42916</v>
      </c>
      <c r="C13" s="43">
        <v>17.690000000000001</v>
      </c>
      <c r="D13" s="43">
        <v>15182.19</v>
      </c>
      <c r="E13" s="43">
        <v>0.71</v>
      </c>
      <c r="G13" s="44">
        <f t="shared" si="1"/>
        <v>7.8001218769043312E-2</v>
      </c>
      <c r="H13" s="44">
        <f t="shared" si="2"/>
        <v>-1.092644842868784E-2</v>
      </c>
      <c r="I13" s="44">
        <f t="shared" si="3"/>
        <v>5.9166666666666666E-2</v>
      </c>
      <c r="K13" s="47">
        <f t="shared" si="4"/>
        <v>1.8834552102376646E-2</v>
      </c>
      <c r="L13" s="47">
        <f t="shared" si="5"/>
        <v>-7.0093115095354513E-2</v>
      </c>
      <c r="N13" t="s">
        <v>19</v>
      </c>
      <c r="O13">
        <v>1</v>
      </c>
      <c r="P13">
        <v>0.14913078864333262</v>
      </c>
      <c r="Q13">
        <v>0.14913078864333262</v>
      </c>
      <c r="R13">
        <v>13.684515495487899</v>
      </c>
      <c r="S13">
        <v>4.8235953219527198E-4</v>
      </c>
    </row>
    <row r="14" spans="2:19" x14ac:dyDescent="0.2">
      <c r="B14" s="166">
        <v>42947</v>
      </c>
      <c r="C14" s="43">
        <v>15.37</v>
      </c>
      <c r="D14" s="43">
        <v>15143.87</v>
      </c>
      <c r="E14" s="43">
        <v>0.73</v>
      </c>
      <c r="G14" s="44">
        <f t="shared" si="1"/>
        <v>-0.1311475409836067</v>
      </c>
      <c r="H14" s="44">
        <f t="shared" si="2"/>
        <v>-2.5240100407121213E-3</v>
      </c>
      <c r="I14" s="44">
        <f t="shared" si="3"/>
        <v>6.083333333333333E-2</v>
      </c>
      <c r="K14" s="47">
        <f t="shared" si="4"/>
        <v>-0.19198087431694003</v>
      </c>
      <c r="L14" s="47">
        <f t="shared" si="5"/>
        <v>-6.3357343374045444E-2</v>
      </c>
      <c r="N14" t="s">
        <v>20</v>
      </c>
      <c r="O14">
        <v>58</v>
      </c>
      <c r="P14">
        <v>0.63207102539839721</v>
      </c>
      <c r="Q14">
        <v>1.0897776299972366E-2</v>
      </c>
    </row>
    <row r="15" spans="2:19" ht="16" thickBot="1" x14ac:dyDescent="0.25">
      <c r="B15" s="166">
        <v>42978</v>
      </c>
      <c r="C15" s="43">
        <v>14.6</v>
      </c>
      <c r="D15" s="43">
        <v>15211.87</v>
      </c>
      <c r="E15" s="43">
        <v>0.76</v>
      </c>
      <c r="G15" s="44">
        <f t="shared" si="1"/>
        <v>-5.0097592713077344E-2</v>
      </c>
      <c r="H15" s="44">
        <f t="shared" si="2"/>
        <v>4.4902656982659384E-3</v>
      </c>
      <c r="I15" s="44">
        <f t="shared" si="3"/>
        <v>6.3333333333333339E-2</v>
      </c>
      <c r="K15" s="47">
        <f t="shared" si="4"/>
        <v>-0.11343092604641068</v>
      </c>
      <c r="L15" s="47">
        <f t="shared" si="5"/>
        <v>-5.88430676350674E-2</v>
      </c>
      <c r="N15" s="5" t="s">
        <v>21</v>
      </c>
      <c r="O15" s="5">
        <v>59</v>
      </c>
      <c r="P15" s="5">
        <v>0.78120181404172984</v>
      </c>
      <c r="Q15" s="5"/>
      <c r="R15" s="5"/>
      <c r="S15" s="5"/>
    </row>
    <row r="16" spans="2:19" ht="16" thickBot="1" x14ac:dyDescent="0.25">
      <c r="B16" s="166">
        <v>43007</v>
      </c>
      <c r="C16" s="43">
        <v>14.96</v>
      </c>
      <c r="D16" s="43">
        <v>15634.94</v>
      </c>
      <c r="E16" s="43">
        <v>1</v>
      </c>
      <c r="G16" s="44">
        <f t="shared" si="1"/>
        <v>2.4657534246575352E-2</v>
      </c>
      <c r="H16" s="44">
        <f t="shared" si="2"/>
        <v>2.7811833785063911E-2</v>
      </c>
      <c r="I16" s="44">
        <f t="shared" si="3"/>
        <v>8.3333333333333329E-2</v>
      </c>
      <c r="K16" s="47">
        <f t="shared" si="4"/>
        <v>-5.8675799086757977E-2</v>
      </c>
      <c r="L16" s="47">
        <f t="shared" si="5"/>
        <v>-5.5521499548269418E-2</v>
      </c>
    </row>
    <row r="17" spans="2:22" x14ac:dyDescent="0.2">
      <c r="B17" s="166">
        <v>43039</v>
      </c>
      <c r="C17" s="43">
        <v>15.54</v>
      </c>
      <c r="D17" s="43">
        <v>16025.59</v>
      </c>
      <c r="E17" s="43">
        <v>0.91</v>
      </c>
      <c r="G17" s="44">
        <f t="shared" si="1"/>
        <v>3.8770053475935651E-2</v>
      </c>
      <c r="H17" s="44">
        <f t="shared" si="2"/>
        <v>2.4985705093847566E-2</v>
      </c>
      <c r="I17" s="44">
        <f t="shared" si="3"/>
        <v>7.5833333333333336E-2</v>
      </c>
      <c r="K17" s="47">
        <f t="shared" si="4"/>
        <v>-3.7063279857397685E-2</v>
      </c>
      <c r="L17" s="47">
        <f t="shared" si="5"/>
        <v>-5.084762823948577E-2</v>
      </c>
      <c r="N17" s="6"/>
      <c r="O17" s="6" t="s">
        <v>28</v>
      </c>
      <c r="P17" s="6" t="s">
        <v>16</v>
      </c>
      <c r="Q17" s="6" t="s">
        <v>29</v>
      </c>
      <c r="R17" s="6" t="s">
        <v>30</v>
      </c>
      <c r="S17" s="6" t="s">
        <v>31</v>
      </c>
      <c r="T17" s="6" t="s">
        <v>32</v>
      </c>
      <c r="U17" s="6" t="s">
        <v>33</v>
      </c>
      <c r="V17" s="6" t="s">
        <v>34</v>
      </c>
    </row>
    <row r="18" spans="2:22" x14ac:dyDescent="0.2">
      <c r="B18" s="166">
        <v>43069</v>
      </c>
      <c r="C18" s="43">
        <v>12.84</v>
      </c>
      <c r="D18" s="43">
        <v>16067.48</v>
      </c>
      <c r="E18" s="43">
        <v>0.88</v>
      </c>
      <c r="G18" s="44">
        <f t="shared" si="1"/>
        <v>-0.17374517374517373</v>
      </c>
      <c r="H18" s="44">
        <f t="shared" si="2"/>
        <v>2.6139443227986003E-3</v>
      </c>
      <c r="I18" s="44">
        <f t="shared" si="3"/>
        <v>7.3333333333333334E-2</v>
      </c>
      <c r="K18" s="47">
        <f t="shared" si="4"/>
        <v>-0.24707850707850706</v>
      </c>
      <c r="L18" s="47">
        <f t="shared" si="5"/>
        <v>-7.0719389010534733E-2</v>
      </c>
      <c r="N18" t="s">
        <v>22</v>
      </c>
      <c r="O18">
        <v>-2.1679896799201931E-2</v>
      </c>
      <c r="P18">
        <v>1.8223868291952505E-2</v>
      </c>
      <c r="Q18">
        <v>-1.1896429699711766</v>
      </c>
      <c r="R18">
        <v>0.23903394906469144</v>
      </c>
      <c r="S18">
        <v>-5.8158932587963223E-2</v>
      </c>
      <c r="T18">
        <v>1.4799138989559361E-2</v>
      </c>
      <c r="U18">
        <v>-5.8158932587963223E-2</v>
      </c>
      <c r="V18">
        <v>1.4799138989559361E-2</v>
      </c>
    </row>
    <row r="19" spans="2:22" ht="16" thickBot="1" x14ac:dyDescent="0.25">
      <c r="B19" s="166">
        <v>43098</v>
      </c>
      <c r="C19" s="43">
        <v>13.62</v>
      </c>
      <c r="D19" s="43">
        <v>16209.13</v>
      </c>
      <c r="E19" s="43">
        <v>1.06</v>
      </c>
      <c r="G19" s="44">
        <f t="shared" si="1"/>
        <v>6.0747663551401709E-2</v>
      </c>
      <c r="H19" s="44">
        <f t="shared" si="2"/>
        <v>8.815943757203959E-3</v>
      </c>
      <c r="I19" s="44">
        <f t="shared" si="3"/>
        <v>8.8333333333333333E-2</v>
      </c>
      <c r="K19" s="47">
        <f t="shared" si="4"/>
        <v>-2.7585669781931624E-2</v>
      </c>
      <c r="L19" s="47">
        <f t="shared" si="5"/>
        <v>-7.9517389576129374E-2</v>
      </c>
      <c r="N19" s="5" t="s">
        <v>35</v>
      </c>
      <c r="O19" s="5">
        <v>0.70408959362071388</v>
      </c>
      <c r="P19" s="5">
        <v>0.19033261422373504</v>
      </c>
      <c r="Q19" s="5">
        <v>3.6992587764967073</v>
      </c>
      <c r="R19" s="5">
        <v>4.8235953219526742E-4</v>
      </c>
      <c r="S19" s="5">
        <v>0.32309747192599336</v>
      </c>
      <c r="T19" s="5">
        <v>1.0850817153154344</v>
      </c>
      <c r="U19" s="5">
        <v>0.32309747192599336</v>
      </c>
      <c r="V19" s="5">
        <v>1.0850817153154344</v>
      </c>
    </row>
    <row r="20" spans="2:22" x14ac:dyDescent="0.2">
      <c r="B20" s="166">
        <v>43131</v>
      </c>
      <c r="C20" s="43">
        <v>15.42</v>
      </c>
      <c r="D20" s="43">
        <v>15951.67</v>
      </c>
      <c r="E20" s="43">
        <v>1.2</v>
      </c>
      <c r="G20" s="44">
        <f t="shared" si="1"/>
        <v>0.13215859030837018</v>
      </c>
      <c r="H20" s="44">
        <f t="shared" si="2"/>
        <v>-1.5883640886339978E-2</v>
      </c>
      <c r="I20" s="44">
        <f t="shared" si="3"/>
        <v>9.9999999999999992E-2</v>
      </c>
      <c r="K20" s="47">
        <f t="shared" si="4"/>
        <v>3.2158590308370191E-2</v>
      </c>
      <c r="L20" s="47">
        <f t="shared" si="5"/>
        <v>-0.11588364088633997</v>
      </c>
    </row>
    <row r="21" spans="2:22" x14ac:dyDescent="0.2">
      <c r="B21" s="166">
        <v>43159</v>
      </c>
      <c r="C21" s="43">
        <v>15.89</v>
      </c>
      <c r="D21" s="43">
        <v>15442.68</v>
      </c>
      <c r="E21" s="43">
        <v>1.1399999999999999</v>
      </c>
      <c r="G21" s="44">
        <f t="shared" si="1"/>
        <v>3.0479896238651216E-2</v>
      </c>
      <c r="H21" s="44">
        <f t="shared" si="2"/>
        <v>-3.1908257881463231E-2</v>
      </c>
      <c r="I21" s="44">
        <f t="shared" si="3"/>
        <v>9.4999999999999987E-2</v>
      </c>
      <c r="K21" s="47">
        <f t="shared" si="4"/>
        <v>-6.4520103761348771E-2</v>
      </c>
      <c r="L21" s="47">
        <f t="shared" si="5"/>
        <v>-0.1269082578814632</v>
      </c>
    </row>
    <row r="22" spans="2:22" x14ac:dyDescent="0.2">
      <c r="B22" s="166">
        <v>43189</v>
      </c>
      <c r="C22" s="43">
        <v>13.33</v>
      </c>
      <c r="D22" s="43">
        <v>15367.29</v>
      </c>
      <c r="E22" s="43">
        <v>1.1000000000000001</v>
      </c>
      <c r="G22" s="44">
        <f t="shared" si="1"/>
        <v>-0.16110761485210823</v>
      </c>
      <c r="H22" s="44">
        <f t="shared" si="2"/>
        <v>-4.8819246400235716E-3</v>
      </c>
      <c r="I22" s="44">
        <f t="shared" si="3"/>
        <v>9.1666666666666674E-2</v>
      </c>
      <c r="K22" s="47">
        <f t="shared" si="4"/>
        <v>-0.2527742815187749</v>
      </c>
      <c r="L22" s="47">
        <f t="shared" si="5"/>
        <v>-9.6548591306690246E-2</v>
      </c>
    </row>
    <row r="23" spans="2:22" x14ac:dyDescent="0.2">
      <c r="B23" s="166">
        <v>43220</v>
      </c>
      <c r="C23" s="43">
        <v>12.25</v>
      </c>
      <c r="D23" s="43">
        <v>15607.88</v>
      </c>
      <c r="E23" s="43">
        <v>1.19</v>
      </c>
      <c r="G23" s="44">
        <f t="shared" si="1"/>
        <v>-8.1020255063765978E-2</v>
      </c>
      <c r="H23" s="44">
        <f t="shared" si="2"/>
        <v>1.565598098298393E-2</v>
      </c>
      <c r="I23" s="44">
        <f t="shared" si="3"/>
        <v>9.9166666666666667E-2</v>
      </c>
      <c r="K23" s="47">
        <f t="shared" si="4"/>
        <v>-0.18018692173043266</v>
      </c>
      <c r="L23" s="47">
        <f t="shared" si="5"/>
        <v>-8.3510685683682737E-2</v>
      </c>
    </row>
    <row r="24" spans="2:22" x14ac:dyDescent="0.2">
      <c r="B24" s="166">
        <v>43251</v>
      </c>
      <c r="C24" s="43">
        <v>12.49</v>
      </c>
      <c r="D24" s="43">
        <v>16061.5</v>
      </c>
      <c r="E24" s="43">
        <v>1.27</v>
      </c>
      <c r="G24" s="44">
        <f t="shared" si="1"/>
        <v>1.959183673469389E-2</v>
      </c>
      <c r="H24" s="44">
        <f t="shared" si="2"/>
        <v>2.9063524322329615E-2</v>
      </c>
      <c r="I24" s="44">
        <f t="shared" si="3"/>
        <v>0.10583333333333333</v>
      </c>
      <c r="K24" s="47">
        <f t="shared" si="4"/>
        <v>-8.6241496598639444E-2</v>
      </c>
      <c r="L24" s="47">
        <f t="shared" si="5"/>
        <v>-7.676980901100372E-2</v>
      </c>
    </row>
    <row r="25" spans="2:22" x14ac:dyDescent="0.2">
      <c r="B25" s="166">
        <v>43280</v>
      </c>
      <c r="C25" s="43">
        <v>11.77</v>
      </c>
      <c r="D25" s="43">
        <v>16277.73</v>
      </c>
      <c r="E25" s="43">
        <v>1.26</v>
      </c>
      <c r="G25" s="44">
        <f t="shared" si="1"/>
        <v>-5.7646116893514843E-2</v>
      </c>
      <c r="H25" s="44">
        <f t="shared" si="2"/>
        <v>1.3462628023534595E-2</v>
      </c>
      <c r="I25" s="44">
        <f t="shared" si="3"/>
        <v>0.105</v>
      </c>
      <c r="K25" s="47">
        <f t="shared" si="4"/>
        <v>-0.16264611689351482</v>
      </c>
      <c r="L25" s="47">
        <f t="shared" si="5"/>
        <v>-9.1537371976465401E-2</v>
      </c>
    </row>
    <row r="26" spans="2:22" x14ac:dyDescent="0.2">
      <c r="B26" s="166">
        <v>43312</v>
      </c>
      <c r="C26" s="43">
        <v>12.47</v>
      </c>
      <c r="D26" s="43">
        <v>16434.009999999998</v>
      </c>
      <c r="E26" s="43">
        <v>1.45</v>
      </c>
      <c r="G26" s="44">
        <f t="shared" si="1"/>
        <v>5.9473237043330629E-2</v>
      </c>
      <c r="H26" s="44">
        <f t="shared" si="2"/>
        <v>9.6008472925892541E-3</v>
      </c>
      <c r="I26" s="44">
        <f t="shared" si="3"/>
        <v>0.12083333333333333</v>
      </c>
      <c r="K26" s="47">
        <f t="shared" si="4"/>
        <v>-6.1360096290002705E-2</v>
      </c>
      <c r="L26" s="47">
        <f t="shared" si="5"/>
        <v>-0.11123248604074408</v>
      </c>
      <c r="N26" s="114"/>
      <c r="O26" s="114"/>
    </row>
    <row r="27" spans="2:22" x14ac:dyDescent="0.2">
      <c r="B27" s="166">
        <v>43343</v>
      </c>
      <c r="C27" s="43">
        <v>13.27</v>
      </c>
      <c r="D27" s="43">
        <v>16262.88</v>
      </c>
      <c r="E27" s="43">
        <v>1.53</v>
      </c>
      <c r="G27" s="44">
        <f t="shared" si="1"/>
        <v>6.4153969526864474E-2</v>
      </c>
      <c r="H27" s="44">
        <f t="shared" si="2"/>
        <v>-1.0413161486453992E-2</v>
      </c>
      <c r="I27" s="44">
        <f t="shared" si="3"/>
        <v>0.1275</v>
      </c>
      <c r="K27" s="47">
        <f t="shared" si="4"/>
        <v>-6.3346030473135528E-2</v>
      </c>
      <c r="L27" s="47">
        <f t="shared" si="5"/>
        <v>-0.13791316148645399</v>
      </c>
    </row>
    <row r="28" spans="2:22" x14ac:dyDescent="0.2">
      <c r="B28" s="166">
        <v>43371</v>
      </c>
      <c r="C28" s="43">
        <v>12.61</v>
      </c>
      <c r="D28" s="43">
        <v>16073.14</v>
      </c>
      <c r="E28" s="43">
        <v>1.59</v>
      </c>
      <c r="G28" s="44">
        <f t="shared" si="1"/>
        <v>-4.9736247174076875E-2</v>
      </c>
      <c r="H28" s="44">
        <f t="shared" si="2"/>
        <v>-1.1667060200899249E-2</v>
      </c>
      <c r="I28" s="44">
        <f t="shared" si="3"/>
        <v>0.13250000000000001</v>
      </c>
      <c r="K28" s="47">
        <f t="shared" si="4"/>
        <v>-0.18223624717407688</v>
      </c>
      <c r="L28" s="47">
        <f t="shared" si="5"/>
        <v>-0.14416706020089926</v>
      </c>
    </row>
    <row r="29" spans="2:22" x14ac:dyDescent="0.2">
      <c r="B29" s="166">
        <v>43404</v>
      </c>
      <c r="C29" s="43">
        <v>10.24</v>
      </c>
      <c r="D29" s="43">
        <v>15027.28</v>
      </c>
      <c r="E29" s="43">
        <v>1.73</v>
      </c>
      <c r="G29" s="44">
        <f t="shared" si="1"/>
        <v>-0.18794607454401269</v>
      </c>
      <c r="H29" s="44">
        <f t="shared" si="2"/>
        <v>-6.5068804228669674E-2</v>
      </c>
      <c r="I29" s="44">
        <f t="shared" si="3"/>
        <v>0.14416666666666667</v>
      </c>
      <c r="K29" s="47">
        <f t="shared" si="4"/>
        <v>-0.33211274121067935</v>
      </c>
      <c r="L29" s="47">
        <f t="shared" si="5"/>
        <v>-0.20923547089533634</v>
      </c>
    </row>
    <row r="30" spans="2:22" x14ac:dyDescent="0.2">
      <c r="B30" s="166">
        <v>43434</v>
      </c>
      <c r="C30" s="43">
        <v>12.51</v>
      </c>
      <c r="D30" s="43">
        <v>15197.82</v>
      </c>
      <c r="E30" s="43">
        <v>1.7</v>
      </c>
      <c r="G30" s="44">
        <f t="shared" si="1"/>
        <v>0.2216796875</v>
      </c>
      <c r="H30" s="44">
        <f t="shared" si="2"/>
        <v>1.1348693842132329E-2</v>
      </c>
      <c r="I30" s="44">
        <f t="shared" si="3"/>
        <v>0.14166666666666666</v>
      </c>
      <c r="K30" s="47">
        <f t="shared" si="4"/>
        <v>8.0013020833333337E-2</v>
      </c>
      <c r="L30" s="47">
        <f t="shared" si="5"/>
        <v>-0.13031797282453433</v>
      </c>
    </row>
    <row r="31" spans="2:22" x14ac:dyDescent="0.2">
      <c r="B31" s="166">
        <v>43465</v>
      </c>
      <c r="C31" s="43">
        <v>10.23</v>
      </c>
      <c r="D31" s="43">
        <v>14322.86</v>
      </c>
      <c r="E31" s="43">
        <v>1.64</v>
      </c>
      <c r="G31" s="44">
        <f t="shared" si="1"/>
        <v>-0.18225419664268583</v>
      </c>
      <c r="H31" s="44">
        <f t="shared" si="2"/>
        <v>-5.7571414847655711E-2</v>
      </c>
      <c r="I31" s="44">
        <f t="shared" si="3"/>
        <v>0.13666666666666666</v>
      </c>
      <c r="K31" s="47">
        <f t="shared" si="4"/>
        <v>-0.31892086330935249</v>
      </c>
      <c r="L31" s="47">
        <f t="shared" si="5"/>
        <v>-0.19423808151432237</v>
      </c>
    </row>
    <row r="32" spans="2:22" x14ac:dyDescent="0.2">
      <c r="B32" s="166">
        <v>43496</v>
      </c>
      <c r="C32" s="43">
        <v>9.9700000000000006</v>
      </c>
      <c r="D32" s="43">
        <v>15540.6</v>
      </c>
      <c r="E32" s="43">
        <v>1.65</v>
      </c>
      <c r="G32" s="44">
        <f t="shared" si="1"/>
        <v>-2.5415444770283457E-2</v>
      </c>
      <c r="H32" s="44">
        <f t="shared" si="2"/>
        <v>8.5020729100193648E-2</v>
      </c>
      <c r="I32" s="44">
        <f t="shared" si="3"/>
        <v>0.13749999999999998</v>
      </c>
      <c r="K32" s="47">
        <f t="shared" si="4"/>
        <v>-0.16291544477028344</v>
      </c>
      <c r="L32" s="47">
        <f t="shared" si="5"/>
        <v>-5.2479270899806335E-2</v>
      </c>
    </row>
    <row r="33" spans="2:22" x14ac:dyDescent="0.2">
      <c r="B33" s="166">
        <v>43524</v>
      </c>
      <c r="C33" s="43">
        <v>8.81</v>
      </c>
      <c r="D33" s="43">
        <v>15999.01</v>
      </c>
      <c r="E33" s="43">
        <v>1.66</v>
      </c>
      <c r="G33" s="44">
        <f t="shared" si="1"/>
        <v>-0.11634904714142424</v>
      </c>
      <c r="H33" s="44">
        <f t="shared" si="2"/>
        <v>2.949757409623821E-2</v>
      </c>
      <c r="I33" s="44">
        <f t="shared" si="3"/>
        <v>0.13833333333333334</v>
      </c>
      <c r="K33" s="47">
        <f t="shared" si="4"/>
        <v>-0.25468238047475755</v>
      </c>
      <c r="L33" s="47">
        <f t="shared" si="5"/>
        <v>-0.10883575923709513</v>
      </c>
    </row>
    <row r="34" spans="2:22" x14ac:dyDescent="0.2">
      <c r="B34" s="166">
        <v>43553</v>
      </c>
      <c r="C34" s="43">
        <v>8.34</v>
      </c>
      <c r="D34" s="43">
        <v>16102.09</v>
      </c>
      <c r="E34" s="43">
        <v>1.67</v>
      </c>
      <c r="G34" s="44">
        <f t="shared" si="1"/>
        <v>-5.3348467650397358E-2</v>
      </c>
      <c r="H34" s="44">
        <f t="shared" si="2"/>
        <v>6.4428986543543232E-3</v>
      </c>
      <c r="I34" s="44">
        <f t="shared" si="3"/>
        <v>0.13916666666666666</v>
      </c>
      <c r="K34" s="47">
        <f t="shared" si="4"/>
        <v>-0.19251513431706402</v>
      </c>
      <c r="L34" s="47">
        <f t="shared" si="5"/>
        <v>-0.13272376801231234</v>
      </c>
      <c r="N34" s="115"/>
      <c r="O34" s="115"/>
      <c r="P34" s="115"/>
      <c r="Q34" s="115"/>
      <c r="R34" s="115"/>
      <c r="S34" s="115"/>
    </row>
    <row r="35" spans="2:22" x14ac:dyDescent="0.2">
      <c r="B35" s="166">
        <v>43585</v>
      </c>
      <c r="C35" s="43">
        <v>8.0299999999999994</v>
      </c>
      <c r="D35" s="43">
        <v>16580.73</v>
      </c>
      <c r="E35" s="43">
        <v>1.68</v>
      </c>
      <c r="G35" s="44">
        <f t="shared" si="1"/>
        <v>-3.7170263788968927E-2</v>
      </c>
      <c r="H35" s="44">
        <f t="shared" si="2"/>
        <v>2.9725333792072872E-2</v>
      </c>
      <c r="I35" s="44">
        <f t="shared" si="3"/>
        <v>0.13999999999999999</v>
      </c>
      <c r="K35" s="47">
        <f t="shared" si="4"/>
        <v>-0.17717026378896891</v>
      </c>
      <c r="L35" s="47">
        <f t="shared" si="5"/>
        <v>-0.11027466620792711</v>
      </c>
    </row>
    <row r="36" spans="2:22" x14ac:dyDescent="0.2">
      <c r="B36" s="166">
        <v>43616</v>
      </c>
      <c r="C36" s="43">
        <v>8.82</v>
      </c>
      <c r="D36" s="43">
        <v>16037.49</v>
      </c>
      <c r="E36" s="43">
        <v>1.68</v>
      </c>
      <c r="G36" s="44">
        <f t="shared" si="1"/>
        <v>9.8381070983810881E-2</v>
      </c>
      <c r="H36" s="44">
        <f t="shared" si="2"/>
        <v>-3.2763334304339975E-2</v>
      </c>
      <c r="I36" s="44">
        <f t="shared" si="3"/>
        <v>0.13999999999999999</v>
      </c>
      <c r="K36" s="47">
        <f t="shared" si="4"/>
        <v>-4.1618929016189105E-2</v>
      </c>
      <c r="L36" s="47">
        <f t="shared" si="5"/>
        <v>-0.17276333430433996</v>
      </c>
    </row>
    <row r="37" spans="2:22" x14ac:dyDescent="0.2">
      <c r="B37" s="166">
        <v>43644</v>
      </c>
      <c r="C37" s="43">
        <v>10.54</v>
      </c>
      <c r="D37" s="43">
        <v>16382.2</v>
      </c>
      <c r="E37" s="43">
        <v>1.66</v>
      </c>
      <c r="G37" s="44">
        <f t="shared" si="1"/>
        <v>0.19501133786848057</v>
      </c>
      <c r="H37" s="44">
        <f t="shared" si="2"/>
        <v>2.1494011843499194E-2</v>
      </c>
      <c r="I37" s="44">
        <f t="shared" si="3"/>
        <v>0.13833333333333334</v>
      </c>
      <c r="K37" s="47">
        <f t="shared" si="4"/>
        <v>5.6678004535147236E-2</v>
      </c>
      <c r="L37" s="47">
        <f t="shared" si="5"/>
        <v>-0.11683932148983414</v>
      </c>
    </row>
    <row r="38" spans="2:22" x14ac:dyDescent="0.2">
      <c r="B38" s="166">
        <v>43677</v>
      </c>
      <c r="C38" s="43">
        <v>12.09</v>
      </c>
      <c r="D38" s="43">
        <v>16406.560000000001</v>
      </c>
      <c r="E38" s="43">
        <v>1.65</v>
      </c>
      <c r="G38" s="44">
        <f t="shared" si="1"/>
        <v>0.14705882352941191</v>
      </c>
      <c r="H38" s="44">
        <f t="shared" si="2"/>
        <v>1.4869797707268706E-3</v>
      </c>
      <c r="I38" s="44">
        <f t="shared" si="3"/>
        <v>0.13749999999999998</v>
      </c>
      <c r="K38" s="47">
        <f t="shared" si="4"/>
        <v>9.558823529411925E-3</v>
      </c>
      <c r="L38" s="47">
        <f t="shared" si="5"/>
        <v>-0.13601302022927311</v>
      </c>
    </row>
    <row r="39" spans="2:22" x14ac:dyDescent="0.2">
      <c r="B39" s="166">
        <v>43707</v>
      </c>
      <c r="C39" s="43">
        <v>11.28</v>
      </c>
      <c r="D39" s="43">
        <v>16442.07</v>
      </c>
      <c r="E39" s="43">
        <v>1.62</v>
      </c>
      <c r="G39" s="44">
        <f t="shared" si="1"/>
        <v>-6.6997518610421913E-2</v>
      </c>
      <c r="H39" s="44">
        <f t="shared" si="2"/>
        <v>2.1643781511784255E-3</v>
      </c>
      <c r="I39" s="44">
        <f t="shared" si="3"/>
        <v>0.13500000000000001</v>
      </c>
      <c r="K39" s="47">
        <f t="shared" si="4"/>
        <v>-0.20199751861042192</v>
      </c>
      <c r="L39" s="47">
        <f t="shared" si="5"/>
        <v>-0.13283562184882158</v>
      </c>
      <c r="N39" s="115"/>
      <c r="O39" s="115"/>
      <c r="P39" s="115"/>
      <c r="Q39" s="115"/>
      <c r="R39" s="115"/>
      <c r="S39" s="115"/>
      <c r="T39" s="115"/>
      <c r="U39" s="115"/>
      <c r="V39" s="115"/>
    </row>
    <row r="40" spans="2:22" x14ac:dyDescent="0.2">
      <c r="B40" s="166">
        <v>43738</v>
      </c>
      <c r="C40" s="43">
        <v>11.58</v>
      </c>
      <c r="D40" s="43">
        <v>16658.63</v>
      </c>
      <c r="E40" s="43">
        <v>1.65</v>
      </c>
      <c r="G40" s="44">
        <f t="shared" si="1"/>
        <v>2.659574468085113E-2</v>
      </c>
      <c r="H40" s="44">
        <f t="shared" si="2"/>
        <v>1.317109098793523E-2</v>
      </c>
      <c r="I40" s="44">
        <f t="shared" si="3"/>
        <v>0.13749999999999998</v>
      </c>
      <c r="K40" s="47">
        <f t="shared" si="4"/>
        <v>-0.11090425531914885</v>
      </c>
      <c r="L40" s="47">
        <f t="shared" si="5"/>
        <v>-0.12432890901206475</v>
      </c>
    </row>
    <row r="41" spans="2:22" x14ac:dyDescent="0.2">
      <c r="B41" s="166">
        <v>43769</v>
      </c>
      <c r="C41" s="43">
        <v>12.47</v>
      </c>
      <c r="D41" s="43">
        <v>16483.16</v>
      </c>
      <c r="E41" s="43">
        <v>1.66</v>
      </c>
      <c r="G41" s="44">
        <f t="shared" si="1"/>
        <v>7.6856649395509624E-2</v>
      </c>
      <c r="H41" s="44">
        <f t="shared" si="2"/>
        <v>-1.053327914720481E-2</v>
      </c>
      <c r="I41" s="44">
        <f t="shared" si="3"/>
        <v>0.13833333333333334</v>
      </c>
      <c r="K41" s="47">
        <f t="shared" si="4"/>
        <v>-6.1476683937823712E-2</v>
      </c>
      <c r="L41" s="47">
        <f t="shared" si="5"/>
        <v>-0.14886661248053815</v>
      </c>
    </row>
    <row r="42" spans="2:22" x14ac:dyDescent="0.2">
      <c r="B42" s="166">
        <v>43798</v>
      </c>
      <c r="C42" s="43">
        <v>12.44</v>
      </c>
      <c r="D42" s="43">
        <v>17040.2</v>
      </c>
      <c r="E42" s="43">
        <v>1.65</v>
      </c>
      <c r="G42" s="44">
        <f t="shared" si="1"/>
        <v>-2.4057738572574872E-3</v>
      </c>
      <c r="H42" s="44">
        <f t="shared" si="2"/>
        <v>3.3794490862188997E-2</v>
      </c>
      <c r="I42" s="44">
        <f t="shared" si="3"/>
        <v>0.13749999999999998</v>
      </c>
      <c r="K42" s="47">
        <f t="shared" si="4"/>
        <v>-0.13990577385725747</v>
      </c>
      <c r="L42" s="47">
        <f t="shared" si="5"/>
        <v>-0.10370550913781099</v>
      </c>
    </row>
    <row r="43" spans="2:22" x14ac:dyDescent="0.2">
      <c r="B43" s="166">
        <v>43830</v>
      </c>
      <c r="C43" s="43">
        <v>11.21</v>
      </c>
      <c r="D43" s="43">
        <v>17063.43</v>
      </c>
      <c r="E43" s="43">
        <v>1.66</v>
      </c>
      <c r="G43" s="44">
        <f t="shared" si="1"/>
        <v>-9.8874598070739395E-2</v>
      </c>
      <c r="H43" s="44">
        <f t="shared" si="2"/>
        <v>1.3632469102475842E-3</v>
      </c>
      <c r="I43" s="44">
        <f t="shared" si="3"/>
        <v>0.13833333333333334</v>
      </c>
      <c r="K43" s="47">
        <f t="shared" si="4"/>
        <v>-0.23720793140407273</v>
      </c>
      <c r="L43" s="47">
        <f t="shared" si="5"/>
        <v>-0.13697008642308575</v>
      </c>
    </row>
    <row r="44" spans="2:22" x14ac:dyDescent="0.2">
      <c r="B44" s="166">
        <v>43861</v>
      </c>
      <c r="C44" s="43">
        <v>11.31</v>
      </c>
      <c r="D44" s="43">
        <v>17318.490000000002</v>
      </c>
      <c r="E44" s="43">
        <v>1.64</v>
      </c>
      <c r="G44" s="44">
        <f t="shared" si="1"/>
        <v>8.9206066012488261E-3</v>
      </c>
      <c r="H44" s="44">
        <f t="shared" si="2"/>
        <v>1.4947756693701075E-2</v>
      </c>
      <c r="I44" s="44">
        <f t="shared" si="3"/>
        <v>0.13666666666666666</v>
      </c>
      <c r="K44" s="47">
        <f t="shared" si="4"/>
        <v>-0.12774606006541783</v>
      </c>
      <c r="L44" s="47">
        <f t="shared" si="5"/>
        <v>-0.12171890997296558</v>
      </c>
    </row>
    <row r="45" spans="2:22" x14ac:dyDescent="0.2">
      <c r="B45" s="166">
        <v>43889</v>
      </c>
      <c r="C45" s="43">
        <v>10.91</v>
      </c>
      <c r="D45" s="43">
        <v>16263.05</v>
      </c>
      <c r="E45" s="43">
        <v>1.46</v>
      </c>
      <c r="G45" s="44">
        <f t="shared" si="1"/>
        <v>-3.5366931918656141E-2</v>
      </c>
      <c r="H45" s="44">
        <f t="shared" si="2"/>
        <v>-6.0942957498026806E-2</v>
      </c>
      <c r="I45" s="44">
        <f t="shared" si="3"/>
        <v>0.12166666666666666</v>
      </c>
      <c r="K45" s="47">
        <f t="shared" si="4"/>
        <v>-0.15703359858532279</v>
      </c>
      <c r="L45" s="47">
        <f t="shared" si="5"/>
        <v>-0.18260962416469345</v>
      </c>
    </row>
    <row r="46" spans="2:22" x14ac:dyDescent="0.2">
      <c r="B46" s="166">
        <v>43921</v>
      </c>
      <c r="C46" s="43">
        <v>12.57</v>
      </c>
      <c r="D46" s="43">
        <v>13378.75</v>
      </c>
      <c r="E46" s="43">
        <v>0.21</v>
      </c>
      <c r="G46" s="44">
        <f t="shared" si="1"/>
        <v>0.15215398716773598</v>
      </c>
      <c r="H46" s="44">
        <f t="shared" si="2"/>
        <v>-0.17735295654874084</v>
      </c>
      <c r="I46" s="44">
        <f t="shared" si="3"/>
        <v>1.7499999999999998E-2</v>
      </c>
      <c r="K46" s="47">
        <f t="shared" si="4"/>
        <v>0.13465398716773599</v>
      </c>
      <c r="L46" s="47">
        <f t="shared" si="5"/>
        <v>-0.19485295654874082</v>
      </c>
    </row>
    <row r="47" spans="2:22" x14ac:dyDescent="0.2">
      <c r="B47" s="166">
        <v>43951</v>
      </c>
      <c r="C47" s="43">
        <v>13.93</v>
      </c>
      <c r="D47" s="43">
        <v>14780.74</v>
      </c>
      <c r="E47" s="43">
        <v>0.26</v>
      </c>
      <c r="G47" s="44">
        <f t="shared" si="1"/>
        <v>0.10819411296738268</v>
      </c>
      <c r="H47" s="44">
        <f t="shared" si="2"/>
        <v>0.10479230122395577</v>
      </c>
      <c r="I47" s="44">
        <f t="shared" si="3"/>
        <v>2.1666666666666667E-2</v>
      </c>
      <c r="K47" s="47">
        <f t="shared" si="4"/>
        <v>8.6527446300716016E-2</v>
      </c>
      <c r="L47" s="47">
        <f t="shared" si="5"/>
        <v>8.3125634557289108E-2</v>
      </c>
    </row>
    <row r="48" spans="2:22" x14ac:dyDescent="0.2">
      <c r="B48" s="166">
        <v>43980</v>
      </c>
      <c r="C48" s="43">
        <v>14.12</v>
      </c>
      <c r="D48" s="43">
        <v>15192.83</v>
      </c>
      <c r="E48" s="43">
        <v>0.18</v>
      </c>
      <c r="G48" s="44">
        <f t="shared" si="1"/>
        <v>1.3639626704953223E-2</v>
      </c>
      <c r="H48" s="44">
        <f t="shared" si="2"/>
        <v>2.7880200855978865E-2</v>
      </c>
      <c r="I48" s="44">
        <f t="shared" si="3"/>
        <v>1.4999999999999999E-2</v>
      </c>
      <c r="K48" s="47">
        <f t="shared" si="4"/>
        <v>-1.3603732950467767E-3</v>
      </c>
      <c r="L48" s="47">
        <f t="shared" si="5"/>
        <v>1.2880200855978866E-2</v>
      </c>
    </row>
    <row r="49" spans="2:12" x14ac:dyDescent="0.2">
      <c r="B49" s="166">
        <v>44012</v>
      </c>
      <c r="C49" s="43">
        <v>14.79</v>
      </c>
      <c r="D49" s="43">
        <v>15515.22</v>
      </c>
      <c r="E49" s="43">
        <v>0.2</v>
      </c>
      <c r="G49" s="44">
        <f t="shared" si="1"/>
        <v>4.7450424929178503E-2</v>
      </c>
      <c r="H49" s="44">
        <f t="shared" si="2"/>
        <v>2.1219878060900976E-2</v>
      </c>
      <c r="I49" s="44">
        <f t="shared" si="3"/>
        <v>1.6666666666666666E-2</v>
      </c>
      <c r="K49" s="47">
        <f t="shared" si="4"/>
        <v>3.0783758262511837E-2</v>
      </c>
      <c r="L49" s="47">
        <f t="shared" si="5"/>
        <v>4.5532113942343098E-3</v>
      </c>
    </row>
    <row r="50" spans="2:12" x14ac:dyDescent="0.2">
      <c r="B50" s="166">
        <v>44043</v>
      </c>
      <c r="C50" s="43">
        <v>15.27</v>
      </c>
      <c r="D50" s="43">
        <v>16169.21</v>
      </c>
      <c r="E50" s="43">
        <v>0.17</v>
      </c>
      <c r="G50" s="44">
        <f t="shared" si="1"/>
        <v>3.2454361054766734E-2</v>
      </c>
      <c r="H50" s="44">
        <f t="shared" si="2"/>
        <v>4.2151513159336407E-2</v>
      </c>
      <c r="I50" s="44">
        <f t="shared" si="3"/>
        <v>1.4166666666666668E-2</v>
      </c>
      <c r="K50" s="47">
        <f t="shared" si="4"/>
        <v>1.8287694388100066E-2</v>
      </c>
      <c r="L50" s="47">
        <f t="shared" si="5"/>
        <v>2.7984846492669739E-2</v>
      </c>
    </row>
    <row r="51" spans="2:12" x14ac:dyDescent="0.2">
      <c r="B51" s="166">
        <v>44074</v>
      </c>
      <c r="C51" s="43">
        <v>13.87</v>
      </c>
      <c r="D51" s="43">
        <v>16514.439999999999</v>
      </c>
      <c r="E51" s="43">
        <v>0.15</v>
      </c>
      <c r="G51" s="44">
        <f t="shared" si="1"/>
        <v>-9.1683038637851988E-2</v>
      </c>
      <c r="H51" s="44">
        <f t="shared" si="2"/>
        <v>2.1351074047526009E-2</v>
      </c>
      <c r="I51" s="44">
        <f t="shared" si="3"/>
        <v>1.2499999999999999E-2</v>
      </c>
      <c r="K51" s="47">
        <f t="shared" si="4"/>
        <v>-0.10418303863785199</v>
      </c>
      <c r="L51" s="47">
        <f t="shared" si="5"/>
        <v>8.8510740475260096E-3</v>
      </c>
    </row>
    <row r="52" spans="2:12" x14ac:dyDescent="0.2">
      <c r="B52" s="166">
        <v>44104</v>
      </c>
      <c r="C52" s="43">
        <v>16.84</v>
      </c>
      <c r="D52" s="43">
        <v>16121.38</v>
      </c>
      <c r="E52" s="43">
        <v>0.12</v>
      </c>
      <c r="G52" s="44">
        <f t="shared" si="1"/>
        <v>0.21413121845710181</v>
      </c>
      <c r="H52" s="44">
        <f t="shared" si="2"/>
        <v>-2.3800988710486082E-2</v>
      </c>
      <c r="I52" s="44">
        <f t="shared" si="3"/>
        <v>0.01</v>
      </c>
      <c r="K52" s="47">
        <f t="shared" si="4"/>
        <v>0.2041312184571018</v>
      </c>
      <c r="L52" s="47">
        <f t="shared" si="5"/>
        <v>-3.3800988710486084E-2</v>
      </c>
    </row>
    <row r="53" spans="2:12" x14ac:dyDescent="0.2">
      <c r="B53" s="166">
        <v>44134</v>
      </c>
      <c r="C53" s="43">
        <v>14.18</v>
      </c>
      <c r="D53" s="43">
        <v>15580.64</v>
      </c>
      <c r="E53" s="43">
        <v>0.09</v>
      </c>
      <c r="G53" s="44">
        <f t="shared" si="1"/>
        <v>-0.15795724465558192</v>
      </c>
      <c r="H53" s="44">
        <f t="shared" si="2"/>
        <v>-3.3541793568540701E-2</v>
      </c>
      <c r="I53" s="44">
        <f t="shared" si="3"/>
        <v>7.4999999999999997E-3</v>
      </c>
      <c r="K53" s="47">
        <f t="shared" si="4"/>
        <v>-0.16545724465558193</v>
      </c>
      <c r="L53" s="47">
        <f t="shared" si="5"/>
        <v>-4.1041793568540701E-2</v>
      </c>
    </row>
    <row r="54" spans="2:12" x14ac:dyDescent="0.2">
      <c r="B54" s="166">
        <v>44165</v>
      </c>
      <c r="C54" s="43">
        <v>14.6</v>
      </c>
      <c r="D54" s="43">
        <v>17190.25</v>
      </c>
      <c r="E54" s="43">
        <v>0.12</v>
      </c>
      <c r="G54" s="44">
        <f t="shared" si="1"/>
        <v>2.9619181946403339E-2</v>
      </c>
      <c r="H54" s="44">
        <f t="shared" si="2"/>
        <v>0.10330833649965609</v>
      </c>
      <c r="I54" s="44">
        <f t="shared" si="3"/>
        <v>0.01</v>
      </c>
      <c r="K54" s="47">
        <f t="shared" si="4"/>
        <v>1.9619181946403337E-2</v>
      </c>
      <c r="L54" s="47">
        <f t="shared" si="5"/>
        <v>9.33083364996561E-2</v>
      </c>
    </row>
    <row r="55" spans="2:12" x14ac:dyDescent="0.2">
      <c r="B55" s="166">
        <v>44196</v>
      </c>
      <c r="C55" s="43">
        <v>14.55</v>
      </c>
      <c r="D55" s="43">
        <v>17433.36</v>
      </c>
      <c r="E55" s="43">
        <v>0.06</v>
      </c>
      <c r="G55" s="44">
        <f t="shared" si="1"/>
        <v>-3.424657534246478E-3</v>
      </c>
      <c r="H55" s="44">
        <f t="shared" si="2"/>
        <v>1.4142319047134366E-2</v>
      </c>
      <c r="I55" s="44">
        <f t="shared" si="3"/>
        <v>5.0000000000000001E-3</v>
      </c>
      <c r="K55" s="47">
        <f t="shared" si="4"/>
        <v>-8.424657534246479E-3</v>
      </c>
      <c r="L55" s="47">
        <f t="shared" si="5"/>
        <v>9.1423190471343653E-3</v>
      </c>
    </row>
    <row r="56" spans="2:12" x14ac:dyDescent="0.2">
      <c r="B56" s="166">
        <v>44225</v>
      </c>
      <c r="C56" s="43">
        <v>15.5</v>
      </c>
      <c r="D56" s="43">
        <v>17337.03</v>
      </c>
      <c r="E56" s="43">
        <v>7.0000000000000007E-2</v>
      </c>
      <c r="G56" s="44">
        <f t="shared" si="1"/>
        <v>6.5292096219931262E-2</v>
      </c>
      <c r="H56" s="44">
        <f t="shared" si="2"/>
        <v>-5.5256129627335726E-3</v>
      </c>
      <c r="I56" s="44">
        <f t="shared" si="3"/>
        <v>5.8333333333333336E-3</v>
      </c>
      <c r="K56" s="47">
        <f t="shared" si="4"/>
        <v>5.9458762886597925E-2</v>
      </c>
      <c r="L56" s="47">
        <f t="shared" si="5"/>
        <v>-1.1358946296066905E-2</v>
      </c>
    </row>
    <row r="57" spans="2:12" x14ac:dyDescent="0.2">
      <c r="B57" s="166">
        <v>44253</v>
      </c>
      <c r="C57" s="43">
        <v>16.79</v>
      </c>
      <c r="D57" s="43">
        <v>18060.259999999998</v>
      </c>
      <c r="E57" s="43">
        <v>0.13</v>
      </c>
      <c r="G57" s="44">
        <f t="shared" si="1"/>
        <v>8.3225806451612927E-2</v>
      </c>
      <c r="H57" s="44">
        <f t="shared" si="2"/>
        <v>4.171591097206373E-2</v>
      </c>
      <c r="I57" s="44">
        <f t="shared" si="3"/>
        <v>1.0833333333333334E-2</v>
      </c>
      <c r="K57" s="47">
        <f t="shared" si="4"/>
        <v>7.2392473118279593E-2</v>
      </c>
      <c r="L57" s="47">
        <f t="shared" si="5"/>
        <v>3.0882577638730396E-2</v>
      </c>
    </row>
    <row r="58" spans="2:12" x14ac:dyDescent="0.2">
      <c r="B58" s="166">
        <v>44286</v>
      </c>
      <c r="C58" s="43">
        <v>15.73</v>
      </c>
      <c r="D58" s="43">
        <v>18700.669999999998</v>
      </c>
      <c r="E58" s="43">
        <v>0.09</v>
      </c>
      <c r="G58" s="44">
        <f t="shared" si="1"/>
        <v>-6.3132817153067178E-2</v>
      </c>
      <c r="H58" s="44">
        <f t="shared" si="2"/>
        <v>3.5459622397462809E-2</v>
      </c>
      <c r="I58" s="44">
        <f t="shared" si="3"/>
        <v>7.4999999999999997E-3</v>
      </c>
      <c r="K58" s="47">
        <f t="shared" si="4"/>
        <v>-7.0632817153067184E-2</v>
      </c>
      <c r="L58" s="47">
        <f t="shared" si="5"/>
        <v>2.7959622397462809E-2</v>
      </c>
    </row>
    <row r="59" spans="2:12" x14ac:dyDescent="0.2">
      <c r="B59" s="166">
        <v>44316</v>
      </c>
      <c r="C59" s="43">
        <v>14.42</v>
      </c>
      <c r="D59" s="43">
        <v>19108.330000000002</v>
      </c>
      <c r="E59" s="43">
        <v>0.11</v>
      </c>
      <c r="G59" s="44">
        <f t="shared" si="1"/>
        <v>-8.3280356007628731E-2</v>
      </c>
      <c r="H59" s="44">
        <f t="shared" si="2"/>
        <v>2.1799218958465261E-2</v>
      </c>
      <c r="I59" s="44">
        <f t="shared" si="3"/>
        <v>9.1666666666666667E-3</v>
      </c>
      <c r="K59" s="47">
        <f t="shared" si="4"/>
        <v>-9.2447022674295401E-2</v>
      </c>
      <c r="L59" s="47">
        <f t="shared" si="5"/>
        <v>1.2632552291798594E-2</v>
      </c>
    </row>
    <row r="60" spans="2:12" x14ac:dyDescent="0.2">
      <c r="B60" s="166">
        <v>44347</v>
      </c>
      <c r="C60" s="43">
        <v>13.75</v>
      </c>
      <c r="D60" s="43">
        <v>19730.990000000002</v>
      </c>
      <c r="E60" s="43">
        <v>0.12</v>
      </c>
      <c r="G60" s="44">
        <f t="shared" si="1"/>
        <v>-4.6463245492371685E-2</v>
      </c>
      <c r="H60" s="44">
        <f t="shared" si="2"/>
        <v>3.2585788501663826E-2</v>
      </c>
      <c r="I60" s="44">
        <f t="shared" si="3"/>
        <v>0.01</v>
      </c>
      <c r="K60" s="47">
        <f t="shared" si="4"/>
        <v>-5.6463245492371687E-2</v>
      </c>
      <c r="L60" s="47">
        <f t="shared" si="5"/>
        <v>2.2585788501663824E-2</v>
      </c>
    </row>
    <row r="61" spans="2:12" x14ac:dyDescent="0.2">
      <c r="B61" s="166">
        <v>44377</v>
      </c>
      <c r="C61" s="43">
        <v>15.26</v>
      </c>
      <c r="D61" s="43">
        <v>20165.580000000002</v>
      </c>
      <c r="E61" s="43">
        <v>0.15</v>
      </c>
      <c r="G61" s="44">
        <f t="shared" si="1"/>
        <v>0.10981818181818181</v>
      </c>
      <c r="H61" s="44">
        <f t="shared" si="2"/>
        <v>2.2025757450589101E-2</v>
      </c>
      <c r="I61" s="44">
        <f t="shared" si="3"/>
        <v>1.2499999999999999E-2</v>
      </c>
      <c r="K61" s="47">
        <f t="shared" si="4"/>
        <v>9.7318181818181818E-2</v>
      </c>
      <c r="L61" s="47">
        <f t="shared" si="5"/>
        <v>9.5257574505891018E-3</v>
      </c>
    </row>
    <row r="62" spans="2:12" x14ac:dyDescent="0.2">
      <c r="B62" s="166">
        <v>44407</v>
      </c>
      <c r="C62" s="43">
        <v>15.99</v>
      </c>
      <c r="D62" s="43">
        <v>20287.8</v>
      </c>
      <c r="E62" s="43">
        <v>0.17</v>
      </c>
      <c r="G62" s="44">
        <f t="shared" si="1"/>
        <v>4.7837483617300114E-2</v>
      </c>
      <c r="H62" s="44">
        <f t="shared" si="2"/>
        <v>6.060822450928649E-3</v>
      </c>
      <c r="I62" s="44">
        <f t="shared" si="3"/>
        <v>1.4166666666666668E-2</v>
      </c>
      <c r="K62" s="47">
        <f t="shared" si="4"/>
        <v>3.3670816950633446E-2</v>
      </c>
      <c r="L62" s="47">
        <f t="shared" si="5"/>
        <v>-8.1058442157380187E-3</v>
      </c>
    </row>
    <row r="63" spans="2:12" x14ac:dyDescent="0.2">
      <c r="B63" s="166">
        <v>44439</v>
      </c>
      <c r="C63" s="43">
        <v>15.68</v>
      </c>
      <c r="D63" s="43">
        <v>20582.939999999999</v>
      </c>
      <c r="E63" s="43">
        <v>0.17</v>
      </c>
      <c r="G63" s="44">
        <f t="shared" si="1"/>
        <v>-1.9387116948092586E-2</v>
      </c>
      <c r="H63" s="44">
        <f t="shared" si="2"/>
        <v>1.4547659184337425E-2</v>
      </c>
      <c r="I63" s="44">
        <f t="shared" si="3"/>
        <v>1.4166666666666668E-2</v>
      </c>
      <c r="K63" s="47">
        <f t="shared" si="4"/>
        <v>-3.3553783614759254E-2</v>
      </c>
      <c r="L63" s="47">
        <f t="shared" si="5"/>
        <v>3.8099251767075709E-4</v>
      </c>
    </row>
    <row r="64" spans="2:12" x14ac:dyDescent="0.2">
      <c r="B64" s="166">
        <v>44469</v>
      </c>
      <c r="C64" s="43">
        <v>15.67</v>
      </c>
      <c r="D64" s="43">
        <v>20070.25</v>
      </c>
      <c r="E64" s="43">
        <v>0.12</v>
      </c>
      <c r="G64" s="44">
        <f t="shared" si="1"/>
        <v>-6.3775510204078234E-4</v>
      </c>
      <c r="H64" s="44">
        <f t="shared" si="2"/>
        <v>-2.4908492178473907E-2</v>
      </c>
      <c r="I64" s="44">
        <f t="shared" si="3"/>
        <v>0.01</v>
      </c>
      <c r="K64" s="47">
        <f t="shared" si="4"/>
        <v>-1.0637755102040783E-2</v>
      </c>
      <c r="L64" s="47">
        <f t="shared" si="5"/>
        <v>-3.4908492178473909E-2</v>
      </c>
    </row>
    <row r="65" spans="2:12" x14ac:dyDescent="0.2">
      <c r="B65" s="166">
        <v>44498</v>
      </c>
      <c r="C65" s="43">
        <v>14.34</v>
      </c>
      <c r="D65" s="43">
        <v>21037.07</v>
      </c>
      <c r="E65" s="43">
        <v>0.14000000000000001</v>
      </c>
      <c r="G65" s="44">
        <f t="shared" si="1"/>
        <v>-8.4875558391831585E-2</v>
      </c>
      <c r="H65" s="44">
        <f t="shared" si="2"/>
        <v>4.8171796564566938E-2</v>
      </c>
      <c r="I65" s="44">
        <f t="shared" si="3"/>
        <v>1.1666666666666667E-2</v>
      </c>
      <c r="K65" s="47">
        <f t="shared" si="4"/>
        <v>-9.6542225058498257E-2</v>
      </c>
      <c r="L65" s="47">
        <f t="shared" si="5"/>
        <v>3.6505129897900272E-2</v>
      </c>
    </row>
    <row r="66" spans="2:12" x14ac:dyDescent="0.2">
      <c r="B66" s="166">
        <v>44530</v>
      </c>
      <c r="C66" s="43">
        <v>13.43</v>
      </c>
      <c r="D66" s="43">
        <v>20659.990000000002</v>
      </c>
      <c r="E66" s="43">
        <v>0.06</v>
      </c>
      <c r="G66" s="44">
        <f t="shared" si="1"/>
        <v>-6.3458856345885661E-2</v>
      </c>
      <c r="H66" s="44">
        <f t="shared" si="2"/>
        <v>-1.7924549378786958E-2</v>
      </c>
      <c r="I66" s="44">
        <f t="shared" si="3"/>
        <v>5.0000000000000001E-3</v>
      </c>
      <c r="K66" s="47">
        <f t="shared" si="4"/>
        <v>-6.8458856345885666E-2</v>
      </c>
      <c r="L66" s="47">
        <f t="shared" si="5"/>
        <v>-2.2924549378786959E-2</v>
      </c>
    </row>
    <row r="67" spans="2:12" x14ac:dyDescent="0.2">
      <c r="B67" s="166">
        <v>44561</v>
      </c>
      <c r="C67" s="43">
        <v>13.97</v>
      </c>
      <c r="D67" s="43">
        <v>21222.84</v>
      </c>
      <c r="E67" s="43">
        <v>0.16</v>
      </c>
      <c r="G67" s="44">
        <f t="shared" si="1"/>
        <v>4.020848845867464E-2</v>
      </c>
      <c r="H67" s="44">
        <f t="shared" si="2"/>
        <v>2.7243478820657696E-2</v>
      </c>
      <c r="I67" s="44">
        <f t="shared" si="3"/>
        <v>1.3333333333333334E-2</v>
      </c>
      <c r="K67" s="47">
        <f t="shared" si="4"/>
        <v>2.6875155125341305E-2</v>
      </c>
      <c r="L67" s="47">
        <f t="shared" si="5"/>
        <v>1.3910145487324362E-2</v>
      </c>
    </row>
    <row r="68" spans="2:12" x14ac:dyDescent="0.2">
      <c r="B68" s="166">
        <v>44592</v>
      </c>
      <c r="C68" s="43">
        <v>12.72</v>
      </c>
      <c r="D68" s="43">
        <v>21098.29</v>
      </c>
      <c r="E68" s="43">
        <v>0.3</v>
      </c>
      <c r="G68" s="44">
        <f t="shared" si="1"/>
        <v>-8.9477451682176135E-2</v>
      </c>
      <c r="H68" s="44">
        <f t="shared" si="2"/>
        <v>-5.8686773306494411E-3</v>
      </c>
      <c r="I68" s="44">
        <f t="shared" si="3"/>
        <v>2.4999999999999998E-2</v>
      </c>
      <c r="K68" s="47">
        <f t="shared" si="4"/>
        <v>-0.11447745168217613</v>
      </c>
      <c r="L68" s="47">
        <f t="shared" si="5"/>
        <v>-3.0868677330649439E-2</v>
      </c>
    </row>
    <row r="69" spans="2:12" x14ac:dyDescent="0.2">
      <c r="B69" s="166">
        <v>44620</v>
      </c>
      <c r="C69" s="43">
        <v>13.13</v>
      </c>
      <c r="D69" s="43">
        <v>21126.36</v>
      </c>
      <c r="E69" s="43">
        <v>0.4</v>
      </c>
      <c r="G69" s="44">
        <f t="shared" si="1"/>
        <v>3.2232704402515688E-2</v>
      </c>
      <c r="H69" s="44">
        <f t="shared" si="2"/>
        <v>1.3304395759088372E-3</v>
      </c>
      <c r="I69" s="44">
        <f t="shared" si="3"/>
        <v>3.3333333333333333E-2</v>
      </c>
      <c r="K69" s="47">
        <f t="shared" si="4"/>
        <v>-1.1006289308176445E-3</v>
      </c>
      <c r="L69" s="47">
        <f t="shared" si="5"/>
        <v>-3.2002893757424496E-2</v>
      </c>
    </row>
    <row r="70" spans="2:12" x14ac:dyDescent="0.2">
      <c r="B70" s="166">
        <v>44650</v>
      </c>
      <c r="C70" s="43">
        <v>13.16</v>
      </c>
      <c r="D70" s="43">
        <v>22064.89</v>
      </c>
      <c r="E70" s="43">
        <v>0.57999999999999996</v>
      </c>
      <c r="G70" s="44">
        <f t="shared" si="1"/>
        <v>2.2848438690021844E-3</v>
      </c>
      <c r="H70" s="44">
        <f t="shared" si="2"/>
        <v>4.4424595623666407E-2</v>
      </c>
      <c r="I70" s="44">
        <f t="shared" si="3"/>
        <v>4.8333333333333332E-2</v>
      </c>
      <c r="K70" s="47">
        <f t="shared" si="4"/>
        <v>-4.6048489464331148E-2</v>
      </c>
      <c r="L70" s="47">
        <f t="shared" si="5"/>
        <v>-3.9087377096669249E-3</v>
      </c>
    </row>
    <row r="71" spans="2:12" x14ac:dyDescent="0.2">
      <c r="B71" s="1"/>
      <c r="G71" s="1"/>
      <c r="L71" s="1"/>
    </row>
    <row r="72" spans="2:12" x14ac:dyDescent="0.2">
      <c r="B72" s="1"/>
      <c r="G72" s="1"/>
      <c r="L72" s="1"/>
    </row>
    <row r="73" spans="2:12" x14ac:dyDescent="0.2">
      <c r="B73" s="1"/>
      <c r="G73" s="1"/>
      <c r="L73" s="1"/>
    </row>
    <row r="74" spans="2:12" x14ac:dyDescent="0.2">
      <c r="B74" s="1"/>
      <c r="G74" s="1"/>
      <c r="L74" s="1"/>
    </row>
    <row r="75" spans="2:12" x14ac:dyDescent="0.2">
      <c r="B75" s="1"/>
      <c r="G75" s="1"/>
      <c r="L75" s="1"/>
    </row>
    <row r="76" spans="2:12" x14ac:dyDescent="0.2">
      <c r="B76" s="1"/>
      <c r="G76" s="1"/>
      <c r="L76" s="1"/>
    </row>
    <row r="77" spans="2:12" x14ac:dyDescent="0.2">
      <c r="B77" s="1"/>
      <c r="G77" s="1"/>
      <c r="L77" s="1"/>
    </row>
    <row r="78" spans="2:12" x14ac:dyDescent="0.2">
      <c r="B78" s="1"/>
      <c r="G78" s="1"/>
      <c r="L78" s="1"/>
    </row>
    <row r="79" spans="2:12" x14ac:dyDescent="0.2">
      <c r="B79" s="1"/>
      <c r="G79" s="1"/>
      <c r="L79" s="1"/>
    </row>
    <row r="80" spans="2:12" x14ac:dyDescent="0.2">
      <c r="B80" s="1"/>
      <c r="G80" s="1"/>
      <c r="L80" s="1"/>
    </row>
    <row r="81" spans="2:12" x14ac:dyDescent="0.2">
      <c r="B81" s="1"/>
      <c r="G81" s="1"/>
      <c r="L81" s="1"/>
    </row>
    <row r="82" spans="2:12" x14ac:dyDescent="0.2">
      <c r="B82" s="1"/>
      <c r="L82" s="1"/>
    </row>
    <row r="83" spans="2:12" x14ac:dyDescent="0.2">
      <c r="B83" s="1"/>
      <c r="L83" s="1"/>
    </row>
    <row r="84" spans="2:12" x14ac:dyDescent="0.2">
      <c r="B84" s="1"/>
      <c r="L84" s="1"/>
    </row>
    <row r="85" spans="2:12" x14ac:dyDescent="0.2">
      <c r="B85" s="1"/>
      <c r="L85" s="1"/>
    </row>
    <row r="86" spans="2:12" x14ac:dyDescent="0.2">
      <c r="B86" s="1"/>
      <c r="L86" s="1"/>
    </row>
    <row r="87" spans="2:12" x14ac:dyDescent="0.2">
      <c r="B87" s="1"/>
      <c r="L87" s="1"/>
    </row>
    <row r="88" spans="2:12" x14ac:dyDescent="0.2">
      <c r="B88" s="1"/>
      <c r="L88" s="1"/>
    </row>
    <row r="89" spans="2:12" x14ac:dyDescent="0.2">
      <c r="B89" s="1"/>
      <c r="L89" s="1"/>
    </row>
    <row r="90" spans="2:12" x14ac:dyDescent="0.2">
      <c r="B90" s="1"/>
      <c r="L90" s="1"/>
    </row>
    <row r="91" spans="2:12" x14ac:dyDescent="0.2">
      <c r="B91" s="1"/>
      <c r="L91" s="1"/>
    </row>
    <row r="92" spans="2:12" x14ac:dyDescent="0.2">
      <c r="B92" s="1"/>
      <c r="L92" s="1"/>
    </row>
    <row r="93" spans="2:12" x14ac:dyDescent="0.2">
      <c r="B93" s="1"/>
      <c r="L93" s="1"/>
    </row>
    <row r="94" spans="2:12" x14ac:dyDescent="0.2">
      <c r="B94" s="1"/>
      <c r="L94" s="1"/>
    </row>
    <row r="95" spans="2:12" x14ac:dyDescent="0.2">
      <c r="B95" s="1"/>
      <c r="L95" s="1"/>
    </row>
    <row r="96" spans="2:12" x14ac:dyDescent="0.2">
      <c r="B96" s="1"/>
      <c r="L96" s="1"/>
    </row>
    <row r="97" spans="2:12" x14ac:dyDescent="0.2">
      <c r="B97" s="1"/>
      <c r="L97" s="1"/>
    </row>
    <row r="98" spans="2:12" x14ac:dyDescent="0.2">
      <c r="B98" s="1"/>
      <c r="L98" s="1"/>
    </row>
    <row r="99" spans="2:12" x14ac:dyDescent="0.2">
      <c r="B99" s="1"/>
      <c r="L99" s="1"/>
    </row>
    <row r="100" spans="2:12" x14ac:dyDescent="0.2">
      <c r="B100" s="1"/>
      <c r="L100" s="1"/>
    </row>
    <row r="101" spans="2:12" x14ac:dyDescent="0.2">
      <c r="B101" s="1"/>
      <c r="L101" s="1"/>
    </row>
    <row r="102" spans="2:12" x14ac:dyDescent="0.2">
      <c r="B102" s="1"/>
      <c r="L102" s="1"/>
    </row>
    <row r="103" spans="2:12" x14ac:dyDescent="0.2">
      <c r="B103" s="1"/>
      <c r="L103" s="1"/>
    </row>
    <row r="104" spans="2:12" x14ac:dyDescent="0.2">
      <c r="B104" s="1"/>
      <c r="L104" s="1"/>
    </row>
    <row r="105" spans="2:12" x14ac:dyDescent="0.2">
      <c r="B105" s="1"/>
      <c r="L105" s="1"/>
    </row>
    <row r="106" spans="2:12" x14ac:dyDescent="0.2">
      <c r="B106" s="1"/>
      <c r="L106" s="1"/>
    </row>
    <row r="107" spans="2:12" x14ac:dyDescent="0.2">
      <c r="B107" s="1"/>
      <c r="L107" s="1"/>
    </row>
    <row r="108" spans="2:12" x14ac:dyDescent="0.2">
      <c r="B108" s="1"/>
      <c r="L108" s="1"/>
    </row>
    <row r="109" spans="2:12" x14ac:dyDescent="0.2">
      <c r="B109" s="1"/>
      <c r="L109" s="1"/>
    </row>
    <row r="110" spans="2:12" x14ac:dyDescent="0.2">
      <c r="B110" s="1"/>
      <c r="L110" s="1"/>
    </row>
    <row r="111" spans="2:12" x14ac:dyDescent="0.2">
      <c r="B111" s="1"/>
      <c r="L111" s="1"/>
    </row>
    <row r="112" spans="2:12" x14ac:dyDescent="0.2">
      <c r="B112" s="1"/>
      <c r="L112" s="1"/>
    </row>
    <row r="113" spans="2:12" x14ac:dyDescent="0.2">
      <c r="B113" s="1"/>
      <c r="L113" s="1"/>
    </row>
    <row r="114" spans="2:12" x14ac:dyDescent="0.2">
      <c r="B114" s="1"/>
      <c r="L114" s="1"/>
    </row>
    <row r="115" spans="2:12" x14ac:dyDescent="0.2">
      <c r="B115" s="1"/>
      <c r="L115" s="1"/>
    </row>
    <row r="116" spans="2:12" x14ac:dyDescent="0.2">
      <c r="B116" s="1"/>
      <c r="L116" s="1"/>
    </row>
    <row r="117" spans="2:12" x14ac:dyDescent="0.2">
      <c r="B117" s="1"/>
      <c r="L117" s="1"/>
    </row>
    <row r="118" spans="2:12" x14ac:dyDescent="0.2">
      <c r="B118" s="1"/>
      <c r="L118" s="1"/>
    </row>
    <row r="119" spans="2:12" x14ac:dyDescent="0.2">
      <c r="B119" s="1"/>
      <c r="L119" s="1"/>
    </row>
    <row r="120" spans="2:12" x14ac:dyDescent="0.2">
      <c r="B120" s="1"/>
      <c r="L120" s="1"/>
    </row>
    <row r="121" spans="2:12" x14ac:dyDescent="0.2">
      <c r="B121" s="1"/>
      <c r="L121" s="1"/>
    </row>
    <row r="122" spans="2:12" x14ac:dyDescent="0.2">
      <c r="B122" s="1"/>
      <c r="L122" s="1"/>
    </row>
    <row r="123" spans="2:12" x14ac:dyDescent="0.2">
      <c r="B123" s="1"/>
      <c r="L123" s="1"/>
    </row>
    <row r="124" spans="2:12" x14ac:dyDescent="0.2">
      <c r="B124" s="1"/>
      <c r="L124" s="1"/>
    </row>
    <row r="125" spans="2:12" x14ac:dyDescent="0.2">
      <c r="B125" s="1"/>
      <c r="L125" s="1"/>
    </row>
    <row r="126" spans="2:12" x14ac:dyDescent="0.2">
      <c r="B126" s="1"/>
    </row>
    <row r="127" spans="2:12" x14ac:dyDescent="0.2">
      <c r="B127" s="1"/>
    </row>
    <row r="128" spans="2:1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</sheetData>
  <autoFilter ref="B9:E70" xr:uid="{C292F7EE-DF52-413B-8918-65A9E9066E0C}">
    <sortState xmlns:xlrd2="http://schemas.microsoft.com/office/spreadsheetml/2017/richdata2" ref="B10:E70">
      <sortCondition ref="B9:B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24B4-C685-064D-B17E-16F2668FF871}">
  <dimension ref="A1:N85"/>
  <sheetViews>
    <sheetView showGridLines="0" topLeftCell="A7" zoomScale="75" zoomScaleNormal="110" workbookViewId="0">
      <selection activeCell="I59" sqref="I59"/>
    </sheetView>
  </sheetViews>
  <sheetFormatPr baseColWidth="10" defaultColWidth="11.5" defaultRowHeight="14" x14ac:dyDescent="0.2"/>
  <cols>
    <col min="1" max="1" width="42.33203125" style="20" bestFit="1" customWidth="1"/>
    <col min="2" max="2" width="14.83203125" style="20" bestFit="1" customWidth="1"/>
    <col min="3" max="3" width="13.5" style="20" customWidth="1"/>
    <col min="4" max="4" width="15.1640625" style="20" customWidth="1"/>
    <col min="5" max="6" width="11.5" style="20"/>
    <col min="7" max="7" width="11.5" style="20" customWidth="1"/>
    <col min="8" max="8" width="15.1640625" style="20" bestFit="1" customWidth="1"/>
    <col min="9" max="9" width="20.6640625" style="20" bestFit="1" customWidth="1"/>
    <col min="10" max="10" width="24.6640625" style="20" bestFit="1" customWidth="1"/>
    <col min="11" max="11" width="7.6640625" style="20" customWidth="1"/>
    <col min="12" max="12" width="8.33203125" style="20" customWidth="1"/>
    <col min="13" max="13" width="19.5" style="20" customWidth="1"/>
    <col min="14" max="256" width="11.5" style="20"/>
    <col min="257" max="257" width="45.5" style="20" bestFit="1" customWidth="1"/>
    <col min="258" max="258" width="14.83203125" style="20" bestFit="1" customWidth="1"/>
    <col min="259" max="259" width="13.5" style="20" customWidth="1"/>
    <col min="260" max="265" width="11.5" style="20"/>
    <col min="266" max="266" width="15.83203125" style="20" bestFit="1" customWidth="1"/>
    <col min="267" max="512" width="11.5" style="20"/>
    <col min="513" max="513" width="45.5" style="20" bestFit="1" customWidth="1"/>
    <col min="514" max="514" width="14.83203125" style="20" bestFit="1" customWidth="1"/>
    <col min="515" max="515" width="13.5" style="20" customWidth="1"/>
    <col min="516" max="521" width="11.5" style="20"/>
    <col min="522" max="522" width="15.83203125" style="20" bestFit="1" customWidth="1"/>
    <col min="523" max="768" width="11.5" style="20"/>
    <col min="769" max="769" width="45.5" style="20" bestFit="1" customWidth="1"/>
    <col min="770" max="770" width="14.83203125" style="20" bestFit="1" customWidth="1"/>
    <col min="771" max="771" width="13.5" style="20" customWidth="1"/>
    <col min="772" max="777" width="11.5" style="20"/>
    <col min="778" max="778" width="15.83203125" style="20" bestFit="1" customWidth="1"/>
    <col min="779" max="1024" width="11.5" style="20"/>
    <col min="1025" max="1025" width="45.5" style="20" bestFit="1" customWidth="1"/>
    <col min="1026" max="1026" width="14.83203125" style="20" bestFit="1" customWidth="1"/>
    <col min="1027" max="1027" width="13.5" style="20" customWidth="1"/>
    <col min="1028" max="1033" width="11.5" style="20"/>
    <col min="1034" max="1034" width="15.83203125" style="20" bestFit="1" customWidth="1"/>
    <col min="1035" max="1280" width="11.5" style="20"/>
    <col min="1281" max="1281" width="45.5" style="20" bestFit="1" customWidth="1"/>
    <col min="1282" max="1282" width="14.83203125" style="20" bestFit="1" customWidth="1"/>
    <col min="1283" max="1283" width="13.5" style="20" customWidth="1"/>
    <col min="1284" max="1289" width="11.5" style="20"/>
    <col min="1290" max="1290" width="15.83203125" style="20" bestFit="1" customWidth="1"/>
    <col min="1291" max="1536" width="11.5" style="20"/>
    <col min="1537" max="1537" width="45.5" style="20" bestFit="1" customWidth="1"/>
    <col min="1538" max="1538" width="14.83203125" style="20" bestFit="1" customWidth="1"/>
    <col min="1539" max="1539" width="13.5" style="20" customWidth="1"/>
    <col min="1540" max="1545" width="11.5" style="20"/>
    <col min="1546" max="1546" width="15.83203125" style="20" bestFit="1" customWidth="1"/>
    <col min="1547" max="1792" width="11.5" style="20"/>
    <col min="1793" max="1793" width="45.5" style="20" bestFit="1" customWidth="1"/>
    <col min="1794" max="1794" width="14.83203125" style="20" bestFit="1" customWidth="1"/>
    <col min="1795" max="1795" width="13.5" style="20" customWidth="1"/>
    <col min="1796" max="1801" width="11.5" style="20"/>
    <col min="1802" max="1802" width="15.83203125" style="20" bestFit="1" customWidth="1"/>
    <col min="1803" max="2048" width="11.5" style="20"/>
    <col min="2049" max="2049" width="45.5" style="20" bestFit="1" customWidth="1"/>
    <col min="2050" max="2050" width="14.83203125" style="20" bestFit="1" customWidth="1"/>
    <col min="2051" max="2051" width="13.5" style="20" customWidth="1"/>
    <col min="2052" max="2057" width="11.5" style="20"/>
    <col min="2058" max="2058" width="15.83203125" style="20" bestFit="1" customWidth="1"/>
    <col min="2059" max="2304" width="11.5" style="20"/>
    <col min="2305" max="2305" width="45.5" style="20" bestFit="1" customWidth="1"/>
    <col min="2306" max="2306" width="14.83203125" style="20" bestFit="1" customWidth="1"/>
    <col min="2307" max="2307" width="13.5" style="20" customWidth="1"/>
    <col min="2308" max="2313" width="11.5" style="20"/>
    <col min="2314" max="2314" width="15.83203125" style="20" bestFit="1" customWidth="1"/>
    <col min="2315" max="2560" width="11.5" style="20"/>
    <col min="2561" max="2561" width="45.5" style="20" bestFit="1" customWidth="1"/>
    <col min="2562" max="2562" width="14.83203125" style="20" bestFit="1" customWidth="1"/>
    <col min="2563" max="2563" width="13.5" style="20" customWidth="1"/>
    <col min="2564" max="2569" width="11.5" style="20"/>
    <col min="2570" max="2570" width="15.83203125" style="20" bestFit="1" customWidth="1"/>
    <col min="2571" max="2816" width="11.5" style="20"/>
    <col min="2817" max="2817" width="45.5" style="20" bestFit="1" customWidth="1"/>
    <col min="2818" max="2818" width="14.83203125" style="20" bestFit="1" customWidth="1"/>
    <col min="2819" max="2819" width="13.5" style="20" customWidth="1"/>
    <col min="2820" max="2825" width="11.5" style="20"/>
    <col min="2826" max="2826" width="15.83203125" style="20" bestFit="1" customWidth="1"/>
    <col min="2827" max="3072" width="11.5" style="20"/>
    <col min="3073" max="3073" width="45.5" style="20" bestFit="1" customWidth="1"/>
    <col min="3074" max="3074" width="14.83203125" style="20" bestFit="1" customWidth="1"/>
    <col min="3075" max="3075" width="13.5" style="20" customWidth="1"/>
    <col min="3076" max="3081" width="11.5" style="20"/>
    <col min="3082" max="3082" width="15.83203125" style="20" bestFit="1" customWidth="1"/>
    <col min="3083" max="3328" width="11.5" style="20"/>
    <col min="3329" max="3329" width="45.5" style="20" bestFit="1" customWidth="1"/>
    <col min="3330" max="3330" width="14.83203125" style="20" bestFit="1" customWidth="1"/>
    <col min="3331" max="3331" width="13.5" style="20" customWidth="1"/>
    <col min="3332" max="3337" width="11.5" style="20"/>
    <col min="3338" max="3338" width="15.83203125" style="20" bestFit="1" customWidth="1"/>
    <col min="3339" max="3584" width="11.5" style="20"/>
    <col min="3585" max="3585" width="45.5" style="20" bestFit="1" customWidth="1"/>
    <col min="3586" max="3586" width="14.83203125" style="20" bestFit="1" customWidth="1"/>
    <col min="3587" max="3587" width="13.5" style="20" customWidth="1"/>
    <col min="3588" max="3593" width="11.5" style="20"/>
    <col min="3594" max="3594" width="15.83203125" style="20" bestFit="1" customWidth="1"/>
    <col min="3595" max="3840" width="11.5" style="20"/>
    <col min="3841" max="3841" width="45.5" style="20" bestFit="1" customWidth="1"/>
    <col min="3842" max="3842" width="14.83203125" style="20" bestFit="1" customWidth="1"/>
    <col min="3843" max="3843" width="13.5" style="20" customWidth="1"/>
    <col min="3844" max="3849" width="11.5" style="20"/>
    <col min="3850" max="3850" width="15.83203125" style="20" bestFit="1" customWidth="1"/>
    <col min="3851" max="4096" width="11.5" style="20"/>
    <col min="4097" max="4097" width="45.5" style="20" bestFit="1" customWidth="1"/>
    <col min="4098" max="4098" width="14.83203125" style="20" bestFit="1" customWidth="1"/>
    <col min="4099" max="4099" width="13.5" style="20" customWidth="1"/>
    <col min="4100" max="4105" width="11.5" style="20"/>
    <col min="4106" max="4106" width="15.83203125" style="20" bestFit="1" customWidth="1"/>
    <col min="4107" max="4352" width="11.5" style="20"/>
    <col min="4353" max="4353" width="45.5" style="20" bestFit="1" customWidth="1"/>
    <col min="4354" max="4354" width="14.83203125" style="20" bestFit="1" customWidth="1"/>
    <col min="4355" max="4355" width="13.5" style="20" customWidth="1"/>
    <col min="4356" max="4361" width="11.5" style="20"/>
    <col min="4362" max="4362" width="15.83203125" style="20" bestFit="1" customWidth="1"/>
    <col min="4363" max="4608" width="11.5" style="20"/>
    <col min="4609" max="4609" width="45.5" style="20" bestFit="1" customWidth="1"/>
    <col min="4610" max="4610" width="14.83203125" style="20" bestFit="1" customWidth="1"/>
    <col min="4611" max="4611" width="13.5" style="20" customWidth="1"/>
    <col min="4612" max="4617" width="11.5" style="20"/>
    <col min="4618" max="4618" width="15.83203125" style="20" bestFit="1" customWidth="1"/>
    <col min="4619" max="4864" width="11.5" style="20"/>
    <col min="4865" max="4865" width="45.5" style="20" bestFit="1" customWidth="1"/>
    <col min="4866" max="4866" width="14.83203125" style="20" bestFit="1" customWidth="1"/>
    <col min="4867" max="4867" width="13.5" style="20" customWidth="1"/>
    <col min="4868" max="4873" width="11.5" style="20"/>
    <col min="4874" max="4874" width="15.83203125" style="20" bestFit="1" customWidth="1"/>
    <col min="4875" max="5120" width="11.5" style="20"/>
    <col min="5121" max="5121" width="45.5" style="20" bestFit="1" customWidth="1"/>
    <col min="5122" max="5122" width="14.83203125" style="20" bestFit="1" customWidth="1"/>
    <col min="5123" max="5123" width="13.5" style="20" customWidth="1"/>
    <col min="5124" max="5129" width="11.5" style="20"/>
    <col min="5130" max="5130" width="15.83203125" style="20" bestFit="1" customWidth="1"/>
    <col min="5131" max="5376" width="11.5" style="20"/>
    <col min="5377" max="5377" width="45.5" style="20" bestFit="1" customWidth="1"/>
    <col min="5378" max="5378" width="14.83203125" style="20" bestFit="1" customWidth="1"/>
    <col min="5379" max="5379" width="13.5" style="20" customWidth="1"/>
    <col min="5380" max="5385" width="11.5" style="20"/>
    <col min="5386" max="5386" width="15.83203125" style="20" bestFit="1" customWidth="1"/>
    <col min="5387" max="5632" width="11.5" style="20"/>
    <col min="5633" max="5633" width="45.5" style="20" bestFit="1" customWidth="1"/>
    <col min="5634" max="5634" width="14.83203125" style="20" bestFit="1" customWidth="1"/>
    <col min="5635" max="5635" width="13.5" style="20" customWidth="1"/>
    <col min="5636" max="5641" width="11.5" style="20"/>
    <col min="5642" max="5642" width="15.83203125" style="20" bestFit="1" customWidth="1"/>
    <col min="5643" max="5888" width="11.5" style="20"/>
    <col min="5889" max="5889" width="45.5" style="20" bestFit="1" customWidth="1"/>
    <col min="5890" max="5890" width="14.83203125" style="20" bestFit="1" customWidth="1"/>
    <col min="5891" max="5891" width="13.5" style="20" customWidth="1"/>
    <col min="5892" max="5897" width="11.5" style="20"/>
    <col min="5898" max="5898" width="15.83203125" style="20" bestFit="1" customWidth="1"/>
    <col min="5899" max="6144" width="11.5" style="20"/>
    <col min="6145" max="6145" width="45.5" style="20" bestFit="1" customWidth="1"/>
    <col min="6146" max="6146" width="14.83203125" style="20" bestFit="1" customWidth="1"/>
    <col min="6147" max="6147" width="13.5" style="20" customWidth="1"/>
    <col min="6148" max="6153" width="11.5" style="20"/>
    <col min="6154" max="6154" width="15.83203125" style="20" bestFit="1" customWidth="1"/>
    <col min="6155" max="6400" width="11.5" style="20"/>
    <col min="6401" max="6401" width="45.5" style="20" bestFit="1" customWidth="1"/>
    <col min="6402" max="6402" width="14.83203125" style="20" bestFit="1" customWidth="1"/>
    <col min="6403" max="6403" width="13.5" style="20" customWidth="1"/>
    <col min="6404" max="6409" width="11.5" style="20"/>
    <col min="6410" max="6410" width="15.83203125" style="20" bestFit="1" customWidth="1"/>
    <col min="6411" max="6656" width="11.5" style="20"/>
    <col min="6657" max="6657" width="45.5" style="20" bestFit="1" customWidth="1"/>
    <col min="6658" max="6658" width="14.83203125" style="20" bestFit="1" customWidth="1"/>
    <col min="6659" max="6659" width="13.5" style="20" customWidth="1"/>
    <col min="6660" max="6665" width="11.5" style="20"/>
    <col min="6666" max="6666" width="15.83203125" style="20" bestFit="1" customWidth="1"/>
    <col min="6667" max="6912" width="11.5" style="20"/>
    <col min="6913" max="6913" width="45.5" style="20" bestFit="1" customWidth="1"/>
    <col min="6914" max="6914" width="14.83203125" style="20" bestFit="1" customWidth="1"/>
    <col min="6915" max="6915" width="13.5" style="20" customWidth="1"/>
    <col min="6916" max="6921" width="11.5" style="20"/>
    <col min="6922" max="6922" width="15.83203125" style="20" bestFit="1" customWidth="1"/>
    <col min="6923" max="7168" width="11.5" style="20"/>
    <col min="7169" max="7169" width="45.5" style="20" bestFit="1" customWidth="1"/>
    <col min="7170" max="7170" width="14.83203125" style="20" bestFit="1" customWidth="1"/>
    <col min="7171" max="7171" width="13.5" style="20" customWidth="1"/>
    <col min="7172" max="7177" width="11.5" style="20"/>
    <col min="7178" max="7178" width="15.83203125" style="20" bestFit="1" customWidth="1"/>
    <col min="7179" max="7424" width="11.5" style="20"/>
    <col min="7425" max="7425" width="45.5" style="20" bestFit="1" customWidth="1"/>
    <col min="7426" max="7426" width="14.83203125" style="20" bestFit="1" customWidth="1"/>
    <col min="7427" max="7427" width="13.5" style="20" customWidth="1"/>
    <col min="7428" max="7433" width="11.5" style="20"/>
    <col min="7434" max="7434" width="15.83203125" style="20" bestFit="1" customWidth="1"/>
    <col min="7435" max="7680" width="11.5" style="20"/>
    <col min="7681" max="7681" width="45.5" style="20" bestFit="1" customWidth="1"/>
    <col min="7682" max="7682" width="14.83203125" style="20" bestFit="1" customWidth="1"/>
    <col min="7683" max="7683" width="13.5" style="20" customWidth="1"/>
    <col min="7684" max="7689" width="11.5" style="20"/>
    <col min="7690" max="7690" width="15.83203125" style="20" bestFit="1" customWidth="1"/>
    <col min="7691" max="7936" width="11.5" style="20"/>
    <col min="7937" max="7937" width="45.5" style="20" bestFit="1" customWidth="1"/>
    <col min="7938" max="7938" width="14.83203125" style="20" bestFit="1" customWidth="1"/>
    <col min="7939" max="7939" width="13.5" style="20" customWidth="1"/>
    <col min="7940" max="7945" width="11.5" style="20"/>
    <col min="7946" max="7946" width="15.83203125" style="20" bestFit="1" customWidth="1"/>
    <col min="7947" max="8192" width="11.5" style="20"/>
    <col min="8193" max="8193" width="45.5" style="20" bestFit="1" customWidth="1"/>
    <col min="8194" max="8194" width="14.83203125" style="20" bestFit="1" customWidth="1"/>
    <col min="8195" max="8195" width="13.5" style="20" customWidth="1"/>
    <col min="8196" max="8201" width="11.5" style="20"/>
    <col min="8202" max="8202" width="15.83203125" style="20" bestFit="1" customWidth="1"/>
    <col min="8203" max="8448" width="11.5" style="20"/>
    <col min="8449" max="8449" width="45.5" style="20" bestFit="1" customWidth="1"/>
    <col min="8450" max="8450" width="14.83203125" style="20" bestFit="1" customWidth="1"/>
    <col min="8451" max="8451" width="13.5" style="20" customWidth="1"/>
    <col min="8452" max="8457" width="11.5" style="20"/>
    <col min="8458" max="8458" width="15.83203125" style="20" bestFit="1" customWidth="1"/>
    <col min="8459" max="8704" width="11.5" style="20"/>
    <col min="8705" max="8705" width="45.5" style="20" bestFit="1" customWidth="1"/>
    <col min="8706" max="8706" width="14.83203125" style="20" bestFit="1" customWidth="1"/>
    <col min="8707" max="8707" width="13.5" style="20" customWidth="1"/>
    <col min="8708" max="8713" width="11.5" style="20"/>
    <col min="8714" max="8714" width="15.83203125" style="20" bestFit="1" customWidth="1"/>
    <col min="8715" max="8960" width="11.5" style="20"/>
    <col min="8961" max="8961" width="45.5" style="20" bestFit="1" customWidth="1"/>
    <col min="8962" max="8962" width="14.83203125" style="20" bestFit="1" customWidth="1"/>
    <col min="8963" max="8963" width="13.5" style="20" customWidth="1"/>
    <col min="8964" max="8969" width="11.5" style="20"/>
    <col min="8970" max="8970" width="15.83203125" style="20" bestFit="1" customWidth="1"/>
    <col min="8971" max="9216" width="11.5" style="20"/>
    <col min="9217" max="9217" width="45.5" style="20" bestFit="1" customWidth="1"/>
    <col min="9218" max="9218" width="14.83203125" style="20" bestFit="1" customWidth="1"/>
    <col min="9219" max="9219" width="13.5" style="20" customWidth="1"/>
    <col min="9220" max="9225" width="11.5" style="20"/>
    <col min="9226" max="9226" width="15.83203125" style="20" bestFit="1" customWidth="1"/>
    <col min="9227" max="9472" width="11.5" style="20"/>
    <col min="9473" max="9473" width="45.5" style="20" bestFit="1" customWidth="1"/>
    <col min="9474" max="9474" width="14.83203125" style="20" bestFit="1" customWidth="1"/>
    <col min="9475" max="9475" width="13.5" style="20" customWidth="1"/>
    <col min="9476" max="9481" width="11.5" style="20"/>
    <col min="9482" max="9482" width="15.83203125" style="20" bestFit="1" customWidth="1"/>
    <col min="9483" max="9728" width="11.5" style="20"/>
    <col min="9729" max="9729" width="45.5" style="20" bestFit="1" customWidth="1"/>
    <col min="9730" max="9730" width="14.83203125" style="20" bestFit="1" customWidth="1"/>
    <col min="9731" max="9731" width="13.5" style="20" customWidth="1"/>
    <col min="9732" max="9737" width="11.5" style="20"/>
    <col min="9738" max="9738" width="15.83203125" style="20" bestFit="1" customWidth="1"/>
    <col min="9739" max="9984" width="11.5" style="20"/>
    <col min="9985" max="9985" width="45.5" style="20" bestFit="1" customWidth="1"/>
    <col min="9986" max="9986" width="14.83203125" style="20" bestFit="1" customWidth="1"/>
    <col min="9987" max="9987" width="13.5" style="20" customWidth="1"/>
    <col min="9988" max="9993" width="11.5" style="20"/>
    <col min="9994" max="9994" width="15.83203125" style="20" bestFit="1" customWidth="1"/>
    <col min="9995" max="10240" width="11.5" style="20"/>
    <col min="10241" max="10241" width="45.5" style="20" bestFit="1" customWidth="1"/>
    <col min="10242" max="10242" width="14.83203125" style="20" bestFit="1" customWidth="1"/>
    <col min="10243" max="10243" width="13.5" style="20" customWidth="1"/>
    <col min="10244" max="10249" width="11.5" style="20"/>
    <col min="10250" max="10250" width="15.83203125" style="20" bestFit="1" customWidth="1"/>
    <col min="10251" max="10496" width="11.5" style="20"/>
    <col min="10497" max="10497" width="45.5" style="20" bestFit="1" customWidth="1"/>
    <col min="10498" max="10498" width="14.83203125" style="20" bestFit="1" customWidth="1"/>
    <col min="10499" max="10499" width="13.5" style="20" customWidth="1"/>
    <col min="10500" max="10505" width="11.5" style="20"/>
    <col min="10506" max="10506" width="15.83203125" style="20" bestFit="1" customWidth="1"/>
    <col min="10507" max="10752" width="11.5" style="20"/>
    <col min="10753" max="10753" width="45.5" style="20" bestFit="1" customWidth="1"/>
    <col min="10754" max="10754" width="14.83203125" style="20" bestFit="1" customWidth="1"/>
    <col min="10755" max="10755" width="13.5" style="20" customWidth="1"/>
    <col min="10756" max="10761" width="11.5" style="20"/>
    <col min="10762" max="10762" width="15.83203125" style="20" bestFit="1" customWidth="1"/>
    <col min="10763" max="11008" width="11.5" style="20"/>
    <col min="11009" max="11009" width="45.5" style="20" bestFit="1" customWidth="1"/>
    <col min="11010" max="11010" width="14.83203125" style="20" bestFit="1" customWidth="1"/>
    <col min="11011" max="11011" width="13.5" style="20" customWidth="1"/>
    <col min="11012" max="11017" width="11.5" style="20"/>
    <col min="11018" max="11018" width="15.83203125" style="20" bestFit="1" customWidth="1"/>
    <col min="11019" max="11264" width="11.5" style="20"/>
    <col min="11265" max="11265" width="45.5" style="20" bestFit="1" customWidth="1"/>
    <col min="11266" max="11266" width="14.83203125" style="20" bestFit="1" customWidth="1"/>
    <col min="11267" max="11267" width="13.5" style="20" customWidth="1"/>
    <col min="11268" max="11273" width="11.5" style="20"/>
    <col min="11274" max="11274" width="15.83203125" style="20" bestFit="1" customWidth="1"/>
    <col min="11275" max="11520" width="11.5" style="20"/>
    <col min="11521" max="11521" width="45.5" style="20" bestFit="1" customWidth="1"/>
    <col min="11522" max="11522" width="14.83203125" style="20" bestFit="1" customWidth="1"/>
    <col min="11523" max="11523" width="13.5" style="20" customWidth="1"/>
    <col min="11524" max="11529" width="11.5" style="20"/>
    <col min="11530" max="11530" width="15.83203125" style="20" bestFit="1" customWidth="1"/>
    <col min="11531" max="11776" width="11.5" style="20"/>
    <col min="11777" max="11777" width="45.5" style="20" bestFit="1" customWidth="1"/>
    <col min="11778" max="11778" width="14.83203125" style="20" bestFit="1" customWidth="1"/>
    <col min="11779" max="11779" width="13.5" style="20" customWidth="1"/>
    <col min="11780" max="11785" width="11.5" style="20"/>
    <col min="11786" max="11786" width="15.83203125" style="20" bestFit="1" customWidth="1"/>
    <col min="11787" max="12032" width="11.5" style="20"/>
    <col min="12033" max="12033" width="45.5" style="20" bestFit="1" customWidth="1"/>
    <col min="12034" max="12034" width="14.83203125" style="20" bestFit="1" customWidth="1"/>
    <col min="12035" max="12035" width="13.5" style="20" customWidth="1"/>
    <col min="12036" max="12041" width="11.5" style="20"/>
    <col min="12042" max="12042" width="15.83203125" style="20" bestFit="1" customWidth="1"/>
    <col min="12043" max="12288" width="11.5" style="20"/>
    <col min="12289" max="12289" width="45.5" style="20" bestFit="1" customWidth="1"/>
    <col min="12290" max="12290" width="14.83203125" style="20" bestFit="1" customWidth="1"/>
    <col min="12291" max="12291" width="13.5" style="20" customWidth="1"/>
    <col min="12292" max="12297" width="11.5" style="20"/>
    <col min="12298" max="12298" width="15.83203125" style="20" bestFit="1" customWidth="1"/>
    <col min="12299" max="12544" width="11.5" style="20"/>
    <col min="12545" max="12545" width="45.5" style="20" bestFit="1" customWidth="1"/>
    <col min="12546" max="12546" width="14.83203125" style="20" bestFit="1" customWidth="1"/>
    <col min="12547" max="12547" width="13.5" style="20" customWidth="1"/>
    <col min="12548" max="12553" width="11.5" style="20"/>
    <col min="12554" max="12554" width="15.83203125" style="20" bestFit="1" customWidth="1"/>
    <col min="12555" max="12800" width="11.5" style="20"/>
    <col min="12801" max="12801" width="45.5" style="20" bestFit="1" customWidth="1"/>
    <col min="12802" max="12802" width="14.83203125" style="20" bestFit="1" customWidth="1"/>
    <col min="12803" max="12803" width="13.5" style="20" customWidth="1"/>
    <col min="12804" max="12809" width="11.5" style="20"/>
    <col min="12810" max="12810" width="15.83203125" style="20" bestFit="1" customWidth="1"/>
    <col min="12811" max="13056" width="11.5" style="20"/>
    <col min="13057" max="13057" width="45.5" style="20" bestFit="1" customWidth="1"/>
    <col min="13058" max="13058" width="14.83203125" style="20" bestFit="1" customWidth="1"/>
    <col min="13059" max="13059" width="13.5" style="20" customWidth="1"/>
    <col min="13060" max="13065" width="11.5" style="20"/>
    <col min="13066" max="13066" width="15.83203125" style="20" bestFit="1" customWidth="1"/>
    <col min="13067" max="13312" width="11.5" style="20"/>
    <col min="13313" max="13313" width="45.5" style="20" bestFit="1" customWidth="1"/>
    <col min="13314" max="13314" width="14.83203125" style="20" bestFit="1" customWidth="1"/>
    <col min="13315" max="13315" width="13.5" style="20" customWidth="1"/>
    <col min="13316" max="13321" width="11.5" style="20"/>
    <col min="13322" max="13322" width="15.83203125" style="20" bestFit="1" customWidth="1"/>
    <col min="13323" max="13568" width="11.5" style="20"/>
    <col min="13569" max="13569" width="45.5" style="20" bestFit="1" customWidth="1"/>
    <col min="13570" max="13570" width="14.83203125" style="20" bestFit="1" customWidth="1"/>
    <col min="13571" max="13571" width="13.5" style="20" customWidth="1"/>
    <col min="13572" max="13577" width="11.5" style="20"/>
    <col min="13578" max="13578" width="15.83203125" style="20" bestFit="1" customWidth="1"/>
    <col min="13579" max="13824" width="11.5" style="20"/>
    <col min="13825" max="13825" width="45.5" style="20" bestFit="1" customWidth="1"/>
    <col min="13826" max="13826" width="14.83203125" style="20" bestFit="1" customWidth="1"/>
    <col min="13827" max="13827" width="13.5" style="20" customWidth="1"/>
    <col min="13828" max="13833" width="11.5" style="20"/>
    <col min="13834" max="13834" width="15.83203125" style="20" bestFit="1" customWidth="1"/>
    <col min="13835" max="14080" width="11.5" style="20"/>
    <col min="14081" max="14081" width="45.5" style="20" bestFit="1" customWidth="1"/>
    <col min="14082" max="14082" width="14.83203125" style="20" bestFit="1" customWidth="1"/>
    <col min="14083" max="14083" width="13.5" style="20" customWidth="1"/>
    <col min="14084" max="14089" width="11.5" style="20"/>
    <col min="14090" max="14090" width="15.83203125" style="20" bestFit="1" customWidth="1"/>
    <col min="14091" max="14336" width="11.5" style="20"/>
    <col min="14337" max="14337" width="45.5" style="20" bestFit="1" customWidth="1"/>
    <col min="14338" max="14338" width="14.83203125" style="20" bestFit="1" customWidth="1"/>
    <col min="14339" max="14339" width="13.5" style="20" customWidth="1"/>
    <col min="14340" max="14345" width="11.5" style="20"/>
    <col min="14346" max="14346" width="15.83203125" style="20" bestFit="1" customWidth="1"/>
    <col min="14347" max="14592" width="11.5" style="20"/>
    <col min="14593" max="14593" width="45.5" style="20" bestFit="1" customWidth="1"/>
    <col min="14594" max="14594" width="14.83203125" style="20" bestFit="1" customWidth="1"/>
    <col min="14595" max="14595" width="13.5" style="20" customWidth="1"/>
    <col min="14596" max="14601" width="11.5" style="20"/>
    <col min="14602" max="14602" width="15.83203125" style="20" bestFit="1" customWidth="1"/>
    <col min="14603" max="14848" width="11.5" style="20"/>
    <col min="14849" max="14849" width="45.5" style="20" bestFit="1" customWidth="1"/>
    <col min="14850" max="14850" width="14.83203125" style="20" bestFit="1" customWidth="1"/>
    <col min="14851" max="14851" width="13.5" style="20" customWidth="1"/>
    <col min="14852" max="14857" width="11.5" style="20"/>
    <col min="14858" max="14858" width="15.83203125" style="20" bestFit="1" customWidth="1"/>
    <col min="14859" max="15104" width="11.5" style="20"/>
    <col min="15105" max="15105" width="45.5" style="20" bestFit="1" customWidth="1"/>
    <col min="15106" max="15106" width="14.83203125" style="20" bestFit="1" customWidth="1"/>
    <col min="15107" max="15107" width="13.5" style="20" customWidth="1"/>
    <col min="15108" max="15113" width="11.5" style="20"/>
    <col min="15114" max="15114" width="15.83203125" style="20" bestFit="1" customWidth="1"/>
    <col min="15115" max="15360" width="11.5" style="20"/>
    <col min="15361" max="15361" width="45.5" style="20" bestFit="1" customWidth="1"/>
    <col min="15362" max="15362" width="14.83203125" style="20" bestFit="1" customWidth="1"/>
    <col min="15363" max="15363" width="13.5" style="20" customWidth="1"/>
    <col min="15364" max="15369" width="11.5" style="20"/>
    <col min="15370" max="15370" width="15.83203125" style="20" bestFit="1" customWidth="1"/>
    <col min="15371" max="15616" width="11.5" style="20"/>
    <col min="15617" max="15617" width="45.5" style="20" bestFit="1" customWidth="1"/>
    <col min="15618" max="15618" width="14.83203125" style="20" bestFit="1" customWidth="1"/>
    <col min="15619" max="15619" width="13.5" style="20" customWidth="1"/>
    <col min="15620" max="15625" width="11.5" style="20"/>
    <col min="15626" max="15626" width="15.83203125" style="20" bestFit="1" customWidth="1"/>
    <col min="15627" max="15872" width="11.5" style="20"/>
    <col min="15873" max="15873" width="45.5" style="20" bestFit="1" customWidth="1"/>
    <col min="15874" max="15874" width="14.83203125" style="20" bestFit="1" customWidth="1"/>
    <col min="15875" max="15875" width="13.5" style="20" customWidth="1"/>
    <col min="15876" max="15881" width="11.5" style="20"/>
    <col min="15882" max="15882" width="15.83203125" style="20" bestFit="1" customWidth="1"/>
    <col min="15883" max="16128" width="11.5" style="20"/>
    <col min="16129" max="16129" width="45.5" style="20" bestFit="1" customWidth="1"/>
    <col min="16130" max="16130" width="14.83203125" style="20" bestFit="1" customWidth="1"/>
    <col min="16131" max="16131" width="13.5" style="20" customWidth="1"/>
    <col min="16132" max="16137" width="11.5" style="20"/>
    <col min="16138" max="16138" width="15.83203125" style="20" bestFit="1" customWidth="1"/>
    <col min="16139" max="16384" width="11.5" style="20"/>
  </cols>
  <sheetData>
    <row r="1" spans="1:14" x14ac:dyDescent="0.2">
      <c r="A1" s="18" t="s">
        <v>64</v>
      </c>
      <c r="B1" s="18" t="s">
        <v>120</v>
      </c>
      <c r="C1" s="19"/>
      <c r="D1" s="19"/>
      <c r="E1" s="19"/>
      <c r="F1" s="87"/>
      <c r="G1" s="87"/>
      <c r="J1" s="144" t="s">
        <v>119</v>
      </c>
      <c r="K1" s="144"/>
    </row>
    <row r="2" spans="1:14" x14ac:dyDescent="0.2">
      <c r="A2" s="18" t="s">
        <v>65</v>
      </c>
      <c r="B2" s="21">
        <f>SUM(C22:H22)</f>
        <v>14.980025122780519</v>
      </c>
      <c r="C2" s="19"/>
      <c r="D2" s="19"/>
      <c r="E2" s="19"/>
      <c r="F2" s="19"/>
      <c r="G2" s="87"/>
      <c r="J2" s="97" t="s">
        <v>116</v>
      </c>
      <c r="K2" s="48">
        <f>I31</f>
        <v>0.34610000000000002</v>
      </c>
    </row>
    <row r="3" spans="1:14" x14ac:dyDescent="0.2">
      <c r="A3" s="19"/>
      <c r="B3" s="150" t="s">
        <v>95</v>
      </c>
      <c r="C3" s="150"/>
      <c r="D3" s="150"/>
      <c r="E3" s="151" t="s">
        <v>96</v>
      </c>
      <c r="F3" s="151"/>
      <c r="G3" s="84" t="s">
        <v>66</v>
      </c>
      <c r="J3" s="97" t="s">
        <v>118</v>
      </c>
      <c r="K3" s="98">
        <f>H33</f>
        <v>0.13739999999999999</v>
      </c>
    </row>
    <row r="4" spans="1:14" x14ac:dyDescent="0.2">
      <c r="A4" s="19"/>
      <c r="B4" s="22">
        <f>C13</f>
        <v>2022</v>
      </c>
      <c r="C4" s="22">
        <f>D13</f>
        <v>2023</v>
      </c>
      <c r="D4" s="22">
        <f>E13</f>
        <v>2024</v>
      </c>
      <c r="E4" s="79">
        <f t="shared" ref="E4:G4" si="0">F13</f>
        <v>2025</v>
      </c>
      <c r="F4" s="79">
        <f t="shared" si="0"/>
        <v>2026</v>
      </c>
      <c r="G4" s="84">
        <f t="shared" si="0"/>
        <v>2027</v>
      </c>
      <c r="J4" s="97" t="s">
        <v>117</v>
      </c>
      <c r="K4" s="98">
        <f>H35</f>
        <v>6.3299999999999995E-2</v>
      </c>
    </row>
    <row r="5" spans="1:14" x14ac:dyDescent="0.2">
      <c r="A5" s="18" t="s">
        <v>67</v>
      </c>
      <c r="B5" s="23">
        <f>-6%</f>
        <v>-0.06</v>
      </c>
      <c r="C5" s="23">
        <f t="shared" ref="C5:D5" si="1">-6%</f>
        <v>-0.06</v>
      </c>
      <c r="D5" s="23">
        <f t="shared" si="1"/>
        <v>-0.06</v>
      </c>
      <c r="E5" s="24">
        <f>I31</f>
        <v>0.34610000000000002</v>
      </c>
      <c r="F5" s="24">
        <f>I31</f>
        <v>0.34610000000000002</v>
      </c>
      <c r="G5" s="25">
        <f>K21</f>
        <v>0.03</v>
      </c>
    </row>
    <row r="6" spans="1:14" x14ac:dyDescent="0.2">
      <c r="A6" s="18" t="s">
        <v>68</v>
      </c>
      <c r="B6" s="23">
        <f>H33+3%</f>
        <v>0.16739999999999999</v>
      </c>
      <c r="C6" s="23">
        <f>B6</f>
        <v>0.16739999999999999</v>
      </c>
      <c r="D6" s="23">
        <f t="shared" ref="D6" si="2">C6</f>
        <v>0.16739999999999999</v>
      </c>
      <c r="E6" s="24">
        <f>K3</f>
        <v>0.13739999999999999</v>
      </c>
      <c r="F6" s="24">
        <f>K3</f>
        <v>0.13739999999999999</v>
      </c>
      <c r="G6" s="25">
        <f>H33</f>
        <v>0.13739999999999999</v>
      </c>
    </row>
    <row r="7" spans="1:14" x14ac:dyDescent="0.2">
      <c r="A7" s="18" t="s">
        <v>69</v>
      </c>
      <c r="B7" s="23">
        <f>H35+K9</f>
        <v>7.7120960698689955E-2</v>
      </c>
      <c r="C7" s="23">
        <f>B7</f>
        <v>7.7120960698689955E-2</v>
      </c>
      <c r="D7" s="23">
        <f>C7</f>
        <v>7.7120960698689955E-2</v>
      </c>
      <c r="E7" s="24">
        <f>K4</f>
        <v>6.3299999999999995E-2</v>
      </c>
      <c r="F7" s="24">
        <f>K4</f>
        <v>6.3299999999999995E-2</v>
      </c>
      <c r="G7" s="25">
        <f>H35</f>
        <v>6.3299999999999995E-2</v>
      </c>
      <c r="J7" s="145" t="s">
        <v>114</v>
      </c>
      <c r="K7" s="145"/>
    </row>
    <row r="8" spans="1:14" x14ac:dyDescent="0.2">
      <c r="A8" s="18" t="s">
        <v>70</v>
      </c>
      <c r="B8" s="71">
        <f>K19+2%</f>
        <v>8.835131953096001E-2</v>
      </c>
      <c r="C8" s="71">
        <f>B8</f>
        <v>8.835131953096001E-2</v>
      </c>
      <c r="D8" s="71">
        <f>C8</f>
        <v>8.835131953096001E-2</v>
      </c>
      <c r="E8" s="71">
        <f>K19+1%</f>
        <v>7.8351319530960001E-2</v>
      </c>
      <c r="F8" s="71">
        <f>K19+1%</f>
        <v>7.8351319530960001E-2</v>
      </c>
      <c r="G8" s="71">
        <f>K19-0.84%</f>
        <v>5.9951319530960008E-2</v>
      </c>
      <c r="J8" s="97" t="s">
        <v>115</v>
      </c>
      <c r="K8" s="49">
        <f>H35/H33</f>
        <v>0.46069868995633184</v>
      </c>
      <c r="M8" s="99"/>
      <c r="N8" s="100"/>
    </row>
    <row r="9" spans="1:14" x14ac:dyDescent="0.2">
      <c r="A9" s="18" t="s">
        <v>72</v>
      </c>
      <c r="B9" s="149">
        <v>0.33639999999999998</v>
      </c>
      <c r="C9" s="149"/>
      <c r="D9" s="149"/>
      <c r="E9" s="149"/>
      <c r="F9" s="149"/>
      <c r="G9" s="149"/>
      <c r="J9" s="97" t="s">
        <v>95</v>
      </c>
      <c r="K9" s="50">
        <f>K8*3%</f>
        <v>1.3820960698689955E-2</v>
      </c>
      <c r="M9" s="99"/>
      <c r="N9" s="100"/>
    </row>
    <row r="10" spans="1:14" x14ac:dyDescent="0.2">
      <c r="J10" s="97" t="s">
        <v>99</v>
      </c>
      <c r="K10" s="105" t="e">
        <f>NA()</f>
        <v>#N/A</v>
      </c>
      <c r="M10" s="99"/>
      <c r="N10" s="101"/>
    </row>
    <row r="11" spans="1:14" ht="15" thickBot="1" x14ac:dyDescent="0.25">
      <c r="J11" s="97" t="s">
        <v>98</v>
      </c>
      <c r="K11" s="105" t="e">
        <f>NA()</f>
        <v>#N/A</v>
      </c>
    </row>
    <row r="12" spans="1:14" ht="16" x14ac:dyDescent="0.2">
      <c r="A12" s="26"/>
      <c r="B12" s="146" t="str">
        <f>B3</f>
        <v>Ralentissement</v>
      </c>
      <c r="C12" s="147"/>
      <c r="D12" s="147"/>
      <c r="E12" s="148"/>
      <c r="F12" s="152" t="str">
        <f>E3</f>
        <v>Reprise</v>
      </c>
      <c r="G12" s="153"/>
      <c r="H12" s="27" t="str">
        <f>G3</f>
        <v>Stabilité</v>
      </c>
      <c r="J12" s="97" t="s">
        <v>66</v>
      </c>
      <c r="K12" s="51" t="e">
        <f>NA()</f>
        <v>#N/A</v>
      </c>
    </row>
    <row r="13" spans="1:14" x14ac:dyDescent="0.2">
      <c r="A13" s="68"/>
      <c r="B13" s="28" t="s">
        <v>97</v>
      </c>
      <c r="C13" s="28">
        <v>2022</v>
      </c>
      <c r="D13" s="28">
        <v>2023</v>
      </c>
      <c r="E13" s="28">
        <v>2024</v>
      </c>
      <c r="F13" s="72">
        <v>2025</v>
      </c>
      <c r="G13" s="29">
        <v>2026</v>
      </c>
      <c r="H13" s="88">
        <v>2027</v>
      </c>
      <c r="N13" s="104"/>
    </row>
    <row r="14" spans="1:14" x14ac:dyDescent="0.2">
      <c r="A14" s="85"/>
      <c r="B14" s="70">
        <v>0</v>
      </c>
      <c r="C14" s="69">
        <v>1</v>
      </c>
      <c r="D14" s="69">
        <v>2</v>
      </c>
      <c r="E14" s="69">
        <v>3</v>
      </c>
      <c r="F14" s="73">
        <v>4</v>
      </c>
      <c r="G14" s="73">
        <v>5</v>
      </c>
      <c r="H14" s="80">
        <v>6</v>
      </c>
    </row>
    <row r="15" spans="1:14" x14ac:dyDescent="0.2">
      <c r="A15" s="31" t="s">
        <v>40</v>
      </c>
      <c r="B15" s="30">
        <v>1.57</v>
      </c>
      <c r="C15" s="30">
        <f t="shared" ref="C15:C17" si="3">B15*(1+B5)</f>
        <v>1.4758</v>
      </c>
      <c r="D15" s="30">
        <f>C15*(1+C5)</f>
        <v>1.3872519999999999</v>
      </c>
      <c r="E15" s="30">
        <f t="shared" ref="E15:H15" si="4">D15*(1+D5)</f>
        <v>1.3040168799999998</v>
      </c>
      <c r="F15" s="74">
        <f t="shared" si="4"/>
        <v>1.7553371221679999</v>
      </c>
      <c r="G15" s="74">
        <f t="shared" si="4"/>
        <v>2.3628593001503448</v>
      </c>
      <c r="H15" s="81">
        <f t="shared" si="4"/>
        <v>2.4337450791548552</v>
      </c>
      <c r="J15" s="154" t="s">
        <v>71</v>
      </c>
      <c r="K15" s="155"/>
    </row>
    <row r="16" spans="1:14" x14ac:dyDescent="0.2">
      <c r="A16" s="31" t="s">
        <v>73</v>
      </c>
      <c r="B16" s="32">
        <f>286000000/102902400</f>
        <v>2.7793326491899122</v>
      </c>
      <c r="C16" s="32">
        <f t="shared" si="3"/>
        <v>3.2445929346643037</v>
      </c>
      <c r="D16" s="32">
        <f>C16*(1+C6)</f>
        <v>3.7877377919271082</v>
      </c>
      <c r="E16" s="32">
        <f t="shared" ref="E16:H16" si="5">D16*(1+D6)</f>
        <v>4.4218050982957058</v>
      </c>
      <c r="F16" s="75">
        <f t="shared" si="5"/>
        <v>5.0293611188015355</v>
      </c>
      <c r="G16" s="75">
        <f t="shared" si="5"/>
        <v>5.7203953365248665</v>
      </c>
      <c r="H16" s="82">
        <f t="shared" si="5"/>
        <v>6.5063776557633828</v>
      </c>
      <c r="J16" s="97" t="s">
        <v>91</v>
      </c>
      <c r="K16" s="48">
        <v>5.7999999999999996E-3</v>
      </c>
    </row>
    <row r="17" spans="1:11" x14ac:dyDescent="0.2">
      <c r="A17" s="31" t="s">
        <v>74</v>
      </c>
      <c r="B17" s="32">
        <f>252000000/102902400</f>
        <v>2.4489224741113911</v>
      </c>
      <c r="C17" s="32">
        <f t="shared" si="3"/>
        <v>2.6377857279914743</v>
      </c>
      <c r="D17" s="32">
        <f>C17*(1+C7)</f>
        <v>2.84121429745147</v>
      </c>
      <c r="E17" s="32">
        <f t="shared" ref="E17:H17" si="6">D17*(1+D7)</f>
        <v>3.060331473621781</v>
      </c>
      <c r="F17" s="75">
        <f t="shared" si="6"/>
        <v>3.2540504559020396</v>
      </c>
      <c r="G17" s="75">
        <f t="shared" si="6"/>
        <v>3.4600318497606386</v>
      </c>
      <c r="H17" s="82">
        <f t="shared" si="6"/>
        <v>3.6790518658504867</v>
      </c>
      <c r="I17" s="128"/>
      <c r="J17" s="97" t="s">
        <v>93</v>
      </c>
      <c r="K17" s="90">
        <v>0.70408959400000004</v>
      </c>
    </row>
    <row r="18" spans="1:11" x14ac:dyDescent="0.2">
      <c r="A18" s="31" t="s">
        <v>75</v>
      </c>
      <c r="B18" s="32">
        <f>(B16-B17)*(1-$B$9)</f>
        <v>0.2192601921821066</v>
      </c>
      <c r="C18" s="32">
        <f>(1-$B$9)*(C16-C17)</f>
        <v>0.40267726234808954</v>
      </c>
      <c r="D18" s="32">
        <f t="shared" ref="D18" si="7">(1-$B$9)*(D16-D17)</f>
        <v>0.6281129909340335</v>
      </c>
      <c r="E18" s="32">
        <f t="shared" ref="E18:H18" si="8">(1-$B$9)*(E16-E17)</f>
        <v>0.90347389733361638</v>
      </c>
      <c r="F18" s="75">
        <f t="shared" si="8"/>
        <v>1.1780961559001055</v>
      </c>
      <c r="G18" s="75">
        <f t="shared" si="8"/>
        <v>1.4999772098167417</v>
      </c>
      <c r="H18" s="82">
        <f t="shared" si="8"/>
        <v>1.8762133941861978</v>
      </c>
      <c r="J18" s="97" t="s">
        <v>92</v>
      </c>
      <c r="K18" s="48">
        <v>9.4640000000000002E-2</v>
      </c>
    </row>
    <row r="19" spans="1:11" x14ac:dyDescent="0.2">
      <c r="A19" s="31" t="s">
        <v>76</v>
      </c>
      <c r="B19" s="32">
        <f>17/102.9024</f>
        <v>0.1652050875392605</v>
      </c>
      <c r="C19" s="32">
        <f t="shared" ref="C19:H19" si="9">B19*(1+$K$22)</f>
        <v>0.17230890630344869</v>
      </c>
      <c r="D19" s="32">
        <f t="shared" si="9"/>
        <v>0.17971818927449698</v>
      </c>
      <c r="E19" s="32">
        <f t="shared" si="9"/>
        <v>0.18744607141330033</v>
      </c>
      <c r="F19" s="75">
        <f t="shared" si="9"/>
        <v>0.19550625248407222</v>
      </c>
      <c r="G19" s="75">
        <f t="shared" si="9"/>
        <v>0.20391302134088732</v>
      </c>
      <c r="H19" s="106">
        <f t="shared" si="9"/>
        <v>0.21268128125854546</v>
      </c>
      <c r="J19" s="97" t="s">
        <v>94</v>
      </c>
      <c r="K19" s="48">
        <f>K16+(K17*(K18-K16))</f>
        <v>6.8351319530960006E-2</v>
      </c>
    </row>
    <row r="20" spans="1:11" x14ac:dyDescent="0.2">
      <c r="A20" s="33" t="s">
        <v>77</v>
      </c>
      <c r="B20" s="34">
        <f>B19*(1-$B$9)</f>
        <v>0.10963009609105326</v>
      </c>
      <c r="C20" s="34">
        <f>B20*(1-$B$9)</f>
        <v>7.2750531766022933E-2</v>
      </c>
      <c r="D20" s="34">
        <f t="shared" ref="D20" si="10">C20*(1-$B$9)</f>
        <v>4.8277252879932814E-2</v>
      </c>
      <c r="E20" s="34">
        <f t="shared" ref="E20" si="11">D20*(1-$B$9)</f>
        <v>3.2036785011123413E-2</v>
      </c>
      <c r="F20" s="76">
        <f t="shared" ref="F20" si="12">E20*(1-$B$9)</f>
        <v>2.1259610533381497E-2</v>
      </c>
      <c r="G20" s="76">
        <f t="shared" ref="G20" si="13">F20*(1-$B$9)</f>
        <v>1.410787754995196E-2</v>
      </c>
      <c r="H20" s="86">
        <f t="shared" ref="H20" si="14">G20*(1-$B$9)</f>
        <v>9.3619875421481202E-3</v>
      </c>
    </row>
    <row r="21" spans="1:11" x14ac:dyDescent="0.2">
      <c r="A21" s="35" t="s">
        <v>78</v>
      </c>
      <c r="B21" s="36"/>
      <c r="C21" s="37">
        <f>C15-C18-C20</f>
        <v>1.0003722058858875</v>
      </c>
      <c r="D21" s="37">
        <f>D15-D18-D20</f>
        <v>0.71086175618603364</v>
      </c>
      <c r="E21" s="37">
        <f t="shared" ref="E21" si="15">E15-E18-E20</f>
        <v>0.36850619765526005</v>
      </c>
      <c r="F21" s="77">
        <f>F15-F18-F20</f>
        <v>0.55598135573451279</v>
      </c>
      <c r="G21" s="77">
        <f>G15-G18-G20</f>
        <v>0.84877421278365128</v>
      </c>
      <c r="H21" s="83">
        <f>H15-H18-H20</f>
        <v>0.54816969742650923</v>
      </c>
      <c r="J21" s="97" t="s">
        <v>90</v>
      </c>
      <c r="K21" s="89">
        <v>0.03</v>
      </c>
    </row>
    <row r="22" spans="1:11" ht="15" thickBot="1" x14ac:dyDescent="0.25">
      <c r="A22" s="38" t="s">
        <v>79</v>
      </c>
      <c r="B22" s="39"/>
      <c r="C22" s="39">
        <f>C21/(1+B8)</f>
        <v>0.9191629466825213</v>
      </c>
      <c r="D22" s="39">
        <f>D21/(1+B8)^2</f>
        <v>0.60013220617550767</v>
      </c>
      <c r="E22" s="39">
        <f>E21/(1+B8)^3</f>
        <v>0.28584952306101669</v>
      </c>
      <c r="F22" s="78">
        <f>F21/((1+C8)*(1+B8)*(1+D8)*(1+E8))</f>
        <v>0.39993796244325341</v>
      </c>
      <c r="G22" s="78">
        <f>G21/((1+C8)*(1+B8)*(1+D8)*(1+E8)*(1+F8))</f>
        <v>0.5661927498253605</v>
      </c>
      <c r="H22" s="40">
        <f>(H21/(G8-K21))/((1+B8)*(1+C8)*(1+D8)*(1+E8)*(1+F8))</f>
        <v>12.20874973459286</v>
      </c>
      <c r="J22" s="97" t="s">
        <v>122</v>
      </c>
      <c r="K22" s="89">
        <f>4.3%</f>
        <v>4.2999999999999997E-2</v>
      </c>
    </row>
    <row r="25" spans="1:11" ht="15" thickBot="1" x14ac:dyDescent="0.25"/>
    <row r="26" spans="1:11" ht="15" x14ac:dyDescent="0.2">
      <c r="A26" s="8"/>
      <c r="B26" s="54"/>
      <c r="C26" s="53">
        <v>1</v>
      </c>
      <c r="D26" s="53">
        <v>2</v>
      </c>
      <c r="E26" s="53">
        <v>3</v>
      </c>
      <c r="F26" s="53">
        <v>4</v>
      </c>
      <c r="G26" s="53">
        <v>5</v>
      </c>
      <c r="H26" s="9"/>
      <c r="I26" s="10"/>
    </row>
    <row r="27" spans="1:11" ht="15" x14ac:dyDescent="0.2">
      <c r="A27" s="11" t="s">
        <v>42</v>
      </c>
      <c r="B27" s="56" t="s">
        <v>43</v>
      </c>
      <c r="C27" s="55" t="s">
        <v>44</v>
      </c>
      <c r="D27" s="55" t="s">
        <v>45</v>
      </c>
      <c r="E27" s="55" t="s">
        <v>46</v>
      </c>
      <c r="F27" s="55" t="s">
        <v>47</v>
      </c>
      <c r="G27" s="55" t="s">
        <v>48</v>
      </c>
      <c r="H27" s="55"/>
      <c r="I27" s="12"/>
    </row>
    <row r="28" spans="1:11" ht="15" x14ac:dyDescent="0.2">
      <c r="A28" s="11" t="s">
        <v>49</v>
      </c>
      <c r="B28" s="56" t="s">
        <v>50</v>
      </c>
      <c r="C28" s="55" t="s">
        <v>51</v>
      </c>
      <c r="D28" s="55" t="s">
        <v>52</v>
      </c>
      <c r="E28" s="55" t="s">
        <v>53</v>
      </c>
      <c r="F28" s="55" t="s">
        <v>54</v>
      </c>
      <c r="G28" s="55" t="s">
        <v>55</v>
      </c>
      <c r="H28" s="64" t="s">
        <v>56</v>
      </c>
      <c r="I28" s="63" t="s">
        <v>57</v>
      </c>
    </row>
    <row r="29" spans="1:11" ht="15" x14ac:dyDescent="0.2">
      <c r="A29" s="11"/>
      <c r="B29" s="57"/>
      <c r="C29" s="52"/>
      <c r="D29" s="52"/>
      <c r="E29" s="52"/>
      <c r="F29" s="52"/>
      <c r="G29" s="52"/>
      <c r="H29" s="52"/>
      <c r="I29" s="13"/>
    </row>
    <row r="30" spans="1:11" ht="15" x14ac:dyDescent="0.2">
      <c r="A30" s="11" t="s">
        <v>105</v>
      </c>
      <c r="B30" s="57">
        <v>1.39</v>
      </c>
      <c r="C30" s="52">
        <v>5.19</v>
      </c>
      <c r="D30" s="52">
        <v>0.56000000000000005</v>
      </c>
      <c r="E30" s="52">
        <v>0.75380000000000003</v>
      </c>
      <c r="F30" s="52">
        <v>2.04</v>
      </c>
      <c r="G30" s="52">
        <v>1.5743</v>
      </c>
      <c r="H30" s="52"/>
      <c r="I30" s="13"/>
    </row>
    <row r="31" spans="1:11" ht="15" x14ac:dyDescent="0.2">
      <c r="A31" s="11" t="s">
        <v>59</v>
      </c>
      <c r="B31" s="57"/>
      <c r="C31" s="58">
        <v>2.7338</v>
      </c>
      <c r="D31" s="58">
        <v>-0.8921</v>
      </c>
      <c r="E31" s="58">
        <v>0.34610000000000002</v>
      </c>
      <c r="F31" s="58">
        <v>1.7061999999999999</v>
      </c>
      <c r="G31" s="58">
        <v>-0.2283</v>
      </c>
      <c r="H31" s="67"/>
      <c r="I31" s="14">
        <f>MEDIAN(C31:G31)</f>
        <v>0.34610000000000002</v>
      </c>
    </row>
    <row r="32" spans="1:11" ht="15" x14ac:dyDescent="0.2">
      <c r="A32" s="11" t="s">
        <v>58</v>
      </c>
      <c r="B32" s="57">
        <v>-182</v>
      </c>
      <c r="C32" s="52">
        <v>-193</v>
      </c>
      <c r="D32" s="52">
        <v>-338</v>
      </c>
      <c r="E32" s="52">
        <v>-258</v>
      </c>
      <c r="F32" s="52">
        <v>-250</v>
      </c>
      <c r="G32" s="52">
        <v>-286</v>
      </c>
      <c r="H32" s="65">
        <f>AVERAGE(C32:G32)</f>
        <v>-265</v>
      </c>
      <c r="I32" s="13"/>
    </row>
    <row r="33" spans="1:9" ht="15" x14ac:dyDescent="0.2">
      <c r="A33" s="11" t="s">
        <v>59</v>
      </c>
      <c r="B33" s="60">
        <v>0.11700000000000001</v>
      </c>
      <c r="C33" s="59">
        <v>0.06</v>
      </c>
      <c r="D33" s="59">
        <v>0.751</v>
      </c>
      <c r="E33" s="59">
        <v>-0.23699999999999999</v>
      </c>
      <c r="F33" s="59">
        <v>-3.1E-2</v>
      </c>
      <c r="G33" s="59">
        <v>0.14399999999999999</v>
      </c>
      <c r="H33" s="58">
        <f>AVERAGE(C33:G33)</f>
        <v>0.13739999999999999</v>
      </c>
      <c r="I33" s="66"/>
    </row>
    <row r="34" spans="1:9" ht="15" x14ac:dyDescent="0.2">
      <c r="A34" s="11" t="s">
        <v>60</v>
      </c>
      <c r="B34" s="57">
        <v>192</v>
      </c>
      <c r="C34" s="52">
        <v>215</v>
      </c>
      <c r="D34" s="52">
        <v>244</v>
      </c>
      <c r="E34" s="52">
        <v>289</v>
      </c>
      <c r="F34" s="52">
        <v>299</v>
      </c>
      <c r="G34" s="52">
        <v>252</v>
      </c>
      <c r="H34" s="65">
        <f>AVERAGE(C34:G34)</f>
        <v>259.8</v>
      </c>
      <c r="I34" s="13"/>
    </row>
    <row r="35" spans="1:9" ht="15" x14ac:dyDescent="0.2">
      <c r="A35" s="11" t="s">
        <v>59</v>
      </c>
      <c r="B35" s="61">
        <v>1.0500000000000001E-2</v>
      </c>
      <c r="C35" s="58">
        <v>0.1198</v>
      </c>
      <c r="D35" s="58">
        <v>0.13489999999999999</v>
      </c>
      <c r="E35" s="58">
        <v>0.18440000000000001</v>
      </c>
      <c r="F35" s="58">
        <v>3.4599999999999999E-2</v>
      </c>
      <c r="G35" s="58">
        <v>-0.15720000000000001</v>
      </c>
      <c r="H35" s="58">
        <f>AVERAGE(C35:G35)</f>
        <v>6.3299999999999995E-2</v>
      </c>
      <c r="I35" s="66"/>
    </row>
    <row r="36" spans="1:9" ht="15" x14ac:dyDescent="0.2">
      <c r="A36" s="11"/>
      <c r="B36" s="57"/>
      <c r="C36" s="52"/>
      <c r="D36" s="52"/>
      <c r="E36" s="52"/>
      <c r="F36" s="52"/>
      <c r="G36" s="52"/>
      <c r="H36" s="52"/>
      <c r="I36" s="13"/>
    </row>
    <row r="37" spans="1:9" ht="15" x14ac:dyDescent="0.2">
      <c r="A37" s="11" t="s">
        <v>61</v>
      </c>
      <c r="B37" s="57"/>
      <c r="C37" s="52"/>
      <c r="D37" s="52"/>
      <c r="E37" s="52"/>
      <c r="F37" s="52">
        <v>588</v>
      </c>
      <c r="G37" s="52">
        <v>510</v>
      </c>
      <c r="H37" s="52"/>
      <c r="I37" s="13"/>
    </row>
    <row r="38" spans="1:9" ht="15" x14ac:dyDescent="0.2">
      <c r="A38" s="11" t="s">
        <v>62</v>
      </c>
      <c r="B38" s="57"/>
      <c r="C38" s="52"/>
      <c r="D38" s="52"/>
      <c r="E38" s="52"/>
      <c r="F38" s="52">
        <v>569</v>
      </c>
      <c r="G38" s="52">
        <v>494</v>
      </c>
      <c r="H38" s="52"/>
      <c r="I38" s="13"/>
    </row>
    <row r="39" spans="1:9" ht="15" x14ac:dyDescent="0.2">
      <c r="A39" s="11" t="s">
        <v>63</v>
      </c>
      <c r="B39" s="57"/>
      <c r="C39" s="52"/>
      <c r="D39" s="52"/>
      <c r="E39" s="52"/>
      <c r="F39" s="52">
        <v>878</v>
      </c>
      <c r="G39" s="52">
        <v>708</v>
      </c>
      <c r="H39" s="52"/>
      <c r="I39" s="13"/>
    </row>
    <row r="40" spans="1:9" ht="15" x14ac:dyDescent="0.2">
      <c r="A40" s="11"/>
      <c r="B40" s="57"/>
      <c r="C40" s="52"/>
      <c r="D40" s="52"/>
      <c r="E40" s="52"/>
      <c r="F40" s="52"/>
      <c r="G40" s="52"/>
      <c r="H40" s="52"/>
      <c r="I40" s="13"/>
    </row>
    <row r="41" spans="1:9" ht="15" x14ac:dyDescent="0.2">
      <c r="A41" s="11" t="s">
        <v>100</v>
      </c>
      <c r="B41" s="57"/>
      <c r="C41" s="52"/>
      <c r="D41" s="52"/>
      <c r="E41" s="52"/>
      <c r="F41" s="52">
        <v>-29</v>
      </c>
      <c r="G41" s="52">
        <v>78</v>
      </c>
      <c r="H41" s="52"/>
      <c r="I41" s="13"/>
    </row>
    <row r="42" spans="1:9" ht="15" x14ac:dyDescent="0.2">
      <c r="A42" s="11" t="s">
        <v>101</v>
      </c>
      <c r="B42" s="57"/>
      <c r="C42" s="52"/>
      <c r="D42" s="52"/>
      <c r="E42" s="52"/>
      <c r="F42" s="52">
        <v>29</v>
      </c>
      <c r="G42" s="52">
        <v>75</v>
      </c>
      <c r="H42" s="52"/>
      <c r="I42" s="13"/>
    </row>
    <row r="43" spans="1:9" ht="15" x14ac:dyDescent="0.2">
      <c r="A43" s="11" t="s">
        <v>102</v>
      </c>
      <c r="B43" s="57"/>
      <c r="C43" s="52"/>
      <c r="D43" s="52"/>
      <c r="E43" s="52"/>
      <c r="F43" s="52">
        <v>69</v>
      </c>
      <c r="G43" s="52">
        <v>-170</v>
      </c>
      <c r="H43" s="52"/>
      <c r="I43" s="13"/>
    </row>
    <row r="44" spans="1:9" ht="15" x14ac:dyDescent="0.2">
      <c r="A44" s="11" t="s">
        <v>103</v>
      </c>
      <c r="B44" s="57"/>
      <c r="C44" s="52"/>
      <c r="D44" s="52"/>
      <c r="E44" s="52"/>
      <c r="F44" s="52">
        <v>69</v>
      </c>
      <c r="G44" s="52">
        <v>-17</v>
      </c>
      <c r="H44" s="52"/>
      <c r="I44" s="13"/>
    </row>
    <row r="45" spans="1:9" ht="15" x14ac:dyDescent="0.2">
      <c r="A45" s="11"/>
      <c r="B45" s="57"/>
      <c r="C45" s="52"/>
      <c r="D45" s="52"/>
      <c r="E45" s="52"/>
      <c r="F45" s="52"/>
      <c r="G45" s="52"/>
      <c r="H45" s="52"/>
      <c r="I45" s="13"/>
    </row>
    <row r="46" spans="1:9" ht="15" x14ac:dyDescent="0.2">
      <c r="A46" s="11" t="s">
        <v>104</v>
      </c>
      <c r="B46" s="57"/>
      <c r="C46" s="52"/>
      <c r="D46" s="52"/>
      <c r="E46" s="52"/>
      <c r="F46" s="52"/>
      <c r="G46" s="52">
        <v>102.9024</v>
      </c>
      <c r="H46" s="52"/>
      <c r="I46" s="13"/>
    </row>
    <row r="47" spans="1:9" ht="16" thickBot="1" x14ac:dyDescent="0.25">
      <c r="A47" s="15"/>
      <c r="B47" s="62"/>
      <c r="C47" s="16"/>
      <c r="D47" s="16"/>
      <c r="E47" s="16"/>
      <c r="F47" s="16"/>
      <c r="G47" s="16"/>
      <c r="H47" s="16"/>
      <c r="I47" s="17"/>
    </row>
    <row r="53" spans="1:12" ht="15" x14ac:dyDescent="0.2">
      <c r="A53" s="141" t="s">
        <v>107</v>
      </c>
      <c r="B53" s="141"/>
      <c r="C53" s="141"/>
      <c r="D53" s="141"/>
      <c r="E53" s="141"/>
      <c r="F53" s="141"/>
      <c r="G53" s="141"/>
    </row>
    <row r="54" spans="1:12" ht="15" x14ac:dyDescent="0.2">
      <c r="A54" s="142" t="s">
        <v>106</v>
      </c>
      <c r="B54" s="139" t="s">
        <v>108</v>
      </c>
      <c r="C54" s="139"/>
      <c r="D54" s="139"/>
      <c r="E54" s="139"/>
      <c r="F54" s="139"/>
      <c r="G54" s="140"/>
    </row>
    <row r="55" spans="1:12" ht="15" x14ac:dyDescent="0.2">
      <c r="A55" s="143"/>
      <c r="B55" s="94">
        <f>B2</f>
        <v>14.980025122780519</v>
      </c>
      <c r="C55" s="91">
        <f>D55-1%</f>
        <v>-7.9999999999999988E-2</v>
      </c>
      <c r="D55" s="91">
        <f>E55-1%</f>
        <v>-6.9999999999999993E-2</v>
      </c>
      <c r="E55" s="91">
        <v>-0.06</v>
      </c>
      <c r="F55" s="91">
        <f>E55+1%</f>
        <v>-4.9999999999999996E-2</v>
      </c>
      <c r="G55" s="91">
        <f>F55+1%</f>
        <v>-3.9999999999999994E-2</v>
      </c>
    </row>
    <row r="56" spans="1:12" ht="15" x14ac:dyDescent="0.2">
      <c r="A56" s="143"/>
      <c r="B56" s="92">
        <v>6.8400000000000002E-2</v>
      </c>
      <c r="C56" s="93">
        <f t="dataTable" ref="C56:G60" dt2D="1" dtr="1" r1="C5" r2="C8"/>
        <v>14.170805538460012</v>
      </c>
      <c r="D56" s="93">
        <v>14.823740434126067</v>
      </c>
      <c r="E56" s="93">
        <v>15.476675329792116</v>
      </c>
      <c r="F56" s="93">
        <v>16.12961022545818</v>
      </c>
      <c r="G56" s="93">
        <v>16.782545121124226</v>
      </c>
    </row>
    <row r="57" spans="1:12" ht="15" x14ac:dyDescent="0.2">
      <c r="A57" s="143"/>
      <c r="B57" s="92">
        <v>7.8399999999999997E-2</v>
      </c>
      <c r="C57" s="93">
        <v>13.941678084877147</v>
      </c>
      <c r="D57" s="93">
        <v>14.582988441178472</v>
      </c>
      <c r="E57" s="93">
        <v>15.224298797479788</v>
      </c>
      <c r="F57" s="93">
        <v>15.865609153781122</v>
      </c>
      <c r="G57" s="93">
        <v>16.50691951008244</v>
      </c>
    </row>
    <row r="58" spans="1:12" ht="15" x14ac:dyDescent="0.2">
      <c r="A58" s="143"/>
      <c r="B58" s="92">
        <v>8.8400000000000006E-2</v>
      </c>
      <c r="C58" s="93">
        <v>13.718837104028054</v>
      </c>
      <c r="D58" s="93">
        <v>14.348841858519341</v>
      </c>
      <c r="E58" s="93">
        <v>14.978846613010623</v>
      </c>
      <c r="F58" s="93">
        <v>15.608851367501922</v>
      </c>
      <c r="G58" s="93">
        <v>16.238856121993205</v>
      </c>
    </row>
    <row r="59" spans="1:12" ht="15" x14ac:dyDescent="0.2">
      <c r="A59" s="143"/>
      <c r="B59" s="92">
        <v>9.8400000000000001E-2</v>
      </c>
      <c r="C59" s="93">
        <v>13.502054709249308</v>
      </c>
      <c r="D59" s="93">
        <v>14.12106123789607</v>
      </c>
      <c r="E59" s="93">
        <v>14.740067766542822</v>
      </c>
      <c r="F59" s="93">
        <v>15.359074295189592</v>
      </c>
      <c r="G59" s="93">
        <v>15.978080823836345</v>
      </c>
    </row>
    <row r="60" spans="1:12" ht="15" x14ac:dyDescent="0.2">
      <c r="A60" s="143"/>
      <c r="B60" s="92">
        <v>0.1084</v>
      </c>
      <c r="C60" s="93">
        <v>13.291113247273397</v>
      </c>
      <c r="D60" s="93">
        <v>13.899417883632484</v>
      </c>
      <c r="E60" s="93">
        <v>14.507722519991566</v>
      </c>
      <c r="F60" s="93">
        <v>15.116027156350663</v>
      </c>
      <c r="G60" s="93">
        <v>15.724331792709744</v>
      </c>
    </row>
    <row r="62" spans="1:12" ht="15" x14ac:dyDescent="0.2">
      <c r="A62" s="141" t="s">
        <v>109</v>
      </c>
      <c r="B62" s="141"/>
      <c r="C62" s="141"/>
      <c r="D62" s="141"/>
      <c r="E62" s="141"/>
      <c r="F62" s="141"/>
      <c r="G62" s="141"/>
    </row>
    <row r="63" spans="1:12" ht="15" x14ac:dyDescent="0.2">
      <c r="A63" s="142" t="s">
        <v>106</v>
      </c>
      <c r="B63" s="139" t="s">
        <v>108</v>
      </c>
      <c r="C63" s="139"/>
      <c r="D63" s="139"/>
      <c r="E63" s="139"/>
      <c r="F63" s="139"/>
      <c r="G63" s="140"/>
    </row>
    <row r="64" spans="1:12" ht="15" x14ac:dyDescent="0.2">
      <c r="A64" s="143"/>
      <c r="B64" s="94">
        <f>B2</f>
        <v>14.980025122780519</v>
      </c>
      <c r="C64" s="95">
        <f>D64-1%</f>
        <v>0.3261</v>
      </c>
      <c r="D64" s="95">
        <f>E64-1%</f>
        <v>0.33610000000000001</v>
      </c>
      <c r="E64" s="95">
        <v>0.34610000000000002</v>
      </c>
      <c r="F64" s="95">
        <f>E64+1%</f>
        <v>0.35610000000000003</v>
      </c>
      <c r="G64" s="95">
        <f>F64+1%</f>
        <v>0.36610000000000004</v>
      </c>
      <c r="I64" s="132"/>
      <c r="J64" s="133" t="s">
        <v>111</v>
      </c>
      <c r="K64" s="133" t="s">
        <v>110</v>
      </c>
      <c r="L64" s="133" t="s">
        <v>112</v>
      </c>
    </row>
    <row r="65" spans="1:12" ht="15" x14ac:dyDescent="0.2">
      <c r="A65" s="143"/>
      <c r="B65" s="92">
        <f>B66-1%</f>
        <v>5.8400000000000001E-2</v>
      </c>
      <c r="C65" s="93">
        <f t="dataTable" ref="C65:G69" dt2D="1" dtr="1" r1="E5" r2="E8" ca="1"/>
        <v>14.364873427468545</v>
      </c>
      <c r="D65" s="93">
        <v>14.796625507918145</v>
      </c>
      <c r="E65" s="93">
        <v>15.228377588367755</v>
      </c>
      <c r="F65" s="93">
        <v>15.66012966881736</v>
      </c>
      <c r="G65" s="93">
        <v>16.091881749266971</v>
      </c>
      <c r="I65" s="164" t="str">
        <f>D85</f>
        <v>Average FMDAO</v>
      </c>
      <c r="J65" s="96">
        <f>E85</f>
        <v>12.217588198022568</v>
      </c>
      <c r="K65" s="96">
        <f>F85</f>
        <v>12.904048139453764</v>
      </c>
      <c r="L65" s="96">
        <f>G85</f>
        <v>25.121636337476332</v>
      </c>
    </row>
    <row r="66" spans="1:12" ht="15" x14ac:dyDescent="0.2">
      <c r="A66" s="143"/>
      <c r="B66" s="92">
        <f>B67-1%</f>
        <v>6.8400000000000002E-2</v>
      </c>
      <c r="C66" s="93">
        <v>14.247316999618025</v>
      </c>
      <c r="D66" s="93">
        <v>14.675027971115455</v>
      </c>
      <c r="E66" s="93">
        <v>15.102738942612898</v>
      </c>
      <c r="F66" s="93">
        <v>15.530449914110337</v>
      </c>
      <c r="G66" s="93">
        <v>15.958160885607779</v>
      </c>
      <c r="I66" s="165" t="s">
        <v>113</v>
      </c>
      <c r="J66" s="129">
        <v>13</v>
      </c>
      <c r="K66" s="129">
        <f>L66-J66</f>
        <v>7</v>
      </c>
      <c r="L66" s="129">
        <v>20</v>
      </c>
    </row>
    <row r="67" spans="1:12" ht="15" x14ac:dyDescent="0.2">
      <c r="A67" s="143"/>
      <c r="B67" s="92">
        <v>7.8399999999999997E-2</v>
      </c>
      <c r="C67" s="93">
        <v>14.131940772580757</v>
      </c>
      <c r="D67" s="93">
        <v>14.555685581508666</v>
      </c>
      <c r="E67" s="93">
        <v>14.979430390436583</v>
      </c>
      <c r="F67" s="93">
        <v>15.403175199364497</v>
      </c>
      <c r="G67" s="93">
        <v>15.826920008292415</v>
      </c>
      <c r="I67" s="130"/>
      <c r="J67" s="131"/>
      <c r="K67" s="131"/>
      <c r="L67" s="131"/>
    </row>
    <row r="68" spans="1:12" ht="15" x14ac:dyDescent="0.2">
      <c r="A68" s="143"/>
      <c r="B68" s="92">
        <f>B67+1%</f>
        <v>8.8399999999999992E-2</v>
      </c>
      <c r="C68" s="93">
        <v>14.018684652618777</v>
      </c>
      <c r="D68" s="93">
        <v>14.438536179583</v>
      </c>
      <c r="E68" s="93">
        <v>14.858387706547227</v>
      </c>
      <c r="F68" s="93">
        <v>15.278239233511453</v>
      </c>
      <c r="G68" s="93">
        <v>15.698090760475683</v>
      </c>
    </row>
    <row r="69" spans="1:12" ht="15" x14ac:dyDescent="0.2">
      <c r="A69" s="143"/>
      <c r="B69" s="92">
        <f>B68+1%</f>
        <v>9.8399999999999987E-2</v>
      </c>
      <c r="C69" s="93">
        <v>13.907490734404107</v>
      </c>
      <c r="D69" s="93">
        <v>14.323519869462242</v>
      </c>
      <c r="E69" s="93">
        <v>14.739549004520388</v>
      </c>
      <c r="F69" s="93">
        <v>15.15557813957853</v>
      </c>
      <c r="G69" s="93">
        <v>15.571607274636676</v>
      </c>
    </row>
    <row r="71" spans="1:12" ht="15" x14ac:dyDescent="0.2">
      <c r="A71" s="135" t="s">
        <v>129</v>
      </c>
      <c r="B71" s="135"/>
      <c r="C71" s="135"/>
      <c r="D71" s="135"/>
      <c r="E71" s="135"/>
      <c r="F71" s="135"/>
      <c r="G71" s="135"/>
    </row>
    <row r="72" spans="1:12" ht="15" x14ac:dyDescent="0.2">
      <c r="A72" s="136" t="s">
        <v>106</v>
      </c>
      <c r="B72" s="139" t="s">
        <v>108</v>
      </c>
      <c r="C72" s="139"/>
      <c r="D72" s="139"/>
      <c r="E72" s="139"/>
      <c r="F72" s="139"/>
      <c r="G72" s="140"/>
    </row>
    <row r="73" spans="1:12" ht="15" x14ac:dyDescent="0.2">
      <c r="A73" s="137"/>
      <c r="B73" s="94">
        <f>B2</f>
        <v>14.980025122780519</v>
      </c>
      <c r="C73" s="95">
        <f>D73-1%</f>
        <v>9.9999999999999967E-3</v>
      </c>
      <c r="D73" s="95">
        <f>E73-1%</f>
        <v>1.9999999999999997E-2</v>
      </c>
      <c r="E73" s="95">
        <v>0.03</v>
      </c>
      <c r="F73" s="95">
        <f>E73+1%</f>
        <v>0.04</v>
      </c>
      <c r="G73" s="95">
        <f>F73+1%</f>
        <v>0.05</v>
      </c>
    </row>
    <row r="74" spans="1:12" ht="15" x14ac:dyDescent="0.2">
      <c r="A74" s="137"/>
      <c r="B74" s="92">
        <f>B75-1%</f>
        <v>3.9999999999999994E-2</v>
      </c>
      <c r="C74" s="93">
        <f t="dataTable" ref="C74:G78" dt2D="1" dtr="1" r1="G5" r2="G8" ca="1"/>
        <v>36.185701509200356</v>
      </c>
      <c r="D74" s="93">
        <v>37.761896667409715</v>
      </c>
      <c r="E74" s="93">
        <v>39.338091825619074</v>
      </c>
      <c r="F74" s="93">
        <v>40.914286983828433</v>
      </c>
      <c r="G74" s="93">
        <v>42.490482142037791</v>
      </c>
    </row>
    <row r="75" spans="1:12" ht="15" x14ac:dyDescent="0.2">
      <c r="A75" s="137"/>
      <c r="B75" s="92">
        <f>B76-1%</f>
        <v>4.9999999999999996E-2</v>
      </c>
      <c r="C75" s="93">
        <v>19.478488448694005</v>
      </c>
      <c r="D75" s="93">
        <v>20.266586027798681</v>
      </c>
      <c r="E75" s="93">
        <v>21.05468360690336</v>
      </c>
      <c r="F75" s="93">
        <v>21.84278118600804</v>
      </c>
      <c r="G75" s="93">
        <v>22.630878765112719</v>
      </c>
    </row>
    <row r="76" spans="1:12" ht="15" x14ac:dyDescent="0.2">
      <c r="A76" s="137"/>
      <c r="B76" s="92">
        <v>0.06</v>
      </c>
      <c r="C76" s="93">
        <v>13.90941742852522</v>
      </c>
      <c r="D76" s="93">
        <v>14.434815814595005</v>
      </c>
      <c r="E76" s="93">
        <v>14.96021420066479</v>
      </c>
      <c r="F76" s="93">
        <v>15.485612586734577</v>
      </c>
      <c r="G76" s="93">
        <v>16.011010972804364</v>
      </c>
    </row>
    <row r="77" spans="1:12" ht="15" x14ac:dyDescent="0.2">
      <c r="A77" s="137"/>
      <c r="B77" s="92">
        <f>B76+1%</f>
        <v>6.9999999999999993E-2</v>
      </c>
      <c r="C77" s="93">
        <v>11.124881918440831</v>
      </c>
      <c r="D77" s="93">
        <v>11.518930707993169</v>
      </c>
      <c r="E77" s="93">
        <v>11.912979497545509</v>
      </c>
      <c r="F77" s="93">
        <v>12.307028287097848</v>
      </c>
      <c r="G77" s="93">
        <v>12.701077076650188</v>
      </c>
    </row>
    <row r="78" spans="1:12" ht="15" x14ac:dyDescent="0.2">
      <c r="A78" s="138"/>
      <c r="B78" s="92">
        <f>B77+1%</f>
        <v>7.9999999999999988E-2</v>
      </c>
      <c r="C78" s="93">
        <v>9.4541606123901971</v>
      </c>
      <c r="D78" s="93">
        <v>9.7693996440320685</v>
      </c>
      <c r="E78" s="93">
        <v>10.08463867567394</v>
      </c>
      <c r="F78" s="93">
        <v>10.399877707315811</v>
      </c>
      <c r="G78" s="93">
        <v>10.715116738957683</v>
      </c>
    </row>
    <row r="81" spans="4:7" x14ac:dyDescent="0.2">
      <c r="D81" s="132" t="s">
        <v>127</v>
      </c>
      <c r="E81" s="133" t="s">
        <v>111</v>
      </c>
      <c r="F81" s="133" t="s">
        <v>126</v>
      </c>
      <c r="G81" s="133" t="s">
        <v>112</v>
      </c>
    </row>
    <row r="82" spans="4:7" x14ac:dyDescent="0.2">
      <c r="D82" s="134" t="s">
        <v>95</v>
      </c>
      <c r="E82" s="96">
        <f>MIN(C56:G60)</f>
        <v>13.291113247273397</v>
      </c>
      <c r="F82" s="96">
        <f>G82-E82</f>
        <v>3.4914318738508285</v>
      </c>
      <c r="G82" s="96">
        <f>MAX(C56:G60)</f>
        <v>16.782545121124226</v>
      </c>
    </row>
    <row r="83" spans="4:7" x14ac:dyDescent="0.2">
      <c r="D83" s="134" t="s">
        <v>96</v>
      </c>
      <c r="E83" s="96">
        <f>MIN(C65:G69)</f>
        <v>13.907490734404107</v>
      </c>
      <c r="F83" s="96">
        <f>G83-E83</f>
        <v>2.1843910148628645</v>
      </c>
      <c r="G83" s="96">
        <f>MAX(C65:G69)</f>
        <v>16.091881749266971</v>
      </c>
    </row>
    <row r="84" spans="4:7" x14ac:dyDescent="0.2">
      <c r="D84" s="134" t="s">
        <v>66</v>
      </c>
      <c r="E84" s="96">
        <f>MIN(C74:G78)</f>
        <v>9.4541606123901971</v>
      </c>
      <c r="F84" s="96">
        <f>G84-E84</f>
        <v>33.036321529647594</v>
      </c>
      <c r="G84" s="96">
        <f>MAX(C74:G78)</f>
        <v>42.490482142037791</v>
      </c>
    </row>
    <row r="85" spans="4:7" x14ac:dyDescent="0.2">
      <c r="D85" s="134" t="s">
        <v>128</v>
      </c>
      <c r="E85" s="96">
        <f>AVERAGE(E82:E84)</f>
        <v>12.217588198022568</v>
      </c>
      <c r="F85" s="96">
        <f>G85-E85</f>
        <v>12.904048139453764</v>
      </c>
      <c r="G85" s="96">
        <f>AVERAGE(G82:G84)</f>
        <v>25.121636337476332</v>
      </c>
    </row>
  </sheetData>
  <mergeCells count="17">
    <mergeCell ref="J1:K1"/>
    <mergeCell ref="J7:K7"/>
    <mergeCell ref="A62:G62"/>
    <mergeCell ref="A63:A69"/>
    <mergeCell ref="B63:G63"/>
    <mergeCell ref="B12:E12"/>
    <mergeCell ref="B9:G9"/>
    <mergeCell ref="B3:D3"/>
    <mergeCell ref="E3:F3"/>
    <mergeCell ref="F12:G12"/>
    <mergeCell ref="J15:K15"/>
    <mergeCell ref="A71:G71"/>
    <mergeCell ref="A72:A78"/>
    <mergeCell ref="B72:G72"/>
    <mergeCell ref="A53:G53"/>
    <mergeCell ref="A54:A60"/>
    <mergeCell ref="B54:G54"/>
  </mergeCells>
  <conditionalFormatting sqref="C56:G60 C65:G69 C74:G78">
    <cfRule type="cellIs" dxfId="2" priority="1" operator="between">
      <formula>$E$76</formula>
      <formula>$E$67</formula>
    </cfRule>
    <cfRule type="cellIs" dxfId="1" priority="2" operator="lessThan">
      <formula>14.95</formula>
    </cfRule>
    <cfRule type="cellIs" dxfId="0" priority="3" operator="greaterThan">
      <formula>$B$55</formula>
    </cfRule>
  </conditionalFormatting>
  <pageMargins left="0.7" right="0.7" top="0.75" bottom="0.75" header="0.3" footer="0.3"/>
  <pageSetup orientation="portrait" horizontalDpi="0" verticalDpi="0"/>
  <ignoredErrors>
    <ignoredError sqref="F85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1043-BCE9-3B45-851B-904C7FD303B5}">
  <dimension ref="C3:V48"/>
  <sheetViews>
    <sheetView showGridLines="0" tabSelected="1" zoomScale="66" workbookViewId="0">
      <selection activeCell="M19" sqref="M19"/>
    </sheetView>
  </sheetViews>
  <sheetFormatPr baseColWidth="10" defaultColWidth="10.83203125" defaultRowHeight="15" x14ac:dyDescent="0.2"/>
  <cols>
    <col min="3" max="3" width="19.6640625" bestFit="1" customWidth="1"/>
    <col min="4" max="4" width="19.6640625" customWidth="1"/>
    <col min="5" max="5" width="11.6640625" customWidth="1"/>
    <col min="6" max="6" width="12" customWidth="1"/>
    <col min="7" max="7" width="13.6640625" customWidth="1"/>
    <col min="8" max="8" width="17.83203125" bestFit="1" customWidth="1"/>
    <col min="9" max="9" width="12.5" bestFit="1" customWidth="1"/>
    <col min="10" max="10" width="13.83203125" bestFit="1" customWidth="1"/>
    <col min="11" max="11" width="12.6640625" bestFit="1" customWidth="1"/>
    <col min="12" max="12" width="15" bestFit="1" customWidth="1"/>
    <col min="14" max="14" width="41.6640625" bestFit="1" customWidth="1"/>
    <col min="15" max="15" width="13.83203125" bestFit="1" customWidth="1"/>
  </cols>
  <sheetData>
    <row r="3" spans="3:22" x14ac:dyDescent="0.2">
      <c r="C3" s="122" t="s">
        <v>87</v>
      </c>
      <c r="D3" s="122">
        <v>2017</v>
      </c>
      <c r="E3" s="122">
        <f>D3+1</f>
        <v>2018</v>
      </c>
      <c r="F3" s="122">
        <f>E3+1</f>
        <v>2019</v>
      </c>
      <c r="G3" s="123">
        <v>2020</v>
      </c>
      <c r="H3" s="123">
        <v>2021</v>
      </c>
      <c r="I3" s="123" t="s">
        <v>80</v>
      </c>
    </row>
    <row r="4" spans="3:22" x14ac:dyDescent="0.2">
      <c r="C4" s="124" t="s">
        <v>40</v>
      </c>
      <c r="D4" s="45">
        <v>5.19</v>
      </c>
      <c r="E4" s="45">
        <v>0.56000000000000005</v>
      </c>
      <c r="F4" s="45">
        <v>0.75380000000000003</v>
      </c>
      <c r="G4" s="43">
        <v>2.04</v>
      </c>
      <c r="H4" s="43">
        <v>1.57</v>
      </c>
      <c r="I4" s="43">
        <v>1.33</v>
      </c>
    </row>
    <row r="5" spans="3:22" x14ac:dyDescent="0.2">
      <c r="C5" s="124" t="s">
        <v>81</v>
      </c>
      <c r="D5" s="43">
        <v>0.16</v>
      </c>
      <c r="E5" s="43">
        <v>0.16</v>
      </c>
      <c r="F5" s="43">
        <v>0.24</v>
      </c>
      <c r="G5" s="43">
        <v>0.32</v>
      </c>
      <c r="H5" s="43">
        <v>0.48</v>
      </c>
      <c r="I5" s="102">
        <f>H5</f>
        <v>0.48</v>
      </c>
    </row>
    <row r="6" spans="3:22" x14ac:dyDescent="0.2">
      <c r="E6" s="107"/>
      <c r="G6" s="107"/>
      <c r="H6" s="107"/>
      <c r="I6" s="107"/>
      <c r="J6" s="4"/>
      <c r="L6" s="122"/>
      <c r="M6" s="160">
        <v>2016</v>
      </c>
      <c r="N6" s="160">
        <v>2017</v>
      </c>
      <c r="O6" s="160">
        <v>2018</v>
      </c>
      <c r="P6" s="160">
        <v>2019</v>
      </c>
      <c r="Q6" s="160">
        <v>2020</v>
      </c>
      <c r="R6" s="160">
        <v>2021</v>
      </c>
    </row>
    <row r="7" spans="3:22" x14ac:dyDescent="0.2">
      <c r="L7" s="126" t="s">
        <v>38</v>
      </c>
      <c r="M7" s="158">
        <v>4001</v>
      </c>
      <c r="N7" s="158">
        <v>4321</v>
      </c>
      <c r="O7" s="158">
        <v>4649</v>
      </c>
      <c r="P7" s="158">
        <v>4996</v>
      </c>
      <c r="Q7" s="158">
        <v>5157</v>
      </c>
      <c r="R7" s="158">
        <f>3956+894</f>
        <v>4850</v>
      </c>
    </row>
    <row r="8" spans="3:22" x14ac:dyDescent="0.2">
      <c r="C8" s="122" t="s">
        <v>123</v>
      </c>
      <c r="D8" s="122">
        <v>2016</v>
      </c>
      <c r="E8" s="122">
        <v>2017</v>
      </c>
      <c r="F8" s="122">
        <f>E8+1</f>
        <v>2018</v>
      </c>
      <c r="G8" s="122">
        <f>F8+1</f>
        <v>2019</v>
      </c>
      <c r="H8" s="123">
        <v>2020</v>
      </c>
      <c r="I8" s="123">
        <v>2021</v>
      </c>
      <c r="J8" s="123" t="s">
        <v>36</v>
      </c>
      <c r="L8" s="126" t="s">
        <v>121</v>
      </c>
      <c r="M8" s="158"/>
      <c r="N8" s="159">
        <f>N7/M7-1</f>
        <v>7.9980004998750243E-2</v>
      </c>
      <c r="O8" s="159">
        <f>O7/N7-1</f>
        <v>7.590835454755851E-2</v>
      </c>
      <c r="P8" s="159">
        <f t="shared" ref="P8:R8" si="0">P7/O7-1</f>
        <v>7.4639707463970639E-2</v>
      </c>
      <c r="Q8" s="159">
        <f t="shared" si="0"/>
        <v>3.2225780624499656E-2</v>
      </c>
      <c r="R8" s="159">
        <f t="shared" si="0"/>
        <v>-5.9530734923405104E-2</v>
      </c>
    </row>
    <row r="9" spans="3:22" x14ac:dyDescent="0.2">
      <c r="C9" s="125" t="s">
        <v>37</v>
      </c>
      <c r="D9" s="109">
        <f>M9/M10</f>
        <v>0.12569832402234637</v>
      </c>
      <c r="E9" s="109">
        <f>N9/N10</f>
        <v>0.31667707682698315</v>
      </c>
      <c r="F9" s="113">
        <f>O9/O10</f>
        <v>3.3807829181494664E-2</v>
      </c>
      <c r="G9" s="109">
        <f>P9/P10</f>
        <v>4.3217286914765909E-2</v>
      </c>
      <c r="H9" s="109">
        <f>Q9/Q10</f>
        <v>0.10117526826775677</v>
      </c>
      <c r="I9" s="109">
        <f>R9/R10</f>
        <v>8.4068500259470685E-2</v>
      </c>
      <c r="J9" s="109">
        <f t="shared" ref="J9:J16" si="1">I9-H9</f>
        <v>-1.7106768008286088E-2</v>
      </c>
      <c r="K9" s="4"/>
      <c r="L9" s="126" t="s">
        <v>39</v>
      </c>
      <c r="M9" s="158">
        <v>135</v>
      </c>
      <c r="N9" s="158">
        <v>507</v>
      </c>
      <c r="O9" s="158">
        <v>57</v>
      </c>
      <c r="P9" s="158">
        <v>72</v>
      </c>
      <c r="Q9" s="158">
        <f>198</f>
        <v>198</v>
      </c>
      <c r="R9" s="158">
        <f>162</f>
        <v>162</v>
      </c>
    </row>
    <row r="10" spans="3:22" x14ac:dyDescent="0.2">
      <c r="C10" s="125" t="s">
        <v>124</v>
      </c>
      <c r="D10" s="110">
        <v>9.11E-2</v>
      </c>
      <c r="E10" s="110">
        <v>0.1525</v>
      </c>
      <c r="F10" s="110">
        <v>0.15840000000000001</v>
      </c>
      <c r="G10" s="110">
        <v>9.5799999999999996E-2</v>
      </c>
      <c r="H10" s="110">
        <v>6.1899999999999997E-2</v>
      </c>
      <c r="I10" s="109">
        <v>0.15329999999999999</v>
      </c>
      <c r="J10" s="109">
        <f>I10-H10</f>
        <v>9.1399999999999995E-2</v>
      </c>
      <c r="K10" s="4"/>
      <c r="L10" s="126" t="s">
        <v>83</v>
      </c>
      <c r="M10" s="158">
        <v>1074</v>
      </c>
      <c r="N10" s="158">
        <v>1601</v>
      </c>
      <c r="O10" s="158">
        <v>1686</v>
      </c>
      <c r="P10" s="158">
        <v>1666</v>
      </c>
      <c r="Q10" s="158">
        <v>1957</v>
      </c>
      <c r="R10" s="158">
        <v>1927</v>
      </c>
    </row>
    <row r="11" spans="3:22" x14ac:dyDescent="0.2">
      <c r="C11" s="125" t="s">
        <v>82</v>
      </c>
      <c r="D11" s="109">
        <f>M9/M7</f>
        <v>3.3741564608847786E-2</v>
      </c>
      <c r="E11" s="109">
        <f>N9/N7</f>
        <v>0.11733395047442721</v>
      </c>
      <c r="F11" s="113">
        <f>O9/O7</f>
        <v>1.2260701226070123E-2</v>
      </c>
      <c r="G11" s="109">
        <f>P9/P7</f>
        <v>1.4411529223378704E-2</v>
      </c>
      <c r="H11" s="109">
        <f>Q9/Q7</f>
        <v>3.8394415357766144E-2</v>
      </c>
      <c r="I11" s="109">
        <f>R9/R7</f>
        <v>3.3402061855670101E-2</v>
      </c>
      <c r="J11" s="109">
        <f t="shared" si="1"/>
        <v>-4.9923535020960433E-3</v>
      </c>
      <c r="K11" s="4"/>
      <c r="L11" s="126" t="s">
        <v>41</v>
      </c>
      <c r="M11" s="158">
        <v>3813</v>
      </c>
      <c r="N11" s="158">
        <v>4382</v>
      </c>
      <c r="O11" s="158">
        <v>4948</v>
      </c>
      <c r="P11" s="158">
        <v>5188</v>
      </c>
      <c r="Q11" s="158">
        <v>5412</v>
      </c>
      <c r="R11" s="158">
        <f>4566+1040</f>
        <v>5606</v>
      </c>
    </row>
    <row r="12" spans="3:22" x14ac:dyDescent="0.2">
      <c r="C12" s="125" t="s">
        <v>125</v>
      </c>
      <c r="D12" s="110">
        <v>6.3899999999999998E-2</v>
      </c>
      <c r="E12" s="110">
        <v>9.4600000000000004E-2</v>
      </c>
      <c r="F12" s="110">
        <v>9.0899999999999995E-2</v>
      </c>
      <c r="G12" s="110">
        <v>5.9799999999999999E-2</v>
      </c>
      <c r="H12" s="110">
        <v>2.7699999999999999E-2</v>
      </c>
      <c r="I12" s="109">
        <v>9.4200000000000006E-2</v>
      </c>
      <c r="J12" s="109">
        <f>I12-H12</f>
        <v>6.6500000000000004E-2</v>
      </c>
      <c r="K12" s="4"/>
    </row>
    <row r="13" spans="3:22" x14ac:dyDescent="0.2">
      <c r="C13" s="126" t="s">
        <v>84</v>
      </c>
      <c r="D13" s="112">
        <f>M7/M11</f>
        <v>1.0493050091791241</v>
      </c>
      <c r="E13" s="112">
        <f>N7/N11</f>
        <v>0.98607941579187586</v>
      </c>
      <c r="F13" s="112">
        <f>O7/O11</f>
        <v>0.93957154405820531</v>
      </c>
      <c r="G13" s="112">
        <f>P7/P11</f>
        <v>0.96299151888974555</v>
      </c>
      <c r="H13" s="112">
        <f>Q7/Q11</f>
        <v>0.95288248337028825</v>
      </c>
      <c r="I13" s="112">
        <f>R7/R11</f>
        <v>0.8651444880485194</v>
      </c>
      <c r="J13" s="112">
        <f t="shared" si="1"/>
        <v>-8.7737995321768847E-2</v>
      </c>
    </row>
    <row r="14" spans="3:22" x14ac:dyDescent="0.2">
      <c r="C14" s="125" t="s">
        <v>125</v>
      </c>
      <c r="D14" s="111">
        <f>0.68</f>
        <v>0.68</v>
      </c>
      <c r="E14" s="111">
        <v>0.73</v>
      </c>
      <c r="F14" s="111">
        <v>0.69</v>
      </c>
      <c r="G14" s="111">
        <v>0.67</v>
      </c>
      <c r="H14" s="111">
        <v>0.63</v>
      </c>
      <c r="I14" s="112">
        <v>0.7</v>
      </c>
      <c r="J14" s="112">
        <f t="shared" si="1"/>
        <v>6.9999999999999951E-2</v>
      </c>
      <c r="V14" s="103"/>
    </row>
    <row r="15" spans="3:22" x14ac:dyDescent="0.2">
      <c r="C15" s="126" t="s">
        <v>85</v>
      </c>
      <c r="D15" s="112">
        <f>M11/M10</f>
        <v>3.5502793296089385</v>
      </c>
      <c r="E15" s="112">
        <f>N11/N10</f>
        <v>2.7370393504059964</v>
      </c>
      <c r="F15" s="112">
        <f>O11/O10</f>
        <v>2.9347568208778174</v>
      </c>
      <c r="G15" s="112">
        <f>P11/P10</f>
        <v>3.1140456182472991</v>
      </c>
      <c r="H15" s="112">
        <f>Q11/Q10</f>
        <v>2.7654573326520184</v>
      </c>
      <c r="I15" s="112">
        <f>R11/R10</f>
        <v>2.9091852620653866</v>
      </c>
      <c r="J15" s="112">
        <f t="shared" si="1"/>
        <v>0.14372792941336821</v>
      </c>
      <c r="V15" s="103"/>
    </row>
    <row r="16" spans="3:22" x14ac:dyDescent="0.2">
      <c r="C16" s="127" t="s">
        <v>125</v>
      </c>
      <c r="D16" s="110">
        <v>2.1899999999999999E-2</v>
      </c>
      <c r="E16" s="111">
        <v>2.04</v>
      </c>
      <c r="F16" s="111">
        <v>2.35</v>
      </c>
      <c r="G16" s="111">
        <v>2.25</v>
      </c>
      <c r="H16" s="111">
        <v>1.98</v>
      </c>
      <c r="I16" s="112">
        <v>2.09</v>
      </c>
      <c r="J16" s="112">
        <f t="shared" si="1"/>
        <v>0.10999999999999988</v>
      </c>
    </row>
    <row r="17" spans="3:10" x14ac:dyDescent="0.2">
      <c r="C17" s="116"/>
      <c r="D17" s="117"/>
      <c r="E17" s="117"/>
      <c r="F17" s="117"/>
      <c r="G17" s="117"/>
      <c r="H17" s="117"/>
      <c r="I17" s="118"/>
      <c r="J17" s="118"/>
    </row>
    <row r="18" spans="3:10" x14ac:dyDescent="0.2">
      <c r="C18" s="161" t="s">
        <v>87</v>
      </c>
      <c r="D18" s="122">
        <v>2016</v>
      </c>
      <c r="E18" s="122">
        <v>2017</v>
      </c>
      <c r="F18" s="122">
        <f>E18+1</f>
        <v>2018</v>
      </c>
      <c r="G18" s="122">
        <f>F18+1</f>
        <v>2019</v>
      </c>
      <c r="H18" s="123">
        <v>2020</v>
      </c>
      <c r="I18" s="123">
        <v>2021</v>
      </c>
      <c r="J18" s="163" t="s">
        <v>36</v>
      </c>
    </row>
    <row r="19" spans="3:10" x14ac:dyDescent="0.2">
      <c r="C19" s="124" t="s">
        <v>86</v>
      </c>
      <c r="D19" s="47">
        <v>5.5E-2</v>
      </c>
      <c r="E19" s="47">
        <v>0.04</v>
      </c>
      <c r="F19" s="47">
        <v>4.9000000000000002E-2</v>
      </c>
      <c r="G19" s="47">
        <v>5.1999999999999998E-2</v>
      </c>
      <c r="H19" s="47">
        <v>7.0999999999999994E-2</v>
      </c>
      <c r="I19" s="47">
        <v>3.3000000000000002E-2</v>
      </c>
      <c r="J19" s="47">
        <f>I19-H19</f>
        <v>-3.7999999999999992E-2</v>
      </c>
    </row>
    <row r="20" spans="3:10" x14ac:dyDescent="0.2">
      <c r="C20" s="2"/>
      <c r="D20" s="2"/>
      <c r="E20" s="2"/>
      <c r="F20" s="2"/>
      <c r="G20" s="2"/>
      <c r="H20" s="2"/>
      <c r="I20" s="2"/>
    </row>
    <row r="21" spans="3:10" x14ac:dyDescent="0.2">
      <c r="E21" s="119"/>
      <c r="F21" s="4"/>
      <c r="G21" s="4"/>
      <c r="H21" s="4"/>
      <c r="I21" s="107"/>
    </row>
    <row r="22" spans="3:10" x14ac:dyDescent="0.2">
      <c r="C22" s="122" t="s">
        <v>87</v>
      </c>
      <c r="D22" s="122">
        <v>2016</v>
      </c>
      <c r="E22" s="122">
        <v>2017</v>
      </c>
      <c r="F22" s="122">
        <f>E22+1</f>
        <v>2018</v>
      </c>
      <c r="G22" s="122">
        <f t="shared" ref="G22:I22" si="2">F22+1</f>
        <v>2019</v>
      </c>
      <c r="H22" s="122">
        <f t="shared" si="2"/>
        <v>2020</v>
      </c>
      <c r="I22" s="122">
        <f t="shared" si="2"/>
        <v>2021</v>
      </c>
      <c r="J22" s="162" t="s">
        <v>89</v>
      </c>
    </row>
    <row r="23" spans="3:10" x14ac:dyDescent="0.2">
      <c r="C23" s="124" t="s">
        <v>88</v>
      </c>
      <c r="D23" s="43"/>
      <c r="E23" s="43">
        <v>36.39</v>
      </c>
      <c r="F23" s="43">
        <v>38.24</v>
      </c>
      <c r="G23" s="43">
        <v>40.82</v>
      </c>
      <c r="H23" s="43">
        <v>38.119999999999997</v>
      </c>
      <c r="I23" s="43">
        <v>33.64</v>
      </c>
      <c r="J23" s="43">
        <f>AVERAGE(E23:I23)</f>
        <v>37.441999999999993</v>
      </c>
    </row>
    <row r="24" spans="3:10" x14ac:dyDescent="0.2">
      <c r="I24" s="108"/>
    </row>
    <row r="26" spans="3:10" x14ac:dyDescent="0.2">
      <c r="G26" s="157"/>
      <c r="H26" s="157"/>
    </row>
    <row r="27" spans="3:10" x14ac:dyDescent="0.2">
      <c r="G27" s="157"/>
      <c r="H27" s="157"/>
    </row>
    <row r="28" spans="3:10" x14ac:dyDescent="0.2">
      <c r="G28" s="157"/>
      <c r="H28" s="157"/>
    </row>
    <row r="29" spans="3:10" x14ac:dyDescent="0.2">
      <c r="G29" s="157"/>
      <c r="H29" s="157"/>
    </row>
    <row r="30" spans="3:10" x14ac:dyDescent="0.2">
      <c r="G30" s="157"/>
      <c r="H30" s="157"/>
    </row>
    <row r="32" spans="3:10" x14ac:dyDescent="0.2">
      <c r="E32" s="107"/>
      <c r="F32" s="120"/>
      <c r="G32" s="156"/>
      <c r="H32" s="156"/>
    </row>
    <row r="33" spans="5:8" x14ac:dyDescent="0.2">
      <c r="E33" s="121"/>
      <c r="F33" s="121"/>
      <c r="G33" s="156"/>
      <c r="H33" s="156"/>
    </row>
    <row r="44" spans="5:8" x14ac:dyDescent="0.2">
      <c r="E44" s="41"/>
    </row>
    <row r="45" spans="5:8" x14ac:dyDescent="0.2">
      <c r="E45" s="41"/>
    </row>
    <row r="46" spans="5:8" x14ac:dyDescent="0.2">
      <c r="E46" s="41"/>
    </row>
    <row r="47" spans="5:8" x14ac:dyDescent="0.2">
      <c r="E47" s="41" t="s">
        <v>38</v>
      </c>
    </row>
    <row r="48" spans="5:8" x14ac:dyDescent="0.2">
      <c r="E48" s="41" t="s">
        <v>39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Beta</vt:lpstr>
      <vt:lpstr>Modèle</vt:lpstr>
      <vt:lpstr>Analyse Compagnie</vt:lpstr>
    </vt:vector>
  </TitlesOfParts>
  <Company>HEC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boileau</dc:creator>
  <cp:lastModifiedBy>Émile Drolet</cp:lastModifiedBy>
  <dcterms:created xsi:type="dcterms:W3CDTF">2022-03-30T14:47:12Z</dcterms:created>
  <dcterms:modified xsi:type="dcterms:W3CDTF">2023-09-21T23:32:45Z</dcterms:modified>
</cp:coreProperties>
</file>